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8"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s>
  <externalReferences>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'[5]比较法-工业'!$B$115:$M$115</definedName>
    <definedName name="套工交易情况" localSheetId="14">'[1]土地比较法-住宅、综合'!$A$72:$M$72</definedName>
    <definedName name="套工交易情况">'土地比较法-住宅、综合'!$A$72:$M$72</definedName>
    <definedName name="套工开发程度">'[5]比较法-工业'!$B$113:$M$113</definedName>
    <definedName name="套工临街等级">'[5]比较法-工业'!$B$98:$M$98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'[3]数据-汇总表'!$C$17:$C$26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[5]定义!$A$1:$A$50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46" i="39" l="1"/>
  <c r="G46" i="39"/>
  <c r="E46" i="39"/>
  <c r="I38" i="39"/>
  <c r="G38" i="39"/>
  <c r="E38" i="39"/>
  <c r="I11" i="39"/>
  <c r="G11" i="39"/>
  <c r="E11" i="39"/>
  <c r="I7" i="39"/>
  <c r="G7" i="39"/>
  <c r="E7" i="39"/>
  <c r="I5" i="39"/>
  <c r="G5" i="39"/>
  <c r="E5" i="39"/>
  <c r="J39" i="84"/>
  <c r="L39" i="84"/>
  <c r="L31" i="84"/>
  <c r="L32" i="84"/>
  <c r="L33" i="84"/>
  <c r="L34" i="84"/>
  <c r="L35" i="84"/>
  <c r="L36" i="84"/>
  <c r="L37" i="84"/>
  <c r="L30" i="84"/>
  <c r="L28" i="84"/>
  <c r="L17" i="84"/>
  <c r="L18" i="84"/>
  <c r="L19" i="84"/>
  <c r="L20" i="84"/>
  <c r="L21" i="84"/>
  <c r="L22" i="84"/>
  <c r="L23" i="84"/>
  <c r="L24" i="84"/>
  <c r="L25" i="84"/>
  <c r="L26" i="84"/>
  <c r="L16" i="84"/>
  <c r="L12" i="84"/>
  <c r="L13" i="84"/>
  <c r="L14" i="84"/>
  <c r="L9" i="84"/>
  <c r="L8" i="84"/>
  <c r="L7" i="84"/>
  <c r="L6" i="84"/>
  <c r="L5" i="84"/>
  <c r="L11" i="84"/>
  <c r="K39" i="84"/>
  <c r="K23" i="84"/>
  <c r="K24" i="84"/>
  <c r="K25" i="84"/>
  <c r="K26" i="84"/>
  <c r="K28" i="84"/>
  <c r="K30" i="84"/>
  <c r="K31" i="84"/>
  <c r="K32" i="84"/>
  <c r="K33" i="84"/>
  <c r="K34" i="84"/>
  <c r="K35" i="84"/>
  <c r="K36" i="84"/>
  <c r="K37" i="84"/>
  <c r="K22" i="84"/>
  <c r="K21" i="84"/>
  <c r="K20" i="84"/>
  <c r="K19" i="84"/>
  <c r="K18" i="84"/>
  <c r="K17" i="84"/>
  <c r="K16" i="84"/>
  <c r="K14" i="84"/>
  <c r="K13" i="84"/>
  <c r="K12" i="84"/>
  <c r="K11" i="84"/>
  <c r="K9" i="84"/>
  <c r="K8" i="84"/>
  <c r="K7" i="84"/>
  <c r="K6" i="84"/>
  <c r="K5" i="84"/>
  <c r="J33" i="84"/>
  <c r="J34" i="84"/>
  <c r="J35" i="84"/>
  <c r="J32" i="84"/>
  <c r="J22" i="84"/>
  <c r="J23" i="84"/>
  <c r="J24" i="84"/>
  <c r="J25" i="84"/>
  <c r="J26" i="84"/>
  <c r="J28" i="84"/>
  <c r="J21" i="84"/>
  <c r="X20" i="1"/>
  <c r="V23" i="1"/>
  <c r="V22" i="1"/>
  <c r="V21" i="1"/>
  <c r="V20" i="1"/>
  <c r="V19" i="1"/>
  <c r="L16" i="83"/>
  <c r="L15" i="83"/>
  <c r="L14" i="83"/>
  <c r="L13" i="83"/>
  <c r="L12" i="83"/>
  <c r="K13" i="3"/>
  <c r="I13" i="3"/>
  <c r="G13" i="73" l="1"/>
  <c r="F13" i="73"/>
  <c r="E13" i="73"/>
  <c r="D65" i="83" l="1"/>
  <c r="H78" i="83"/>
  <c r="F39" i="84" l="1"/>
  <c r="G37" i="84"/>
  <c r="G32" i="84"/>
  <c r="G28" i="84"/>
  <c r="G18" i="84"/>
  <c r="G16" i="84"/>
  <c r="G8" i="84"/>
  <c r="G6" i="84"/>
  <c r="G39" i="84" s="1"/>
  <c r="D14" i="9"/>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X22" i="1" l="1"/>
  <c r="X23" i="1" s="1"/>
  <c r="P74" i="82" l="1"/>
  <c r="Q72" i="82"/>
  <c r="Q59" i="82"/>
  <c r="K59" i="82"/>
  <c r="P61" i="82" s="1"/>
  <c r="F59" i="82"/>
  <c r="Q58" i="82"/>
  <c r="J52" i="82"/>
  <c r="Q51" i="82" s="1"/>
  <c r="J50" i="82"/>
  <c r="J49" i="82"/>
  <c r="M47" i="82"/>
  <c r="D46" i="82"/>
  <c r="F33" i="82"/>
  <c r="F61" i="82" s="1"/>
  <c r="F31" i="82"/>
  <c r="F23" i="82"/>
  <c r="D24" i="82" s="1"/>
  <c r="D23" i="82"/>
  <c r="D22" i="82"/>
  <c r="F21" i="82"/>
  <c r="F20" i="82"/>
  <c r="M19" i="82"/>
  <c r="F18" i="82"/>
  <c r="M17" i="82"/>
  <c r="F15" i="82"/>
  <c r="W7" i="1"/>
  <c r="J7" i="1"/>
  <c r="F13" i="4"/>
  <c r="L5" i="81"/>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D3" i="4"/>
  <c r="N20" i="1" l="1"/>
  <c r="N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9"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G27"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09" i="9"/>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2" i="68"/>
  <c r="F6" i="15"/>
  <c r="M23" i="15"/>
  <c r="E7" i="76"/>
  <c r="M22" i="15"/>
  <c r="F40" i="15"/>
  <c r="B10" i="76"/>
  <c r="D6" i="73"/>
  <c r="E8" i="76"/>
  <c r="F26" i="67"/>
  <c r="B7" i="76"/>
  <c r="F4" i="73"/>
  <c r="F40" i="67"/>
  <c r="B8" i="76"/>
  <c r="D3" i="73"/>
  <c r="F7" i="73"/>
  <c r="M6" i="15"/>
  <c r="J15" i="15"/>
  <c r="M24" i="67"/>
  <c r="F20" i="31"/>
  <c r="F6" i="73"/>
  <c r="F16" i="15"/>
  <c r="L47" i="67"/>
  <c r="L47" i="15"/>
  <c r="F5" i="73"/>
  <c r="E11" i="76"/>
  <c r="M9" i="15"/>
  <c r="F36" i="67"/>
  <c r="E2" i="69"/>
  <c r="AO13" i="1"/>
  <c r="F38" i="15"/>
  <c r="D5" i="73"/>
  <c r="B13" i="76"/>
  <c r="B9" i="76"/>
  <c r="M28" i="15"/>
  <c r="M22" i="67"/>
  <c r="F9" i="67"/>
  <c r="F26" i="15"/>
  <c r="E12" i="76"/>
  <c r="C76" i="67"/>
  <c r="F13" i="67"/>
  <c r="F3" i="73"/>
  <c r="B11" i="76"/>
  <c r="E10" i="76"/>
  <c r="E9" i="76"/>
  <c r="E13" i="76"/>
  <c r="J15" i="67"/>
  <c r="M29" i="67"/>
  <c r="L48" i="67"/>
  <c r="B12" i="76"/>
  <c r="F9" i="15"/>
  <c r="U17" i="39" l="1"/>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M7" i="1" s="1"/>
  <c r="O7" i="1" s="1"/>
  <c r="P7" i="1" s="1"/>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D16" i="53"/>
  <c r="B34"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J53" i="67"/>
  <c r="J57" i="67"/>
  <c r="J55" i="67" s="1"/>
  <c r="J58" i="67" s="1"/>
  <c r="Q50" i="67" s="1"/>
  <c r="L56" i="67"/>
  <c r="I54" i="67"/>
  <c r="L59" i="15"/>
  <c r="N59" i="15"/>
  <c r="M59" i="15"/>
  <c r="F66" i="15"/>
  <c r="Q71" i="67"/>
  <c r="C27" i="67"/>
  <c r="C27" i="15"/>
  <c r="N59" i="67"/>
  <c r="L59" i="67"/>
  <c r="L58" i="67"/>
  <c r="M59" i="67"/>
  <c r="B13" i="70"/>
  <c r="F68" i="67"/>
  <c r="F64" i="67"/>
  <c r="F68" i="15"/>
  <c r="C36" i="68"/>
  <c r="D9" i="69"/>
  <c r="D9" i="68"/>
  <c r="F7" i="67"/>
  <c r="F37" i="15"/>
  <c r="F37" i="67"/>
  <c r="M26" i="15"/>
  <c r="L48" i="15"/>
  <c r="F43" i="67"/>
  <c r="F13" i="15"/>
  <c r="F8" i="15"/>
  <c r="F36" i="15"/>
  <c r="F42" i="15"/>
  <c r="F38" i="67"/>
  <c r="M8" i="67"/>
  <c r="D7" i="73"/>
  <c r="M23" i="67"/>
  <c r="M8" i="15"/>
  <c r="F8" i="67"/>
  <c r="C76" i="15"/>
  <c r="F16" i="67"/>
  <c r="M9" i="67"/>
  <c r="F42" i="67"/>
  <c r="M6" i="67"/>
  <c r="F6" i="67"/>
  <c r="M24" i="15"/>
  <c r="M26" i="67"/>
  <c r="D4" i="73"/>
  <c r="M28" i="67"/>
  <c r="G1" i="73"/>
  <c r="F7" i="36" l="1"/>
  <c r="AC23" i="39"/>
  <c r="W23" i="39"/>
  <c r="F65" i="15"/>
  <c r="Q71" i="15"/>
  <c r="F71" i="67"/>
  <c r="F65" i="67"/>
  <c r="F64" i="15"/>
  <c r="C6" i="67"/>
  <c r="J53" i="15"/>
  <c r="L56" i="15" s="1"/>
  <c r="I54" i="15"/>
  <c r="L58" i="15"/>
  <c r="Q73" i="15" s="1"/>
  <c r="J57" i="15"/>
  <c r="J55" i="15" s="1"/>
  <c r="J58" i="15" s="1"/>
  <c r="Q50" i="15" s="1"/>
  <c r="F66" i="67"/>
  <c r="F51" i="15"/>
  <c r="F51" i="67"/>
  <c r="M7" i="67"/>
  <c r="J6"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E50" i="43" s="1"/>
  <c r="B48" i="43" s="1"/>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32" i="67"/>
  <c r="Q60" i="67"/>
  <c r="Q73" i="67"/>
  <c r="M11" i="67"/>
  <c r="F11" i="15"/>
  <c r="M11" i="15"/>
  <c r="F11" i="67"/>
  <c r="F1" i="15"/>
  <c r="J18" i="67"/>
  <c r="F1" i="67"/>
  <c r="Q52" i="67"/>
  <c r="Q61" i="67"/>
  <c r="Q74" i="67"/>
  <c r="Q74" i="15"/>
  <c r="Q61" i="15"/>
  <c r="AE11" i="1"/>
  <c r="AE9" i="1"/>
  <c r="AE8" i="1"/>
  <c r="AE12" i="1"/>
  <c r="AE10" i="1"/>
  <c r="AE6" i="1"/>
  <c r="F40" i="82"/>
  <c r="J15" i="82"/>
  <c r="F9" i="82"/>
  <c r="F6" i="82"/>
  <c r="M29" i="82"/>
  <c r="M6" i="82"/>
  <c r="L48" i="82"/>
  <c r="F8" i="82"/>
  <c r="F42" i="82"/>
  <c r="M9" i="82"/>
  <c r="F43" i="82"/>
  <c r="M23" i="82"/>
  <c r="M26" i="82"/>
  <c r="F16" i="82"/>
  <c r="C16" i="67"/>
  <c r="F7" i="82"/>
  <c r="M28" i="82"/>
  <c r="M8" i="82"/>
  <c r="L47" i="82"/>
  <c r="M22" i="82"/>
  <c r="F36" i="82"/>
  <c r="F26" i="82"/>
  <c r="F38" i="82"/>
  <c r="F37" i="82"/>
  <c r="F13" i="82"/>
  <c r="M24" i="82"/>
  <c r="C76" i="82"/>
  <c r="J10" i="67" l="1"/>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F41" i="67"/>
  <c r="F41" i="15"/>
  <c r="M27" i="15"/>
  <c r="M27" i="82"/>
  <c r="C16" i="82"/>
  <c r="M27" i="67"/>
  <c r="C49" i="82" l="1"/>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C42" i="43"/>
  <c r="E42" i="43" s="1"/>
  <c r="T12" i="43"/>
  <c r="V12" i="43" s="1"/>
  <c r="F69" i="67"/>
  <c r="D14" i="71"/>
  <c r="C13" i="71"/>
  <c r="F69" i="15"/>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C48" i="82" l="1"/>
  <c r="C60" i="67"/>
  <c r="T11" i="43"/>
  <c r="V11" i="43" s="1"/>
  <c r="C37" i="43"/>
  <c r="E37" i="43" s="1"/>
  <c r="T4" i="43"/>
  <c r="V4" i="43" s="1"/>
  <c r="G42" i="43"/>
  <c r="I42"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C60" i="82" l="1"/>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4"/>
  <c r="D2" i="37"/>
  <c r="D2" i="36"/>
  <c r="D2" i="35"/>
  <c r="M24" i="43" l="1"/>
  <c r="Q57" i="67"/>
  <c r="Q66" i="67"/>
  <c r="L57" i="15"/>
  <c r="L60" i="15" s="1"/>
  <c r="Q57" i="15" s="1"/>
  <c r="B2" i="36"/>
  <c r="B3" i="36" s="1"/>
  <c r="B2" i="35"/>
  <c r="B3" i="35" s="1"/>
  <c r="M3" i="35"/>
  <c r="B2" i="37"/>
  <c r="B2" i="34"/>
  <c r="W7" i="39"/>
  <c r="AC7" i="39"/>
  <c r="U7" i="39"/>
  <c r="AB7" i="39"/>
  <c r="J7" i="40"/>
  <c r="F7" i="40"/>
  <c r="H7" i="40"/>
  <c r="AO12" i="1"/>
  <c r="AO10" i="1"/>
  <c r="AO9" i="1"/>
  <c r="AO8" i="1"/>
  <c r="AO11"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D35" i="9"/>
  <c r="C42" i="40" l="1"/>
  <c r="C43" i="40"/>
  <c r="E47" i="40"/>
  <c r="F47" i="40" s="1"/>
  <c r="E46" i="40"/>
  <c r="F46" i="40" s="1"/>
  <c r="I47" i="40"/>
  <c r="J47" i="40" s="1"/>
  <c r="D34" i="9"/>
  <c r="B58" i="40" l="1"/>
  <c r="B54" i="40"/>
  <c r="F54" i="40" s="1"/>
  <c r="B53" i="40"/>
  <c r="F53" i="40" s="1"/>
  <c r="B59" i="40"/>
  <c r="B52" i="40"/>
  <c r="F52" i="40" s="1"/>
  <c r="B56" i="40"/>
  <c r="B60" i="40"/>
  <c r="B57" i="40"/>
  <c r="B51" i="40"/>
  <c r="D59" i="9" l="1"/>
  <c r="M55" i="9" s="1"/>
  <c r="L6" i="81" l="1"/>
  <c r="L3" i="81" l="1"/>
  <c r="BB13" i="3" l="1"/>
  <c r="H13" i="3"/>
  <c r="I5" i="3"/>
  <c r="V24" i="1"/>
  <c r="X24" i="1" s="1"/>
  <c r="H5" i="3" l="1"/>
  <c r="G13" i="3"/>
  <c r="F19" i="6"/>
  <c r="E19" i="6" s="1"/>
  <c r="I4" i="6"/>
  <c r="G3" i="43" s="1"/>
  <c r="BA13" i="3"/>
  <c r="BB5" i="3"/>
  <c r="BA5" i="3" l="1"/>
  <c r="E27" i="6" s="1"/>
  <c r="AZ13" i="3"/>
  <c r="AZ5" i="3" s="1"/>
  <c r="H26" i="43"/>
  <c r="G26" i="43"/>
  <c r="N370" i="46"/>
  <c r="N94" i="46"/>
  <c r="J26" i="43"/>
  <c r="F26" i="43"/>
  <c r="E26" i="43"/>
  <c r="B116" i="43"/>
  <c r="Z7" i="43"/>
  <c r="G5" i="3"/>
  <c r="B3" i="3" s="1"/>
  <c r="E13" i="3" s="1"/>
  <c r="E12" i="6"/>
  <c r="E11" i="6"/>
  <c r="E13" i="6"/>
  <c r="E14" i="6"/>
  <c r="E8" i="6"/>
  <c r="E15" i="6"/>
  <c r="E10" i="6"/>
  <c r="K6" i="1"/>
  <c r="K19" i="6"/>
  <c r="F7" i="15"/>
  <c r="M29" i="15"/>
  <c r="F43" i="15"/>
  <c r="F71" i="15" l="1"/>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C11" i="39" s="1"/>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6" i="15"/>
  <c r="C17"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3" s="1"/>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4" i="15"/>
  <c r="C14" i="67"/>
  <c r="C17" i="82"/>
  <c r="C17" i="67"/>
  <c r="J38" i="39" l="1"/>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R25" i="6" s="1"/>
  <c r="R12" i="1" s="1"/>
  <c r="D22" i="6"/>
  <c r="D24" i="6"/>
  <c r="R24" i="6" s="1"/>
  <c r="R11" i="1" s="1"/>
  <c r="M19" i="9"/>
  <c r="C118" i="9" s="1"/>
  <c r="C14" i="74" s="1"/>
  <c r="B2" i="74" s="1"/>
  <c r="D8" i="6"/>
  <c r="D6" i="6"/>
  <c r="D10" i="6"/>
  <c r="D29" i="6"/>
  <c r="H22" i="6"/>
  <c r="H24" i="6"/>
  <c r="C18" i="4"/>
  <c r="D5" i="6"/>
  <c r="D11" i="6"/>
  <c r="D28" i="6"/>
  <c r="D30" i="6" s="1"/>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E2" i="70" l="1"/>
  <c r="R20" i="6"/>
  <c r="R7" i="1" s="1"/>
  <c r="R47" i="39"/>
  <c r="E47" i="39" s="1"/>
  <c r="AA38" i="39"/>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A10" i="51"/>
  <c r="B9" i="72" s="1"/>
  <c r="C4" i="52"/>
  <c r="B45" i="72" s="1"/>
  <c r="A7" i="51"/>
  <c r="B7" i="72" s="1"/>
  <c r="D16" i="6"/>
  <c r="R23" i="6"/>
  <c r="R10" i="1" s="1"/>
  <c r="C35" i="68"/>
  <c r="C38" i="68"/>
  <c r="C10" i="69"/>
  <c r="C8" i="69" s="1"/>
  <c r="C5" i="69" s="1"/>
  <c r="D19" i="69"/>
  <c r="D37" i="69" s="1"/>
  <c r="C37" i="69" s="1"/>
  <c r="C33" i="69" s="1"/>
  <c r="C22" i="11"/>
  <c r="H27" i="6"/>
  <c r="D7" i="74"/>
  <c r="D8" i="74"/>
  <c r="R22" i="6"/>
  <c r="R9" i="1" s="1"/>
  <c r="D27" i="6"/>
  <c r="D31" i="6" s="1"/>
  <c r="R19" i="6"/>
  <c r="R26" i="6"/>
  <c r="R21" i="6"/>
  <c r="R8" i="1" s="1"/>
  <c r="D1" i="43"/>
  <c r="E33" i="43"/>
  <c r="C30" i="43" s="1"/>
  <c r="B2" i="43" s="1"/>
  <c r="M21" i="82"/>
  <c r="F35" i="82"/>
  <c r="E6" i="76"/>
  <c r="M21" i="67"/>
  <c r="B6" i="76"/>
  <c r="F35" i="67"/>
  <c r="F63" i="82" l="1"/>
  <c r="C62" i="82" s="1"/>
  <c r="C59" i="82" s="1"/>
  <c r="C34" i="82"/>
  <c r="C31" i="82" s="1"/>
  <c r="J20" i="82"/>
  <c r="J17" i="82" s="1"/>
  <c r="C31" i="11"/>
  <c r="R48" i="39"/>
  <c r="C48" i="39" s="1"/>
  <c r="G52" i="39"/>
  <c r="H52" i="39" s="1"/>
  <c r="I52" i="39"/>
  <c r="J52" i="39" s="1"/>
  <c r="E52" i="39"/>
  <c r="F52" i="39" s="1"/>
  <c r="E51" i="39"/>
  <c r="F51" i="39" s="1"/>
  <c r="C33" i="1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C39" i="11"/>
  <c r="C43" i="11" s="1"/>
  <c r="C42" i="11"/>
  <c r="C13" i="67"/>
  <c r="B3" i="43"/>
  <c r="C23" i="69"/>
  <c r="C20" i="69"/>
  <c r="I5" i="6"/>
  <c r="I6" i="6"/>
  <c r="C42" i="69"/>
  <c r="C39" i="69"/>
  <c r="C43" i="69" s="1"/>
  <c r="R6" i="1"/>
  <c r="R27" i="6"/>
  <c r="M21" i="15"/>
  <c r="F35" i="15"/>
  <c r="C47" i="39" l="1"/>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Q70" i="15" s="1"/>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C37" i="15"/>
  <c r="Q48" i="15"/>
  <c r="L46" i="15"/>
  <c r="C46" i="69"/>
  <c r="C45" i="69" s="1"/>
  <c r="C41" i="69"/>
  <c r="Q70" i="67"/>
  <c r="C75" i="67"/>
  <c r="C56" i="67"/>
  <c r="C65" i="67" s="1"/>
  <c r="C37" i="67"/>
  <c r="C46" i="11"/>
  <c r="C45" i="11" s="1"/>
  <c r="B3" i="76"/>
  <c r="F65" i="39" l="1"/>
  <c r="B2" i="39" s="1"/>
  <c r="C49" i="11"/>
  <c r="C51" i="11" s="1"/>
  <c r="C52" i="11" s="1"/>
  <c r="B2" i="11" s="1"/>
  <c r="B3" i="11" s="1"/>
  <c r="C56" i="15"/>
  <c r="C65" i="15" s="1"/>
  <c r="C58" i="15" s="1"/>
  <c r="C67" i="15" s="1"/>
  <c r="C68" i="15" s="1"/>
  <c r="C71" i="15" s="1"/>
  <c r="C58" i="67"/>
  <c r="C67" i="67" s="1"/>
  <c r="C68" i="67" s="1"/>
  <c r="C71" i="67" s="1"/>
  <c r="C75" i="15"/>
  <c r="C30" i="67"/>
  <c r="C39" i="67" s="1"/>
  <c r="C40" i="67" s="1"/>
  <c r="C46" i="68"/>
  <c r="C45" i="68" s="1"/>
  <c r="C49" i="68" s="1"/>
  <c r="C51" i="68" s="1"/>
  <c r="J22" i="15"/>
  <c r="J16" i="15" s="1"/>
  <c r="J25" i="15" s="1"/>
  <c r="J26" i="15" s="1"/>
  <c r="J29" i="15" s="1"/>
  <c r="C49" i="69"/>
  <c r="C51" i="69" s="1"/>
  <c r="J16" i="67"/>
  <c r="J25" i="67" s="1"/>
  <c r="J26" i="67" s="1"/>
  <c r="J29" i="67" s="1"/>
  <c r="C30" i="15"/>
  <c r="C39" i="15" s="1"/>
  <c r="C80" i="15" s="1"/>
  <c r="C79" i="15" s="1"/>
  <c r="Q69" i="67"/>
  <c r="Q68" i="67" s="1"/>
  <c r="C57" i="82"/>
  <c r="C64" i="82" s="1"/>
  <c r="C36" i="82"/>
  <c r="C13" i="82"/>
  <c r="Q49" i="82"/>
  <c r="J14" i="82"/>
  <c r="J59" i="82"/>
  <c r="J60" i="82" s="1"/>
  <c r="C31" i="69"/>
  <c r="L51" i="67"/>
  <c r="L51" i="15"/>
  <c r="B3" i="39" l="1"/>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AO6" i="1"/>
  <c r="L51" i="82"/>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C19" i="9"/>
  <c r="D20" i="9"/>
  <c r="C57" i="68" l="1"/>
  <c r="C56" i="68" s="1"/>
  <c r="C21" i="9"/>
  <c r="C102" i="9"/>
  <c r="D22" i="9"/>
  <c r="G19" i="9"/>
  <c r="D27" i="9" s="1"/>
  <c r="B3" i="68"/>
  <c r="D103" i="9"/>
  <c r="C20" i="9"/>
  <c r="C27" i="9" l="1"/>
  <c r="C32" i="9"/>
  <c r="H118" i="9" s="1"/>
  <c r="C103" i="9"/>
  <c r="G20" i="9"/>
  <c r="G21" i="9"/>
  <c r="C35" i="9" l="1"/>
  <c r="F118" i="9" s="1"/>
  <c r="H4" i="52"/>
  <c r="H101" i="9"/>
  <c r="D14" i="74" s="1"/>
  <c r="H119" i="9"/>
  <c r="I118" i="9"/>
  <c r="C104" i="9"/>
  <c r="C34" i="9" l="1"/>
  <c r="D118" i="9" s="1"/>
  <c r="D4" i="52" s="1"/>
  <c r="B47" i="72" s="1"/>
  <c r="C105" i="9"/>
  <c r="H102" i="9"/>
  <c r="D7" i="53" s="1"/>
  <c r="B21" i="72" s="1"/>
  <c r="I4" i="52"/>
  <c r="M48" i="9"/>
  <c r="D45" i="9"/>
  <c r="D5" i="53"/>
  <c r="H107" i="9"/>
  <c r="G14" i="74" s="1"/>
  <c r="F4" i="52"/>
  <c r="B51" i="72" s="1"/>
  <c r="F119" i="9"/>
  <c r="F5" i="52" s="1"/>
  <c r="B53" i="72" s="1"/>
  <c r="G118" i="9"/>
  <c r="G4" i="52" s="1"/>
  <c r="B52" i="72" s="1"/>
  <c r="H5" i="52"/>
  <c r="D119" i="9" l="1"/>
  <c r="D5" i="52" s="1"/>
  <c r="B49" i="72" s="1"/>
  <c r="B5" i="74"/>
  <c r="E14"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B20" i="72"/>
  <c r="D6" i="53"/>
  <c r="B22" i="72" s="1"/>
  <c r="E118" i="9"/>
  <c r="E4" i="52" s="1"/>
  <c r="B48" i="72" s="1"/>
  <c r="C79" i="9" l="1"/>
  <c r="C80" i="9" s="1"/>
  <c r="D8" i="52"/>
  <c r="B6" i="74"/>
  <c r="D123" i="9"/>
  <c r="D9" i="52" s="1"/>
  <c r="C95" i="9"/>
  <c r="B30" i="72"/>
  <c r="D14" i="53"/>
  <c r="B32" i="72" s="1"/>
  <c r="L64" i="9"/>
  <c r="M64" i="9" s="1"/>
  <c r="L66" i="9"/>
  <c r="M66" i="9" s="1"/>
  <c r="L63" i="9"/>
  <c r="M63" i="9" s="1"/>
  <c r="L67" i="9"/>
  <c r="M67" i="9" s="1"/>
  <c r="L65" i="9"/>
  <c r="M65" i="9" s="1"/>
  <c r="L68" i="9"/>
  <c r="M68" i="9" s="1"/>
  <c r="C5" i="74"/>
  <c r="D5" i="74"/>
  <c r="E80" i="9" l="1"/>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张焕</author>
  </authors>
  <commentList>
    <comment ref="G28" authorId="0">
      <text>
        <r>
          <rPr>
            <b/>
            <sz val="9"/>
            <color indexed="81"/>
            <rFont val="宋体"/>
            <family val="3"/>
            <charset val="134"/>
          </rPr>
          <t>张焕:</t>
        </r>
        <r>
          <rPr>
            <sz val="9"/>
            <color indexed="81"/>
            <rFont val="宋体"/>
            <family val="3"/>
            <charset val="134"/>
          </rPr>
          <t xml:space="preserve">
71318.08由旧合同转入
2023.3.28交付押金差额48461.69</t>
        </r>
      </text>
    </comment>
    <comment ref="G29" authorId="0">
      <text>
        <r>
          <rPr>
            <b/>
            <sz val="9"/>
            <color indexed="81"/>
            <rFont val="宋体"/>
            <family val="3"/>
            <charset val="134"/>
          </rPr>
          <t>张焕:</t>
        </r>
        <r>
          <rPr>
            <sz val="9"/>
            <color indexed="81"/>
            <rFont val="宋体"/>
            <family val="3"/>
            <charset val="134"/>
          </rPr>
          <t xml:space="preserve">
2021.12.16交付
转为违约金</t>
        </r>
      </text>
    </comment>
    <comment ref="G37" authorId="0">
      <text>
        <r>
          <rPr>
            <b/>
            <sz val="9"/>
            <color indexed="81"/>
            <rFont val="宋体"/>
            <family val="3"/>
            <charset val="134"/>
          </rPr>
          <t>张焕:</t>
        </r>
        <r>
          <rPr>
            <sz val="9"/>
            <color indexed="81"/>
            <rFont val="宋体"/>
            <family val="3"/>
            <charset val="134"/>
          </rPr>
          <t xml:space="preserve">
149739.61由旧合同押金转入
2023.1.17交付押金97504.09；</t>
        </r>
      </text>
    </comment>
    <comment ref="G38" authorId="0">
      <text>
        <r>
          <rPr>
            <b/>
            <sz val="9"/>
            <color indexed="81"/>
            <rFont val="宋体"/>
            <family val="3"/>
            <charset val="134"/>
          </rPr>
          <t>张焕</t>
        </r>
        <r>
          <rPr>
            <b/>
            <sz val="9"/>
            <color indexed="81"/>
            <rFont val="Tahoma"/>
            <family val="2"/>
          </rPr>
          <t>:</t>
        </r>
        <r>
          <rPr>
            <sz val="9"/>
            <color indexed="81"/>
            <rFont val="Tahoma"/>
            <family val="2"/>
          </rPr>
          <t xml:space="preserve">
2022.3.11</t>
        </r>
        <r>
          <rPr>
            <sz val="9"/>
            <color indexed="81"/>
            <rFont val="宋体"/>
            <family val="3"/>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<sst xmlns="http://schemas.openxmlformats.org/spreadsheetml/2006/main" count="9526" uniqueCount="3923">
  <si>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</si>
  <si>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</si>
  <si>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</si>
  <si>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</si>
  <si>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</si>
  <si>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</si>
  <si>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</si>
  <si>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</si>
  <si>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</si>
  <si>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</si>
  <si>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</si>
  <si>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</si>
  <si>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</si>
  <si>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</si>
  <si>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</si>
  <si>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</si>
  <si>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</si>
  <si>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</si>
  <si>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</si>
  <si>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</si>
  <si>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</si>
  <si>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</si>
  <si>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</si>
  <si>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</si>
  <si>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</si>
  <si>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</si>
  <si>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</si>
  <si>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</si>
  <si>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</si>
  <si>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</si>
  <si>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</si>
  <si>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</si>
  <si>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</si>
  <si>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</si>
  <si>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</si>
  <si>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</si>
  <si>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</si>
  <si>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</si>
  <si>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</si>
  <si>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</si>
  <si>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</si>
  <si>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</si>
  <si>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</si>
  <si>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</si>
  <si>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</si>
  <si>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</si>
  <si>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</si>
  <si>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</si>
  <si>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</si>
  <si>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</si>
  <si>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</si>
  <si>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</si>
  <si>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</si>
  <si>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</si>
  <si>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</si>
  <si>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</si>
  <si>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</si>
  <si>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</si>
  <si>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</si>
  <si>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</si>
  <si>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</si>
  <si>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</si>
  <si>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</si>
  <si>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</si>
  <si>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</si>
  <si>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</si>
  <si>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</si>
  <si>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</si>
  <si>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</si>
  <si>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</si>
  <si>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</si>
  <si>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</si>
  <si>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</si>
  <si>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</si>
  <si>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</si>
  <si>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</si>
  <si>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</si>
  <si>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</si>
  <si>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</si>
  <si>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</si>
  <si>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</si>
  <si>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</si>
  <si>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</si>
  <si>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</si>
  <si>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</si>
  <si>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</si>
  <si>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</si>
  <si>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</si>
  <si>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</si>
  <si>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</si>
  <si>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</si>
  <si>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</si>
  <si>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</si>
  <si>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</si>
  <si>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</si>
  <si>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</si>
  <si>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</si>
  <si>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</si>
  <si>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</si>
  <si>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</si>
  <si>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</si>
  <si>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</si>
  <si>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</si>
  <si>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</si>
  <si>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</si>
  <si>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</si>
  <si>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</si>
  <si>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</si>
  <si>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</si>
  <si>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</si>
  <si>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</si>
  <si>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</si>
  <si>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</si>
  <si>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</si>
  <si>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</si>
  <si>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</si>
  <si>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</si>
  <si>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</si>
  <si>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</si>
  <si>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</si>
  <si>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</si>
  <si>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</si>
  <si>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</si>
  <si>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</si>
  <si>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</si>
  <si>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</si>
  <si>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</si>
  <si>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</si>
  <si>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</si>
  <si>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</si>
  <si>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</si>
  <si>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</si>
  <si>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</si>
  <si>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</si>
  <si>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</si>
  <si>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</si>
  <si>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</si>
  <si>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</si>
  <si>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</si>
  <si>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</si>
  <si>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</si>
  <si>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</si>
  <si>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</si>
  <si>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</si>
  <si>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</si>
  <si>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</si>
  <si>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</si>
  <si>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</si>
  <si>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</si>
  <si>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</si>
  <si>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</si>
  <si>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</si>
  <si>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</si>
  <si>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</si>
  <si>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</si>
  <si>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</si>
  <si>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</si>
  <si>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</si>
  <si>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</si>
  <si>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</si>
  <si>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</si>
  <si>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</si>
  <si>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</si>
  <si>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</si>
  <si>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</si>
  <si>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</si>
  <si>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</si>
  <si>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</si>
  <si>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</si>
  <si>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</si>
  <si>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</si>
  <si>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</si>
  <si>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</si>
  <si>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</si>
  <si>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</si>
  <si>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</si>
  <si>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</si>
  <si>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</si>
  <si>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</si>
  <si>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</si>
  <si>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</si>
  <si>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</si>
  <si>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</si>
  <si>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</si>
  <si>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</si>
  <si>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</si>
  <si>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</si>
  <si>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</si>
  <si>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</si>
  <si>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</si>
  <si>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</si>
  <si>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</si>
  <si>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</si>
  <si>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</si>
  <si>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</si>
  <si>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</si>
  <si>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</si>
  <si>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</si>
  <si>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</si>
  <si>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</si>
  <si>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</si>
  <si>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</si>
  <si>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</si>
  <si>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</si>
  <si>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</si>
  <si>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</si>
  <si>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</si>
  <si>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</si>
  <si>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</si>
  <si>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</si>
  <si>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</si>
  <si>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</si>
  <si>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</si>
  <si>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</si>
  <si>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</si>
  <si>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</si>
  <si>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</si>
  <si>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</si>
  <si>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</si>
  <si>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</si>
  <si>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</si>
  <si>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</si>
  <si>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</si>
  <si>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</si>
  <si>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</si>
  <si>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</si>
  <si>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</si>
  <si>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</si>
  <si>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</si>
  <si>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</si>
  <si>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</si>
  <si>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</si>
  <si>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</si>
  <si>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</si>
  <si>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</si>
  <si>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</si>
  <si>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</si>
  <si>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</si>
  <si>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</si>
  <si>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</si>
  <si>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</si>
  <si>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</si>
  <si>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</si>
  <si>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</si>
  <si>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</si>
  <si>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</si>
  <si>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</si>
  <si>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</si>
  <si>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</si>
  <si>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</si>
  <si>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</si>
  <si>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</si>
  <si>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</si>
  <si>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</si>
  <si>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</si>
  <si>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</si>
  <si>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</si>
  <si>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</si>
  <si>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</si>
  <si>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</si>
  <si>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</si>
  <si>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</si>
  <si>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</si>
  <si>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</si>
  <si>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</si>
  <si>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</si>
  <si>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</si>
  <si>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</si>
  <si>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</si>
  <si>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</si>
  <si>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</si>
  <si>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</si>
  <si>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</si>
  <si>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</si>
  <si>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</si>
  <si>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</si>
  <si>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</si>
  <si>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</si>
  <si>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</si>
  <si>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</si>
  <si>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</si>
  <si>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</si>
  <si>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</si>
  <si>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</si>
  <si>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</si>
  <si>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</si>
  <si>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</si>
  <si>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</si>
  <si>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</si>
  <si>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</si>
  <si>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</si>
  <si>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</si>
  <si>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</si>
  <si>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</si>
  <si>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</si>
  <si>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</si>
  <si>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</si>
  <si>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</si>
  <si>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</si>
  <si>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</si>
  <si>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</si>
  <si>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</si>
  <si>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</si>
  <si>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</si>
  <si>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</si>
  <si>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</si>
  <si>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</si>
  <si>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</si>
  <si>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</si>
  <si>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</si>
  <si>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</si>
  <si>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</si>
  <si>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</si>
  <si>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</si>
  <si>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</si>
  <si>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</si>
  <si>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</si>
  <si>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</si>
  <si>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</si>
  <si>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</si>
  <si>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</si>
  <si>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</si>
  <si>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</si>
  <si>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</si>
  <si>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</si>
  <si>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</si>
  <si>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</si>
  <si>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</si>
  <si>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</si>
  <si>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</si>
  <si>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</si>
  <si>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</si>
  <si>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</si>
  <si>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</si>
  <si>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</si>
  <si>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</si>
  <si>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</si>
  <si>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</si>
  <si>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</si>
  <si>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</si>
  <si>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</si>
  <si>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</si>
  <si>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</si>
  <si>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</si>
  <si>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</si>
  <si>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</si>
  <si>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</si>
  <si>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</si>
  <si>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</si>
  <si>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</si>
  <si>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</si>
  <si>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</si>
  <si>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</si>
  <si>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</si>
  <si>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</si>
  <si>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</si>
  <si>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</si>
  <si>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</si>
  <si>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</si>
  <si>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</si>
  <si>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</si>
  <si>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</si>
  <si>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</si>
  <si>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</si>
  <si>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</si>
  <si>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</si>
  <si>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</si>
  <si>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</si>
  <si>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</si>
  <si>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</si>
  <si>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</si>
  <si>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</si>
  <si>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</si>
  <si>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</si>
  <si>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</si>
  <si>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</si>
  <si>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</si>
  <si>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</si>
  <si>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</si>
  <si>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</si>
  <si>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</si>
  <si>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</si>
  <si>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</si>
  <si>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</si>
  <si>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</si>
  <si>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</si>
  <si>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</si>
  <si>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</si>
  <si>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</si>
  <si>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</si>
  <si>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</si>
  <si>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</si>
  <si>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</si>
  <si>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</si>
  <si>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</si>
  <si>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</si>
  <si>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</si>
  <si>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</si>
  <si>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</si>
  <si>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</si>
  <si>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</si>
  <si>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</si>
  <si>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</si>
  <si>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</si>
  <si>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</si>
  <si>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</si>
  <si>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</si>
  <si>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</si>
  <si>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</si>
  <si>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</si>
  <si>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</si>
  <si>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</si>
  <si>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</si>
  <si>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</si>
  <si>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</si>
  <si>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</si>
  <si>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</si>
  <si>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</si>
  <si>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</si>
  <si>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</si>
  <si>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</si>
  <si>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</si>
  <si>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</si>
  <si>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</si>
  <si>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</si>
  <si>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</si>
  <si>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</si>
  <si>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</si>
  <si>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</si>
  <si>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</si>
  <si>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</si>
  <si>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</si>
  <si>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</si>
  <si>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</si>
  <si>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</si>
  <si>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</si>
  <si>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</si>
  <si>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</si>
  <si>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</si>
  <si>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</si>
  <si>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</si>
  <si>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</si>
  <si>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</si>
  <si>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</si>
  <si>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</si>
  <si>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</si>
  <si>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</si>
  <si>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</si>
  <si>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</si>
  <si>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</si>
  <si>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</si>
  <si>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</si>
  <si>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</si>
  <si>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</si>
  <si>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</si>
  <si>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</si>
  <si>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</si>
  <si>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</si>
  <si>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</si>
  <si>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</si>
  <si>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</si>
  <si>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</si>
  <si>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</si>
  <si>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</si>
  <si>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</si>
  <si>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</si>
  <si>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</si>
  <si>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</si>
  <si>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</si>
  <si>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</si>
  <si>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</si>
  <si>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</si>
  <si>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</si>
  <si>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</si>
  <si>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</si>
  <si>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</si>
  <si>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</si>
  <si>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</si>
  <si>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</si>
  <si>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</si>
  <si>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</si>
  <si>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</si>
  <si>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</si>
  <si>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</si>
  <si>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</si>
  <si>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</si>
  <si>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</si>
  <si>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</si>
  <si>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</si>
  <si>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</si>
  <si>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</si>
  <si>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</si>
  <si>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</si>
  <si>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</si>
  <si>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</si>
  <si>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</si>
  <si>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</si>
  <si>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</si>
  <si>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</si>
  <si>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</si>
  <si>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</si>
  <si>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</si>
  <si>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</si>
  <si>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</si>
  <si>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</si>
  <si>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</si>
  <si>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</si>
  <si>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</si>
  <si>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</si>
  <si>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</si>
  <si>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</si>
  <si>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</si>
  <si>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</si>
  <si>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</si>
  <si>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</si>
  <si>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</si>
  <si>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</si>
  <si>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</si>
  <si>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</si>
  <si>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</si>
  <si>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</si>
  <si>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</si>
  <si>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</si>
  <si>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</si>
  <si>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</si>
  <si>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</si>
  <si>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</si>
  <si>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</si>
  <si>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</si>
  <si>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</si>
  <si>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</si>
  <si>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</si>
  <si>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</si>
  <si>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</si>
  <si>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</si>
  <si>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</si>
  <si>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</si>
  <si>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</si>
  <si>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</si>
  <si>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</si>
  <si>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</si>
  <si>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</si>
  <si>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</si>
  <si>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</si>
  <si>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</si>
  <si>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</si>
  <si>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</si>
  <si>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</si>
  <si>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</si>
  <si>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</si>
  <si>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</si>
  <si>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</si>
  <si>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</si>
  <si>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</si>
  <si>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</si>
  <si>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</si>
  <si>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</si>
  <si>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</si>
  <si>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</si>
  <si>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</si>
  <si>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</si>
  <si>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</si>
  <si>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</si>
  <si>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</si>
  <si>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</si>
  <si>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</si>
  <si>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</si>
  <si>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</si>
  <si>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</si>
  <si>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</si>
  <si>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</si>
  <si>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</si>
  <si>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</si>
  <si>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</si>
  <si>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</si>
  <si>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</si>
  <si>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</si>
  <si>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</si>
  <si>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</si>
  <si>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</si>
  <si>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</si>
  <si>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</si>
  <si>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</si>
  <si>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</si>
  <si>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</si>
  <si>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</si>
  <si>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</si>
  <si>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</si>
  <si>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</si>
  <si>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</si>
  <si>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</si>
  <si>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</si>
  <si>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</si>
  <si>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</si>
  <si>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</si>
  <si>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</si>
  <si>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</si>
  <si>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</si>
  <si>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</si>
  <si>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</si>
  <si>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</si>
  <si>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</si>
  <si>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</si>
  <si>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</si>
  <si>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</si>
  <si>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</si>
  <si>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</si>
  <si>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</si>
  <si>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</si>
  <si>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</si>
  <si>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</si>
  <si>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</si>
  <si>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</si>
  <si>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</si>
  <si>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</si>
  <si>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</si>
  <si>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</si>
  <si>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</si>
  <si>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</si>
  <si>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</si>
  <si>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</si>
  <si>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</si>
  <si>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</si>
  <si>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</si>
  <si>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</si>
  <si>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</si>
  <si>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</si>
  <si>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</si>
  <si>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</si>
  <si>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</si>
  <si>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</si>
  <si>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</si>
  <si>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</si>
  <si>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</si>
  <si>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</si>
  <si>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</si>
  <si>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</si>
  <si>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</si>
  <si>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</si>
  <si>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</si>
  <si>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</si>
  <si>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</si>
  <si>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</si>
  <si>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</si>
  <si>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</si>
  <si>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</si>
  <si>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</si>
  <si>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</si>
  <si>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</si>
  <si>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</si>
  <si>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</si>
  <si>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</si>
  <si>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</si>
  <si>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</si>
  <si>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</si>
  <si>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</si>
  <si>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</si>
  <si>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</si>
  <si>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</si>
  <si>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</si>
  <si>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</si>
  <si>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</si>
  <si>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</si>
  <si>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</si>
  <si>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</si>
  <si>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</si>
  <si>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</si>
  <si>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</si>
  <si>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</si>
  <si>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</si>
  <si>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</si>
  <si>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</si>
  <si>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</si>
  <si>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</si>
  <si>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</si>
  <si>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</si>
  <si>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</si>
  <si>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</si>
  <si>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</si>
  <si>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</si>
  <si>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</si>
  <si>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</si>
  <si>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</si>
  <si>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</si>
  <si>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</si>
  <si>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</si>
  <si>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</si>
  <si>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</si>
  <si>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</si>
  <si>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</si>
  <si>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</si>
  <si>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</si>
  <si>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</si>
  <si>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</si>
  <si>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</si>
  <si>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</si>
  <si>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</si>
  <si>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</si>
  <si>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</si>
  <si>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</si>
  <si>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</si>
  <si>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</si>
  <si>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</si>
  <si>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</si>
  <si>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</si>
  <si>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</si>
  <si>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</si>
  <si>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</si>
  <si>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</si>
  <si>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</si>
  <si>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</si>
  <si>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</si>
  <si>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</si>
  <si>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</si>
  <si>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</si>
  <si>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</si>
  <si>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</si>
  <si>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</si>
  <si>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</si>
  <si>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</si>
  <si>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</si>
  <si>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</si>
  <si>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</si>
  <si>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</si>
  <si>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</si>
  <si>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</si>
  <si>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</si>
  <si>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</si>
  <si>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</si>
  <si>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</si>
  <si>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</si>
  <si>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</si>
  <si>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</si>
  <si>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</si>
  <si>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</si>
  <si>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</si>
  <si>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</si>
  <si>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</si>
  <si>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</si>
  <si>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</si>
  <si>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</si>
  <si>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</si>
  <si>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</si>
  <si>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</si>
  <si>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</si>
  <si>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</si>
  <si>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</si>
  <si>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</si>
  <si>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</si>
  <si>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</si>
  <si>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</si>
  <si>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</si>
  <si>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</si>
  <si>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</si>
  <si>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</si>
  <si>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</si>
  <si>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</si>
  <si>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</si>
  <si>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</si>
  <si>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</si>
  <si>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</si>
  <si>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</si>
  <si>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</si>
  <si>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</si>
  <si>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</si>
  <si>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</si>
  <si>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</si>
  <si>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</si>
  <si>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</si>
  <si>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</si>
  <si>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</si>
  <si>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</si>
  <si>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</si>
  <si>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</si>
  <si>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</si>
  <si>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</si>
  <si>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</si>
  <si>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</si>
  <si>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</si>
  <si>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</si>
  <si>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</si>
  <si>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</si>
  <si>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</si>
  <si>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</si>
  <si>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</si>
  <si>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</si>
  <si>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</si>
  <si>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</si>
  <si>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</si>
  <si>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</si>
  <si>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</si>
  <si>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</si>
  <si>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</si>
  <si>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</si>
  <si>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</si>
  <si>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</si>
  <si>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</si>
  <si>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</si>
  <si>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</si>
  <si>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</si>
  <si>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</si>
  <si>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</si>
  <si>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</si>
  <si>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</si>
  <si>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</si>
  <si>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</si>
  <si>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</si>
  <si>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</si>
  <si>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</si>
  <si>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</si>
  <si>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</si>
  <si>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</si>
  <si>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</si>
  <si>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</si>
  <si>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</si>
  <si>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</si>
  <si>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</si>
  <si>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</si>
  <si>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</si>
  <si>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</si>
  <si>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</si>
  <si>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</si>
  <si>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</si>
  <si>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</si>
  <si>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</si>
  <si>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</si>
  <si>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</si>
  <si>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</si>
  <si>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</si>
  <si>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</si>
  <si>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</si>
  <si>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</si>
  <si>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</si>
  <si>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</si>
  <si>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</si>
  <si>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</si>
  <si>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</si>
  <si>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</si>
  <si>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</si>
  <si>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</si>
  <si>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</si>
  <si>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</si>
  <si>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</si>
  <si>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</si>
  <si>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</si>
  <si>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</si>
  <si>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</si>
  <si>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</si>
  <si>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</si>
  <si>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</si>
  <si>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</si>
  <si>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</si>
  <si>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</si>
  <si>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</si>
  <si>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</si>
  <si>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</si>
  <si>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</si>
  <si>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</si>
  <si>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</si>
  <si>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</si>
  <si>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</si>
  <si>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</si>
  <si>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</si>
  <si>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</si>
  <si>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</si>
  <si>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</si>
  <si>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</si>
  <si>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</si>
  <si>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</si>
  <si>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</si>
  <si>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</si>
  <si>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</si>
  <si>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</si>
  <si>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</si>
  <si>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</si>
  <si>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</si>
  <si>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</si>
  <si>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</si>
  <si>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</si>
  <si>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</si>
  <si>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</si>
  <si>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</si>
  <si>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</si>
  <si>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</si>
  <si>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</si>
  <si>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</si>
  <si>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</si>
  <si>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</si>
  <si>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</si>
  <si>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</si>
  <si>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</si>
  <si>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</si>
  <si>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</si>
  <si>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</si>
  <si>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</si>
  <si>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</si>
  <si>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</si>
  <si>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</si>
  <si>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</si>
  <si>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</si>
  <si>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</si>
  <si>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</si>
  <si>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</si>
  <si>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</si>
  <si>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</si>
  <si>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</si>
  <si>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</si>
  <si>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</si>
  <si>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</si>
  <si>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</si>
  <si>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</si>
  <si>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</si>
  <si>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</si>
  <si>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</si>
  <si>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</si>
  <si>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</si>
  <si>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</si>
  <si>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</si>
  <si>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</si>
  <si>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</si>
  <si>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</si>
  <si>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</si>
  <si>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</si>
  <si>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</si>
  <si>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</si>
  <si>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</si>
  <si>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</si>
  <si>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</si>
  <si>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</si>
  <si>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</si>
  <si>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</si>
  <si>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</si>
  <si>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</si>
  <si>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</si>
  <si>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</si>
  <si>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</si>
  <si>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</si>
  <si>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</si>
  <si>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</si>
  <si>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</si>
  <si>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</si>
  <si>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</si>
  <si>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</si>
  <si>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</si>
  <si>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</si>
  <si>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</si>
  <si>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</si>
  <si>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</si>
  <si>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</si>
  <si>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</si>
  <si>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</si>
  <si>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</si>
  <si>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</si>
  <si>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</si>
  <si>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</si>
  <si>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</si>
  <si>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</si>
  <si>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</si>
  <si>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</si>
  <si>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</si>
  <si>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</si>
  <si>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</si>
  <si>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</si>
  <si>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</si>
  <si>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</si>
  <si>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</si>
  <si>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</si>
  <si>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</si>
  <si>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</si>
  <si>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</si>
  <si>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</si>
  <si>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</si>
  <si>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</si>
  <si>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</si>
  <si>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</si>
  <si>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</si>
  <si>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</si>
  <si>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</si>
  <si>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</si>
  <si>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</si>
  <si>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</si>
  <si>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</si>
  <si>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</si>
  <si>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</si>
  <si>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</si>
  <si>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</si>
  <si>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</si>
  <si>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</si>
  <si>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</si>
  <si>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</si>
  <si>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</si>
  <si>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</si>
  <si>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</si>
  <si>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</si>
  <si>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</si>
  <si>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</si>
  <si>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</si>
  <si>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</si>
  <si>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</si>
  <si>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</si>
  <si>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</si>
  <si>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</si>
  <si>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</si>
  <si>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</si>
  <si>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</si>
  <si>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</si>
  <si>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</si>
  <si>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</si>
  <si>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</si>
  <si>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</si>
  <si>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</si>
  <si>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</si>
  <si>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</si>
  <si>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</si>
  <si>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</si>
  <si>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</si>
  <si>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</si>
  <si>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</si>
  <si>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</si>
  <si>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</si>
  <si>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</si>
  <si>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</si>
  <si>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</si>
  <si>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</si>
  <si>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</si>
  <si>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</si>
  <si>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</si>
  <si>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</si>
  <si>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</si>
  <si>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</si>
  <si>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</si>
  <si>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</si>
  <si>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</si>
  <si>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</si>
  <si>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</si>
  <si>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</si>
  <si>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</si>
  <si>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</si>
  <si>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</si>
  <si>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</si>
  <si>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</si>
  <si>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</si>
  <si>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</si>
  <si>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</si>
  <si>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</si>
  <si>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</si>
  <si>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</si>
  <si>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</si>
  <si>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</si>
  <si>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</si>
  <si>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</si>
  <si>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</si>
  <si>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</si>
  <si>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</si>
  <si>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</si>
  <si>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</si>
  <si>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</si>
  <si>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</si>
  <si>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</si>
  <si>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</si>
  <si>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</si>
  <si>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</si>
  <si>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</si>
  <si>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</si>
  <si>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</si>
  <si>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</si>
  <si>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</si>
  <si>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</si>
  <si>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</si>
  <si>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</si>
  <si>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</si>
  <si>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</si>
  <si>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</si>
  <si>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</si>
  <si>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</si>
  <si>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</si>
  <si>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</si>
  <si>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</si>
  <si>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</si>
  <si>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</si>
  <si>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</si>
  <si>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</si>
  <si>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</si>
  <si>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</si>
  <si>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</si>
  <si>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</si>
  <si>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</si>
  <si>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</si>
  <si>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</si>
  <si>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</si>
  <si>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</si>
  <si>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</si>
  <si>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</si>
  <si>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</si>
  <si>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</si>
  <si>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</si>
  <si>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</si>
  <si>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</si>
  <si>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</si>
  <si>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</si>
  <si>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</si>
  <si>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</si>
  <si>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</si>
  <si>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</si>
  <si>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</si>
  <si>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</si>
  <si>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</si>
  <si>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</si>
  <si>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</si>
  <si>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</si>
  <si>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</si>
  <si>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</si>
  <si>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</si>
  <si>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</si>
  <si>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</si>
  <si>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</si>
  <si>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</si>
  <si>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</si>
  <si>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</si>
  <si>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</si>
  <si>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</si>
  <si>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</si>
  <si>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</si>
  <si>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</si>
  <si>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</si>
  <si>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</si>
  <si>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</si>
  <si>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</si>
  <si>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</si>
  <si>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</si>
  <si>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</si>
  <si>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</si>
  <si>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</si>
  <si>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</si>
  <si>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</si>
  <si>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</si>
  <si>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</si>
  <si>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</si>
  <si>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</si>
  <si>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</si>
  <si>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</si>
  <si>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</si>
  <si>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</si>
  <si>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</si>
  <si>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</si>
  <si>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</si>
  <si>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</si>
  <si>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</si>
  <si>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</si>
  <si>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</si>
  <si>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</si>
  <si>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</si>
  <si>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</si>
  <si>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</si>
  <si>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</si>
  <si>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</si>
  <si>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</si>
  <si>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</si>
  <si>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</si>
  <si>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</si>
  <si>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</si>
  <si>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</si>
  <si>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</si>
  <si>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</si>
  <si>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</si>
  <si>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</si>
  <si>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</si>
  <si>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</si>
  <si>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</si>
  <si>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</si>
  <si>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</si>
  <si>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</si>
  <si>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</si>
  <si>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</si>
  <si>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</si>
  <si>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</si>
  <si>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</si>
  <si>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</si>
  <si>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</si>
  <si>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</si>
  <si>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</si>
  <si>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</si>
  <si>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</si>
  <si>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</si>
  <si>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</si>
  <si>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</si>
  <si>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</si>
  <si>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</si>
  <si>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</si>
  <si>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</si>
  <si>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</si>
  <si>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</si>
  <si>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</si>
  <si>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</si>
  <si>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</si>
  <si>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</si>
  <si>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</si>
  <si>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</si>
  <si>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</si>
  <si>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</si>
  <si>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</si>
  <si>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</si>
  <si>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</si>
  <si>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</si>
  <si>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</si>
  <si>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</si>
  <si>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</si>
  <si>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</si>
  <si>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</si>
  <si>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</si>
  <si>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</si>
  <si>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</si>
  <si>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</si>
  <si>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</si>
  <si>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</si>
  <si>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</si>
  <si>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</si>
  <si>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</si>
  <si>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</si>
  <si>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</si>
  <si>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</si>
  <si>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</si>
  <si>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</si>
  <si>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</si>
  <si>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</si>
  <si>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</si>
  <si>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</si>
  <si>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</si>
  <si>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</si>
  <si>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</si>
  <si>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</si>
  <si>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</si>
  <si>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</si>
  <si>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</si>
  <si>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</si>
  <si>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</si>
  <si>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</si>
  <si>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</si>
  <si>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</si>
  <si>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</si>
  <si>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</si>
  <si>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</si>
  <si>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</si>
  <si>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</si>
  <si>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</si>
  <si>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</si>
  <si>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</si>
  <si>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</si>
  <si>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</si>
  <si>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</si>
  <si>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</si>
  <si>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</si>
  <si>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</si>
  <si>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</si>
  <si>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</si>
  <si>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</si>
  <si>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</si>
  <si>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</si>
  <si>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</si>
  <si>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</si>
  <si>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</si>
  <si>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</si>
  <si>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</si>
  <si>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</si>
  <si>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</si>
  <si>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</si>
  <si>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</si>
  <si>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</si>
  <si>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</si>
  <si>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</si>
  <si>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</si>
  <si>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</si>
  <si>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</si>
  <si>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</si>
  <si>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</si>
  <si>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</si>
  <si>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</si>
  <si>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</si>
  <si>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</si>
  <si>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</si>
  <si>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</si>
  <si>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</si>
  <si>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</si>
  <si>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</si>
  <si>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</si>
  <si>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</si>
  <si>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</si>
  <si>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</si>
  <si>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</si>
  <si>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</si>
  <si>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</si>
  <si>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</si>
  <si>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</si>
  <si>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</si>
  <si>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</si>
  <si>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</si>
  <si>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</si>
  <si>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</si>
  <si>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</si>
  <si>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</si>
  <si>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</si>
  <si>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</si>
  <si>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</si>
  <si>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</si>
  <si>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</si>
  <si>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</si>
  <si>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</si>
  <si>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</si>
  <si>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</si>
  <si>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</si>
  <si>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</si>
  <si>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</si>
  <si>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</si>
  <si>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</si>
  <si>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</si>
  <si>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</si>
  <si>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</si>
  <si>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</si>
  <si>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</si>
  <si>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</si>
  <si>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</si>
  <si>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</si>
  <si>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</si>
  <si>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</si>
  <si>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</si>
  <si>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</si>
  <si>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</si>
  <si>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</si>
  <si>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</si>
  <si>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</si>
  <si>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</si>
  <si>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</si>
  <si>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</si>
  <si>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</si>
  <si>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</si>
  <si>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</si>
  <si>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</si>
  <si>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</si>
  <si>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</si>
  <si>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</si>
  <si>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</si>
  <si>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</si>
  <si>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</si>
  <si>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</si>
  <si>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</si>
  <si>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</si>
  <si>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</si>
  <si>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</si>
  <si>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</si>
  <si>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</si>
  <si>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</si>
  <si>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</si>
  <si>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</si>
  <si>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</si>
  <si>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</si>
  <si>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</si>
  <si>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</si>
  <si>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</si>
  <si>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</si>
  <si>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</si>
  <si>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</si>
  <si>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</si>
  <si>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</si>
  <si>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</si>
  <si>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</si>
  <si>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</si>
  <si>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</si>
  <si>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</si>
  <si>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</si>
  <si>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</si>
  <si>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</si>
  <si>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</si>
  <si>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</si>
  <si>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</si>
  <si>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</si>
  <si>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</si>
  <si>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</si>
  <si>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</si>
  <si>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</si>
  <si>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</si>
  <si>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</si>
  <si>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</si>
  <si>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</si>
  <si>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</si>
  <si>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</si>
  <si>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</si>
  <si>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</si>
  <si>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</si>
  <si>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</si>
  <si>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</si>
  <si>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</si>
  <si>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</si>
  <si>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</si>
  <si>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</si>
  <si>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</si>
  <si>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</si>
  <si>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</si>
  <si>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</si>
  <si>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</si>
  <si>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</si>
  <si>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</si>
  <si>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</si>
  <si>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</si>
  <si>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</si>
  <si>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</si>
  <si>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</si>
  <si>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</si>
  <si>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</si>
  <si>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</si>
  <si>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</si>
  <si>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</si>
  <si>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</si>
  <si>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</si>
  <si>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</si>
  <si>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</si>
  <si>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</si>
  <si>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</si>
  <si>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</si>
  <si>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</si>
  <si>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</si>
  <si>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</si>
  <si>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</si>
  <si>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</si>
  <si>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</si>
  <si>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</si>
  <si>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</si>
  <si>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</si>
  <si>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</si>
  <si>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</si>
  <si>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</si>
  <si>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</si>
  <si>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</si>
  <si>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</si>
  <si>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</si>
  <si>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</si>
  <si>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</si>
  <si>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</si>
  <si>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</si>
  <si>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</si>
  <si>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</si>
  <si>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</si>
  <si>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</si>
  <si>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</si>
  <si>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</si>
  <si>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</si>
  <si>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</si>
  <si>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</si>
  <si>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</si>
  <si>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</si>
  <si>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</si>
  <si>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</si>
  <si>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</si>
  <si>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</si>
  <si>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</si>
  <si>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</si>
  <si>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</si>
  <si>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</si>
  <si>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</si>
  <si>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</si>
  <si>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</si>
  <si>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</si>
  <si>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</si>
  <si>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</si>
  <si>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</si>
  <si>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</si>
  <si>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</si>
  <si>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</si>
  <si>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</si>
  <si>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</si>
  <si>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</si>
  <si>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</si>
  <si>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</si>
  <si>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</si>
  <si>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</si>
  <si>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</si>
  <si>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</si>
  <si>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</si>
  <si>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</si>
  <si>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</si>
  <si>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</si>
  <si>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</si>
  <si>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</si>
  <si>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</si>
  <si>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</si>
  <si>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</si>
  <si>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</si>
  <si>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</si>
  <si>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</si>
  <si>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</si>
  <si>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</si>
  <si>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</si>
  <si>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</si>
  <si>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</si>
  <si>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</si>
  <si>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</si>
  <si>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</si>
  <si>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</si>
  <si>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</si>
  <si>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</si>
  <si>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</si>
  <si>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</si>
  <si>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</si>
  <si>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</si>
  <si>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</si>
  <si>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</si>
  <si>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</si>
  <si>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</si>
  <si>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</si>
  <si>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</si>
  <si>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</si>
  <si>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</si>
  <si>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</si>
  <si>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</si>
  <si>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</si>
  <si>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</si>
  <si>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</si>
  <si>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</si>
  <si>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</si>
  <si>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</si>
  <si>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</si>
  <si>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</si>
  <si>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</si>
  <si>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</si>
  <si>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</si>
  <si>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</si>
  <si>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</si>
  <si>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</si>
  <si>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</si>
  <si>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</si>
  <si>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</si>
  <si>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</si>
  <si>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</si>
  <si>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</si>
  <si>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</si>
  <si>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</si>
  <si>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</si>
  <si>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</si>
  <si>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</si>
  <si>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</si>
  <si>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</si>
  <si>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</si>
  <si>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</si>
  <si>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</si>
  <si>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</si>
  <si>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</si>
  <si>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</si>
  <si>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</si>
  <si>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</si>
  <si>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</si>
  <si>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</si>
  <si>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</si>
  <si>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</si>
  <si>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</si>
  <si>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</si>
  <si>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</si>
  <si>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</si>
  <si>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</si>
  <si>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</si>
  <si>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</si>
  <si>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</si>
  <si>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</si>
  <si>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</si>
  <si>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</si>
  <si>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</si>
  <si>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</si>
  <si>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</si>
  <si>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</si>
  <si>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</si>
  <si>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</si>
  <si>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</si>
  <si>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</si>
  <si>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</si>
  <si>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</si>
  <si>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</si>
  <si>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</si>
  <si>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</si>
  <si>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</si>
  <si>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</si>
  <si>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</si>
  <si>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</si>
  <si>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</si>
  <si>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</si>
  <si>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</si>
  <si>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</si>
  <si>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</si>
  <si>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</si>
  <si>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</si>
  <si>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</si>
  <si>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</si>
  <si>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</si>
  <si>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</si>
  <si>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</si>
  <si>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</si>
  <si>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</si>
  <si>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</si>
  <si>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</si>
  <si>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</si>
  <si>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</si>
  <si>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</si>
  <si>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</si>
  <si>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</si>
  <si>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</si>
  <si>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</si>
  <si>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</si>
  <si>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</si>
  <si>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</si>
  <si>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</si>
  <si>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</si>
  <si>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</si>
  <si>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</si>
  <si>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</si>
  <si>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</si>
  <si>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</si>
  <si>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</si>
  <si>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</si>
  <si>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</si>
  <si>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</si>
  <si>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</si>
  <si>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</si>
  <si>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</si>
  <si>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</si>
  <si>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</si>
  <si>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</si>
  <si>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</si>
  <si>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</si>
  <si>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</si>
  <si>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</si>
  <si>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</si>
  <si>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</si>
  <si>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</si>
  <si>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</si>
  <si>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</si>
  <si>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</si>
  <si>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</si>
  <si>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</si>
  <si>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</si>
  <si>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</si>
  <si>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</si>
  <si>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</si>
  <si>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</si>
  <si>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</si>
  <si>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</si>
  <si>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</si>
  <si>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</si>
  <si>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</si>
  <si>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</si>
  <si>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</si>
  <si>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</si>
  <si>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</si>
  <si>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</si>
  <si>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</si>
  <si>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</si>
  <si>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</si>
  <si>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</si>
  <si>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</si>
  <si>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</si>
  <si>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</si>
  <si>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</si>
  <si>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</si>
  <si>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</si>
  <si>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</si>
  <si>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</si>
  <si>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</si>
  <si>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</si>
  <si>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</si>
  <si>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</si>
  <si>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</si>
  <si>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</si>
  <si>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</si>
  <si>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</si>
  <si>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</si>
  <si>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</si>
  <si>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</si>
  <si>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</si>
  <si>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</si>
  <si>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</si>
  <si>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</si>
  <si>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</si>
  <si>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</si>
  <si>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</si>
  <si>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</si>
  <si>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</si>
  <si>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</si>
  <si>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</si>
  <si>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</si>
  <si>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</si>
  <si>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</si>
  <si>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</si>
  <si>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</si>
  <si>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</si>
  <si>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</si>
  <si>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</si>
  <si>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</si>
  <si>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</si>
  <si>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</si>
  <si>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</si>
  <si>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</si>
  <si>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</si>
  <si>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</si>
  <si>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</si>
  <si>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</si>
  <si>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</si>
  <si>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</si>
  <si>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</si>
  <si>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</si>
  <si>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</si>
  <si>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</si>
  <si>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</si>
  <si>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</si>
  <si>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</si>
  <si>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</si>
  <si>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</si>
  <si>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</si>
  <si>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</si>
  <si>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</si>
  <si>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</si>
  <si>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</si>
  <si>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</si>
  <si>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</si>
  <si>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</si>
  <si>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</si>
  <si>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</si>
  <si>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</si>
  <si>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</si>
  <si>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</si>
  <si>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</si>
  <si>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</si>
  <si>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</si>
  <si>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</si>
  <si>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</si>
  <si>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</si>
  <si>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</si>
  <si>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</si>
  <si>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</si>
  <si>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</si>
  <si>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</si>
  <si>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</si>
  <si>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</si>
  <si>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</si>
  <si>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</si>
  <si>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</si>
  <si>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</si>
  <si>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</si>
  <si>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</si>
  <si>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</si>
  <si>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</si>
  <si>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</si>
  <si>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</si>
  <si>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</si>
  <si>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</si>
  <si>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</si>
  <si>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</si>
  <si>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</si>
  <si>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</si>
  <si>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</si>
  <si>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</si>
  <si>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</si>
  <si>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</si>
  <si>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</si>
  <si>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</si>
  <si>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</si>
  <si>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</si>
  <si>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</si>
  <si>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</si>
  <si>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</si>
  <si>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</si>
  <si>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</si>
  <si>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</si>
  <si>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</si>
  <si>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</si>
  <si>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</si>
  <si>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</si>
  <si>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</si>
  <si>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</si>
  <si>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</si>
  <si>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</si>
  <si>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</si>
  <si>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</si>
  <si>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</si>
  <si>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</si>
  <si>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</si>
  <si>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</si>
  <si>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</si>
  <si>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</si>
  <si>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</si>
  <si>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</si>
  <si>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</si>
  <si>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</si>
  <si>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</si>
  <si>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</si>
  <si>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</si>
  <si>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</si>
  <si>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</si>
  <si>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</si>
  <si>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</si>
  <si>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</si>
  <si>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</si>
  <si>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</si>
  <si>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</si>
  <si>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</si>
  <si>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</si>
  <si>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</si>
  <si>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</si>
  <si>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</si>
  <si>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</si>
  <si>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</si>
  <si>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</si>
  <si>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</si>
  <si>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</si>
  <si>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</si>
  <si>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</si>
  <si>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</si>
  <si>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</si>
  <si>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</si>
  <si>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</si>
  <si>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</si>
  <si>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</si>
  <si>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</si>
  <si>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</si>
  <si>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</si>
  <si>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</si>
  <si>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</si>
  <si>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</si>
  <si>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</si>
  <si>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</si>
  <si>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</si>
  <si>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</si>
  <si>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</si>
  <si>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</si>
  <si>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</si>
  <si>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</si>
  <si>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</si>
  <si>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</si>
  <si>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</si>
  <si>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</si>
  <si>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</si>
  <si>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</si>
  <si>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</si>
  <si>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</si>
  <si>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</si>
  <si>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</si>
  <si>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</si>
  <si>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</si>
  <si>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</si>
  <si>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</si>
  <si>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</si>
  <si>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</si>
  <si>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</si>
  <si>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</si>
  <si>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</si>
  <si>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</si>
  <si>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</si>
  <si>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</si>
  <si>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</si>
  <si>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</si>
  <si>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</si>
  <si>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</si>
  <si>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</si>
  <si>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</si>
  <si>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</si>
  <si>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</si>
  <si>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</si>
  <si>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</si>
  <si>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</si>
  <si>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</si>
  <si>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</si>
  <si>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</si>
  <si>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</si>
  <si>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</si>
  <si>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</si>
  <si>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</si>
  <si>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</si>
  <si>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</si>
  <si>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</si>
  <si>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</si>
  <si>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</si>
  <si>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</si>
  <si>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</si>
  <si>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</si>
  <si>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</si>
  <si>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</si>
  <si>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</si>
  <si>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</si>
  <si>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</si>
  <si>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</si>
  <si>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</si>
  <si>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</si>
  <si>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</si>
  <si>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</si>
  <si>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</si>
  <si>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</si>
  <si>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</si>
  <si>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</si>
  <si>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</si>
  <si>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</si>
  <si>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</si>
  <si>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</si>
  <si>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</si>
  <si>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</si>
  <si>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</si>
  <si>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</si>
  <si>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</si>
  <si>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</si>
  <si>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</si>
  <si>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</si>
  <si>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</si>
  <si>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</si>
  <si>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</si>
  <si>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</si>
  <si>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</si>
  <si>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</si>
  <si>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</si>
  <si>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</si>
  <si>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</si>
  <si>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</si>
  <si>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</si>
  <si>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</si>
  <si>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</si>
  <si>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</si>
  <si>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</si>
  <si>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</si>
  <si>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</si>
  <si>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</si>
  <si>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</si>
  <si>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</si>
  <si>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</si>
  <si>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</si>
  <si>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</si>
  <si>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</si>
  <si>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</si>
  <si>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</si>
  <si>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</si>
  <si>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</si>
  <si>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</si>
  <si>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</si>
  <si>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</si>
  <si>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</si>
  <si>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</si>
  <si>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</si>
  <si>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</si>
  <si>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</si>
  <si>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</si>
  <si>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</si>
  <si>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</si>
  <si>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</si>
  <si>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</si>
  <si>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</si>
  <si>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</si>
  <si>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</si>
  <si>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</si>
  <si>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</si>
  <si>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</si>
  <si>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</si>
  <si>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</si>
  <si>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</si>
  <si>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</si>
  <si>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</si>
  <si>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</si>
  <si>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</si>
  <si>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</si>
  <si>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</si>
  <si>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</si>
  <si>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</si>
  <si>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</si>
  <si>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</si>
  <si>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</si>
  <si>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</si>
  <si>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</si>
  <si>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</si>
  <si>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</si>
  <si>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</si>
  <si>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</si>
  <si>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</si>
  <si>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</si>
  <si>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</si>
  <si>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</si>
  <si>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</si>
  <si>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</si>
  <si>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</si>
  <si>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</si>
  <si>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</si>
  <si>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</si>
  <si>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</si>
  <si>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</si>
  <si>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</si>
  <si>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</si>
  <si>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</si>
  <si>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</si>
  <si>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</si>
  <si>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</si>
  <si>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</si>
  <si>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</si>
  <si>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</si>
  <si>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</si>
  <si>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</si>
  <si>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</si>
  <si>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</si>
  <si>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</si>
  <si>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</si>
  <si>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</si>
  <si>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</si>
  <si>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</si>
  <si>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</si>
  <si>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</si>
  <si>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</si>
  <si>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</si>
  <si>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</si>
  <si>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</si>
  <si>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</si>
  <si>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</si>
  <si>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</si>
  <si>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</si>
  <si>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</si>
  <si>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</si>
  <si>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</si>
  <si>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</si>
  <si>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</si>
  <si>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</si>
  <si>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</si>
  <si>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</si>
  <si>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</si>
  <si>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</si>
  <si>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</si>
  <si>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</si>
  <si>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</si>
  <si>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</si>
  <si>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</si>
  <si>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</si>
  <si>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</si>
  <si>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</si>
  <si>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</si>
  <si>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</si>
  <si>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</si>
  <si>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</si>
  <si>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</si>
  <si>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</si>
  <si>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</si>
  <si>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</si>
  <si>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</si>
  <si>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</si>
  <si>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</si>
  <si>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</si>
  <si>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</si>
  <si>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</si>
  <si>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</si>
  <si>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</si>
  <si>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</si>
  <si>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</si>
  <si>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</si>
  <si>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</si>
  <si>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</si>
  <si>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</si>
  <si>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</si>
  <si>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</si>
  <si>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</si>
  <si>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</si>
  <si>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</si>
  <si>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</si>
  <si>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</si>
  <si>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</si>
  <si>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</si>
  <si>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</si>
  <si>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</si>
  <si>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</si>
  <si>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</si>
  <si>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</si>
  <si>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</si>
  <si>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</si>
  <si>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</si>
  <si>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</si>
  <si>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</si>
  <si>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</si>
  <si>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</si>
  <si>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</si>
  <si>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</si>
  <si>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</si>
  <si>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</si>
  <si>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</si>
  <si>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</si>
  <si>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</si>
  <si>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</si>
  <si>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</si>
  <si>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</si>
  <si>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</si>
  <si>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</si>
  <si>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</si>
  <si>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</si>
  <si>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</si>
  <si>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</si>
  <si>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</si>
  <si>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</si>
  <si>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</si>
  <si>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</si>
  <si>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</si>
  <si>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</si>
  <si>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</si>
  <si>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</si>
  <si>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</si>
  <si>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</si>
  <si>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</si>
  <si>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</si>
  <si>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</si>
  <si>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</si>
  <si>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</si>
  <si>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</si>
  <si>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</si>
  <si>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</si>
  <si>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</si>
  <si>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</si>
  <si>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</si>
  <si>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</si>
  <si>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</si>
  <si>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</si>
  <si>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</si>
  <si>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</si>
  <si>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</si>
  <si>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</si>
  <si>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</si>
  <si>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</si>
  <si>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</si>
  <si>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</si>
  <si>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</si>
  <si>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</si>
  <si>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</si>
  <si>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</si>
  <si>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</si>
  <si>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</si>
  <si>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</si>
  <si>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</si>
  <si>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</si>
  <si>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</si>
  <si>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</si>
  <si>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</si>
  <si>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</si>
  <si>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</si>
  <si>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</si>
  <si>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</si>
  <si>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</si>
  <si>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</si>
  <si>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</si>
  <si>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</si>
  <si>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</si>
  <si>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</si>
  <si>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</si>
  <si>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</si>
  <si>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</si>
  <si>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</si>
  <si>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</si>
  <si>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</si>
  <si>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</si>
  <si>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</si>
  <si>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</si>
  <si>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</si>
  <si>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</si>
  <si>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</si>
  <si>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</si>
  <si>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</si>
  <si>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</si>
  <si>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</si>
  <si>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</si>
  <si>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</si>
  <si>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</si>
  <si>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</si>
  <si>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</si>
  <si>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</si>
  <si>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</si>
  <si>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</si>
  <si>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</si>
  <si>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</si>
  <si>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</si>
  <si>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</si>
  <si>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</si>
  <si>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</si>
  <si>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</si>
  <si>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</si>
  <si>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</si>
  <si>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</si>
  <si>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</si>
  <si>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</si>
  <si>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</si>
  <si>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</si>
  <si>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</si>
  <si>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</si>
  <si>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</si>
  <si>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</si>
  <si>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</si>
  <si>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</si>
  <si>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</si>
  <si>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</si>
  <si>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</si>
  <si>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</si>
  <si>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</si>
  <si>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</si>
  <si>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</si>
  <si>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</si>
  <si>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</si>
  <si>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</si>
  <si>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</si>
  <si>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</si>
  <si>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</si>
  <si>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</si>
  <si>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</si>
  <si>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</si>
  <si>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</si>
  <si>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</si>
  <si>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</si>
  <si>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</si>
  <si>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</si>
  <si>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</si>
  <si>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</si>
  <si>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</si>
  <si>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</si>
  <si>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</si>
  <si>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</si>
  <si>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</si>
  <si>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</si>
  <si>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</si>
  <si>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</si>
  <si>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</si>
  <si>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</si>
  <si>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</si>
  <si>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</si>
  <si>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</si>
  <si>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</si>
  <si>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</si>
  <si>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</si>
  <si>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</si>
  <si>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</si>
  <si>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</si>
  <si>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</si>
  <si>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</si>
  <si>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</si>
  <si>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</si>
  <si>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</si>
  <si>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</si>
  <si>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</si>
  <si>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</si>
  <si>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</si>
  <si>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</si>
  <si>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</si>
  <si>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</si>
  <si>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</si>
  <si>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</si>
  <si>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</si>
  <si>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</si>
  <si>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</si>
  <si>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</si>
  <si>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</si>
  <si>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</si>
  <si>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</si>
  <si>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</si>
  <si>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</si>
  <si>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</si>
  <si>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</si>
  <si>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</si>
  <si>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</si>
  <si>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</si>
  <si>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indexed="8"/>
        <rFont val="宋体"/>
        <family val="3"/>
        <charset val="134"/>
      </rPr>
      <t>环境状况</t>
    </r>
    <phoneticPr fontId="31"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</si>
  <si>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</si>
  <si>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</si>
  <si>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</si>
  <si>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</si>
  <si>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</si>
  <si>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</si>
  <si>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</si>
  <si>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</si>
  <si>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</si>
  <si>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</si>
  <si>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</si>
  <si>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</si>
  <si>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</si>
  <si>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</si>
  <si>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</si>
  <si>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</si>
  <si>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</si>
  <si>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</si>
  <si>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</si>
  <si>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</si>
  <si>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</si>
  <si>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</si>
  <si>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</si>
  <si>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</si>
  <si>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</si>
  <si>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</si>
  <si>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</si>
  <si>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</si>
  <si>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</si>
  <si>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</si>
  <si>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</si>
  <si>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</si>
  <si>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</si>
  <si>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</si>
  <si>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</si>
  <si>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</si>
  <si>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</si>
  <si>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</si>
  <si>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</si>
  <si>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</si>
  <si>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</si>
  <si>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</si>
  <si>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</si>
  <si>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</si>
  <si>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</si>
  <si>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</si>
  <si>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</si>
  <si>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</si>
  <si>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</si>
  <si>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</si>
  <si>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</si>
  <si>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</si>
  <si>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</si>
  <si>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</si>
  <si>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</si>
  <si>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</si>
  <si>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</si>
  <si>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</si>
  <si>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</si>
  <si>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</si>
  <si>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</si>
  <si>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</si>
  <si>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</si>
  <si>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</si>
  <si>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</si>
  <si>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</si>
  <si>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</si>
  <si>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</si>
  <si>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</si>
  <si>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</si>
  <si>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</si>
  <si>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</si>
  <si>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</si>
  <si>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</si>
  <si>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</si>
  <si>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</si>
  <si>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</si>
  <si>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</si>
  <si>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</si>
  <si>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</si>
  <si>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</si>
  <si>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</si>
  <si>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</si>
  <si>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</si>
  <si>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</si>
  <si>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</si>
  <si>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</si>
  <si>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</si>
  <si>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</si>
  <si>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</si>
  <si>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</si>
  <si>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</si>
  <si>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</si>
  <si>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</si>
  <si>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</si>
  <si>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</si>
  <si>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</si>
  <si>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</si>
  <si>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</si>
  <si>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</si>
  <si>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</si>
  <si>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</si>
  <si>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</si>
  <si>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</si>
  <si>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</si>
  <si>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</si>
  <si>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</si>
  <si>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</si>
  <si>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</si>
  <si>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</si>
  <si>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</si>
  <si>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</si>
  <si>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</si>
  <si>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</si>
  <si>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</si>
  <si>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</si>
  <si>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</si>
  <si>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</si>
  <si>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</si>
  <si>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</si>
  <si>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</si>
  <si>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</si>
  <si>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</si>
  <si>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</si>
  <si>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</si>
  <si>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</si>
  <si>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</si>
  <si>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</si>
  <si>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</si>
  <si>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</si>
  <si>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</si>
  <si>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</si>
  <si>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</si>
  <si>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</si>
  <si>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</si>
  <si>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</si>
  <si>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</si>
  <si>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</si>
  <si>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</si>
  <si>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</si>
  <si>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</si>
  <si>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</si>
  <si>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</si>
  <si>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</si>
  <si>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</si>
  <si>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</si>
  <si>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</si>
  <si>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</si>
  <si>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</si>
  <si>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</si>
  <si>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</si>
  <si>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</si>
  <si>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</si>
  <si>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</si>
  <si>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</si>
  <si>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</si>
  <si>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</si>
  <si>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</si>
  <si>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</si>
  <si>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</si>
  <si>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</si>
  <si>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</si>
  <si>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</si>
  <si>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</si>
  <si>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</si>
  <si>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</si>
  <si>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</si>
  <si>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</si>
  <si>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</si>
  <si>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</si>
  <si>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</si>
  <si>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</si>
  <si>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</si>
  <si>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</si>
  <si>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</si>
  <si>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</si>
  <si>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</si>
  <si>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</si>
  <si>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</si>
  <si>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</si>
  <si>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</si>
  <si>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</si>
  <si>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</si>
  <si>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</si>
  <si>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</si>
  <si>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</si>
  <si>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</si>
  <si>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</si>
  <si>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</si>
  <si>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</si>
  <si>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</si>
  <si>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</si>
  <si>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</si>
  <si>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</si>
  <si>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</si>
  <si>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</si>
  <si>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</si>
  <si>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</si>
  <si>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</si>
  <si>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</si>
  <si>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</si>
  <si>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</si>
  <si>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</si>
  <si>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</si>
  <si>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</si>
  <si>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</si>
  <si>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</si>
  <si>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</si>
  <si>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</si>
  <si>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</si>
  <si>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</si>
  <si>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</si>
  <si>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</si>
  <si>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</si>
  <si>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</si>
  <si>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</si>
  <si>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</si>
  <si>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</si>
  <si>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</si>
  <si>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</si>
  <si>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</si>
  <si>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</si>
  <si>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</si>
  <si>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</si>
  <si>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</si>
  <si>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</si>
  <si>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</si>
  <si>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</si>
  <si>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</si>
  <si>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</si>
  <si>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</si>
  <si>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</si>
  <si>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</si>
  <si>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</si>
  <si>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</si>
  <si>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</si>
  <si>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</si>
  <si>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</si>
  <si>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</si>
  <si>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</si>
  <si>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</si>
  <si>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</si>
  <si>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</si>
  <si>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</si>
  <si>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</si>
  <si>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</si>
  <si>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</si>
  <si>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</si>
  <si>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</si>
  <si>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</si>
  <si>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</si>
  <si>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</si>
  <si>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</si>
  <si>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</si>
  <si>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50" type="noConversion"/>
  </si>
  <si>
    <t>剩余土地使用年限</t>
    <phoneticPr fontId="250" type="noConversion"/>
  </si>
  <si>
    <t>报酬率</t>
    <phoneticPr fontId="250" type="noConversion"/>
  </si>
  <si>
    <t>年期修正系数</t>
    <phoneticPr fontId="250" type="noConversion"/>
  </si>
  <si>
    <t>地价贡献率（参考下表）</t>
    <phoneticPr fontId="250" type="noConversion"/>
  </si>
  <si>
    <t>房价修正系数</t>
    <phoneticPr fontId="250" type="noConversion"/>
  </si>
  <si>
    <t>估价对象</t>
    <phoneticPr fontId="250" type="noConversion"/>
  </si>
  <si>
    <t>案例A</t>
    <phoneticPr fontId="250" type="noConversion"/>
  </si>
  <si>
    <t>案例B</t>
    <phoneticPr fontId="250" type="noConversion"/>
  </si>
  <si>
    <t>案例C</t>
    <phoneticPr fontId="250" type="noConversion"/>
  </si>
  <si>
    <t>推导公式</t>
    <phoneticPr fontId="250" type="noConversion"/>
  </si>
  <si>
    <t>1.建+50年地价×20年年期修正系数＝20年房价</t>
    <phoneticPr fontId="250" type="noConversion"/>
  </si>
  <si>
    <t>2.建+50年地价＝50年房价</t>
    <phoneticPr fontId="250" type="noConversion"/>
  </si>
  <si>
    <t>1、2步得出</t>
    <phoneticPr fontId="250" type="noConversion"/>
  </si>
  <si>
    <t>3.50年房价－50年地价+50年地价×20年年期修正系数＝20年房价</t>
    <phoneticPr fontId="250" type="noConversion"/>
  </si>
  <si>
    <t>4.20年房价＝50年房价×20年房价修正系数</t>
    <phoneticPr fontId="250" type="noConversion"/>
  </si>
  <si>
    <t>4步代入3步</t>
    <phoneticPr fontId="250" type="noConversion"/>
  </si>
  <si>
    <t>5.50年房价－50年地价+50年地价×20年年期修正系数＝50年房价×20年房价修正系数</t>
    <phoneticPr fontId="250" type="noConversion"/>
  </si>
  <si>
    <t>6.20年房价修正系数＝1-50年地价×（1-20年年期修正系数）÷50年房价</t>
    <phoneticPr fontId="250" type="noConversion"/>
  </si>
  <si>
    <t>7.50年地价＝50年房价×地价贡献率</t>
    <phoneticPr fontId="250" type="noConversion"/>
  </si>
  <si>
    <t>7步代入6步</t>
    <phoneticPr fontId="250" type="noConversion"/>
  </si>
  <si>
    <t>8.20年房价修正系数＝1-50年房价×地价贡献率×（1-20年年期修正系数）÷50年房价＝1-地价贡献率×（1-20年年期修正系数）</t>
    <phoneticPr fontId="250"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</si>
  <si>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</si>
  <si>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</si>
  <si>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</si>
  <si>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</si>
  <si>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</si>
  <si>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</si>
  <si>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</si>
  <si>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</si>
  <si>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</si>
  <si>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</si>
  <si>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</si>
  <si>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</si>
  <si>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</si>
  <si>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</si>
  <si>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</si>
  <si>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</si>
  <si>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</si>
  <si>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</si>
  <si>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</si>
  <si>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</si>
  <si>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</si>
  <si>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</si>
  <si>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</si>
  <si>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</si>
  <si>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</si>
  <si>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</si>
  <si>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</si>
  <si>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</si>
  <si>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</si>
  <si>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</si>
  <si>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</si>
  <si>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</si>
  <si>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</si>
  <si>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</si>
  <si>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</si>
  <si>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</si>
  <si>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</si>
  <si>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</si>
  <si>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</si>
  <si>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</si>
  <si>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</si>
  <si>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</si>
  <si>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</si>
  <si>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</si>
  <si>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</si>
  <si>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</si>
  <si>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</si>
  <si>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</si>
  <si>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</si>
  <si>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</si>
  <si>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</si>
  <si>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</si>
  <si>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</si>
  <si>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</si>
  <si>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</si>
  <si>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</si>
  <si>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</si>
  <si>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</si>
  <si>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</si>
  <si>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</si>
  <si>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</si>
  <si>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</si>
  <si>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</si>
  <si>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</si>
  <si>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</si>
  <si>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</si>
  <si>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</si>
  <si>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</si>
  <si>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</si>
  <si>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</si>
  <si>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</si>
  <si>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</si>
  <si>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</si>
  <si>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</si>
  <si>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</si>
  <si>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</si>
  <si>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</si>
  <si>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</si>
  <si>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</si>
  <si>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</si>
  <si>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</si>
  <si>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</si>
  <si>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</si>
  <si>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</si>
  <si>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</si>
  <si>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</si>
  <si>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</si>
  <si>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</si>
  <si>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</si>
  <si>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</si>
  <si>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</si>
  <si>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</si>
  <si>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</si>
  <si>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</si>
  <si>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</si>
  <si>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</si>
  <si>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</si>
  <si>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</si>
  <si>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</si>
  <si>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</si>
  <si>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</si>
  <si>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</si>
  <si>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</si>
  <si>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</si>
  <si>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</si>
  <si>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</si>
  <si>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</si>
  <si>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</si>
  <si>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</si>
  <si>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</si>
  <si>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</si>
  <si>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</si>
  <si>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</si>
  <si>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</si>
  <si>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</si>
  <si>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</si>
  <si>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</si>
  <si>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</si>
  <si>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</si>
  <si>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</si>
  <si>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</si>
  <si>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</si>
  <si>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</si>
  <si>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</si>
  <si>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</si>
  <si>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</si>
  <si>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</si>
  <si>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</si>
  <si>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</si>
  <si>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</si>
  <si>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</si>
  <si>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</si>
  <si>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</si>
  <si>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</si>
  <si>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</si>
  <si>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</si>
  <si>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</si>
  <si>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</si>
  <si>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</si>
  <si>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</si>
  <si>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</si>
  <si>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</si>
  <si>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</si>
  <si>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</si>
  <si>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</si>
  <si>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</si>
  <si>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</si>
  <si>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</si>
  <si>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</si>
  <si>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</si>
  <si>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</si>
  <si>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</si>
  <si>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</si>
  <si>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</si>
  <si>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</si>
  <si>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</si>
  <si>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</si>
  <si>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</si>
  <si>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</si>
  <si>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</si>
  <si>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</si>
  <si>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</si>
  <si>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</si>
  <si>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</si>
  <si>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</si>
  <si>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</si>
  <si>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</si>
  <si>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</si>
  <si>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</si>
  <si>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</si>
  <si>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</si>
  <si>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</si>
  <si>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</si>
  <si>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</si>
  <si>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</si>
  <si>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</si>
  <si>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</si>
  <si>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</si>
  <si>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</si>
  <si>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</si>
  <si>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</si>
  <si>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</si>
  <si>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</si>
  <si>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</si>
  <si>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</si>
  <si>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</si>
  <si>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</si>
  <si>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</si>
  <si>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</si>
  <si>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</si>
  <si>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</si>
  <si>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</si>
  <si>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</si>
  <si>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</si>
  <si>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</si>
  <si>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</si>
  <si>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</si>
  <si>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</si>
  <si>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</si>
  <si>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</si>
  <si>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</si>
  <si>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</si>
  <si>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</si>
  <si>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</si>
  <si>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</si>
  <si>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</si>
  <si>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</si>
  <si>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</si>
  <si>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</si>
  <si>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</si>
  <si>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</si>
  <si>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</si>
  <si>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</si>
  <si>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</si>
  <si>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</si>
  <si>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</si>
  <si>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</si>
  <si>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</si>
  <si>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</si>
  <si>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</si>
  <si>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</si>
  <si>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</si>
  <si>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</si>
  <si>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</si>
  <si>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</si>
  <si>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</si>
  <si>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</si>
  <si>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</si>
  <si>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</si>
  <si>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</si>
  <si>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</si>
  <si>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</si>
  <si>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</si>
  <si>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</si>
  <si>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</si>
  <si>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</si>
  <si>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</si>
  <si>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</si>
  <si>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</si>
  <si>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</si>
  <si>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</si>
  <si>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</si>
  <si>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</si>
  <si>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</si>
  <si>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</si>
  <si>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</si>
  <si>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</si>
  <si>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</si>
  <si>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</si>
  <si>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</si>
  <si>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</si>
  <si>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</si>
  <si>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</si>
  <si>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</si>
  <si>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</si>
  <si>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</si>
  <si>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</si>
  <si>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</si>
  <si>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</si>
  <si>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</si>
  <si>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</si>
  <si>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</si>
  <si>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</si>
  <si>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</si>
  <si>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</si>
  <si>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</si>
  <si>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</si>
  <si>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</si>
  <si>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</si>
  <si>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</si>
  <si>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</si>
  <si>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</si>
  <si>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</si>
  <si>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</si>
  <si>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</si>
  <si>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</si>
  <si>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</si>
  <si>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</si>
  <si>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</si>
  <si>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</si>
  <si>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</si>
  <si>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</si>
  <si>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</si>
  <si>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</si>
  <si>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t>公示增长率-非中心城区</t>
    <phoneticPr fontId="145" type="noConversion"/>
  </si>
  <si>
    <r>
      <rPr>
        <b/>
        <sz val="10"/>
        <color theme="1"/>
        <rFont val="楷体_GB2312"/>
        <family val="2"/>
        <charset val="134"/>
      </rPr>
      <t>核算至百分数</t>
    </r>
    <phoneticPr fontId="145"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</si>
  <si>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</si>
  <si>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</si>
  <si>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</si>
  <si>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</si>
  <si>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</si>
  <si>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</si>
  <si>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</si>
  <si>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</si>
  <si>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</si>
  <si>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</si>
  <si>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</si>
  <si>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</si>
  <si>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公示增长率-中心城区</t>
    <phoneticPr fontId="145"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</si>
  <si>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</si>
  <si>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</si>
  <si>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</si>
  <si>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</si>
  <si>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</si>
  <si>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</si>
  <si>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</si>
  <si>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</si>
  <si>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</si>
  <si>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</si>
  <si>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</si>
  <si>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</si>
  <si>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</si>
  <si>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</si>
  <si>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</si>
  <si>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</si>
  <si>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</si>
  <si>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</si>
  <si>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</si>
  <si>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</si>
  <si>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</si>
  <si>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</si>
  <si>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</si>
  <si>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</si>
  <si>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</si>
  <si>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</si>
  <si>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</si>
  <si>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</si>
  <si>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</si>
  <si>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</si>
  <si>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</si>
  <si>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</si>
  <si>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</si>
  <si>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</si>
  <si>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</si>
  <si>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</si>
  <si>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</si>
  <si>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</si>
  <si>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</si>
  <si>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</si>
  <si>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</si>
  <si>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</si>
  <si>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</si>
  <si>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</si>
  <si>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</si>
  <si>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</si>
  <si>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</si>
  <si>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</si>
  <si>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</si>
  <si>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</si>
  <si>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</si>
  <si>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</si>
  <si>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</si>
  <si>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</si>
  <si>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</si>
  <si>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</si>
  <si>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</si>
  <si>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</si>
  <si>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</si>
  <si>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</si>
  <si>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</si>
  <si>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</si>
  <si>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</si>
  <si>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</si>
  <si>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</si>
  <si>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</si>
  <si>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</si>
  <si>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</si>
  <si>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</si>
  <si>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</si>
  <si>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</si>
  <si>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</si>
  <si>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</si>
  <si>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</si>
  <si>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</si>
  <si>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</si>
  <si>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</si>
  <si>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</si>
  <si>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</si>
  <si>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</si>
  <si>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</si>
  <si>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</si>
  <si>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</si>
  <si>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</si>
  <si>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</si>
  <si>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</si>
  <si>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</si>
  <si>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</si>
  <si>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</si>
  <si>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</si>
  <si>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</si>
  <si>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</si>
  <si>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</si>
  <si>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</si>
  <si>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</si>
  <si>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</si>
  <si>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</si>
  <si>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</si>
  <si>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</si>
  <si>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</si>
  <si>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</si>
  <si>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</si>
  <si>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</si>
  <si>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</si>
  <si>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</si>
  <si>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</si>
  <si>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</si>
  <si>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</si>
  <si>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</si>
  <si>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</si>
  <si>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</si>
  <si>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</si>
  <si>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</si>
  <si>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</si>
  <si>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</si>
  <si>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</si>
  <si>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</si>
  <si>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</si>
  <si>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</si>
  <si>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</si>
  <si>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</si>
  <si>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</si>
  <si>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</si>
  <si>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</si>
  <si>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</si>
  <si>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</si>
  <si>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</si>
  <si>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</si>
  <si>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</si>
  <si>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</si>
  <si>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</si>
  <si>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</si>
  <si>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</si>
  <si>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</si>
  <si>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</si>
  <si>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</si>
  <si>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</si>
  <si>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</si>
  <si>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</si>
  <si>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</si>
  <si>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</si>
  <si>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</si>
  <si>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</si>
  <si>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</si>
  <si>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</si>
  <si>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</si>
  <si>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</si>
  <si>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</si>
  <si>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</si>
  <si>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</si>
  <si>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</si>
  <si>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</si>
  <si>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</si>
  <si>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</si>
  <si>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</si>
  <si>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</si>
  <si>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</si>
  <si>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</si>
  <si>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</si>
  <si>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</si>
  <si>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</si>
  <si>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</si>
  <si>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</si>
  <si>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</si>
  <si>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</si>
  <si>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</si>
  <si>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</si>
  <si>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</si>
  <si>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</si>
  <si>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</si>
  <si>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</si>
  <si>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</si>
  <si>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</si>
  <si>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</si>
  <si>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</si>
  <si>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</si>
  <si>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</si>
  <si>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</si>
  <si>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</si>
  <si>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</si>
  <si>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</si>
  <si>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</si>
  <si>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</si>
  <si>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</si>
  <si>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</si>
  <si>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</si>
  <si>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</si>
  <si>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</si>
  <si>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</si>
  <si>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</si>
  <si>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</si>
  <si>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</si>
  <si>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</si>
  <si>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</si>
  <si>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</si>
  <si>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</si>
  <si>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</si>
  <si>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</si>
  <si>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</si>
  <si>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</si>
  <si>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</si>
  <si>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</si>
  <si>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</si>
  <si>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</si>
  <si>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</si>
  <si>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</si>
  <si>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</si>
  <si>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</si>
  <si>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</si>
  <si>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</si>
  <si>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</si>
  <si>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</si>
  <si>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</si>
  <si>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</si>
  <si>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</si>
  <si>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</si>
  <si>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</si>
  <si>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</si>
  <si>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</si>
  <si>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</si>
  <si>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</si>
  <si>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</si>
  <si>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</si>
  <si>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</si>
  <si>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</si>
  <si>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</si>
  <si>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</si>
  <si>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</si>
  <si>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</si>
  <si>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</si>
  <si>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</si>
  <si>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</si>
  <si>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</si>
  <si>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</si>
  <si>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</si>
  <si>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</si>
  <si>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</si>
  <si>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</si>
  <si>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</si>
  <si>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</si>
  <si>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</si>
  <si>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</si>
  <si>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</si>
  <si>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</si>
  <si>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</si>
  <si>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</si>
  <si>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</si>
  <si>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</si>
  <si>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</si>
  <si>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</si>
  <si>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</si>
  <si>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</si>
  <si>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</si>
  <si>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</si>
  <si>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</si>
  <si>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</si>
  <si>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</si>
  <si>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</si>
  <si>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</si>
  <si>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</si>
  <si>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</si>
  <si>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</si>
  <si>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</si>
  <si>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</si>
  <si>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</si>
  <si>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</si>
  <si>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</si>
  <si>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</si>
  <si>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</si>
  <si>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</si>
  <si>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</si>
  <si>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</si>
  <si>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</si>
  <si>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</si>
  <si>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</si>
  <si>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</si>
  <si>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</si>
  <si>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</si>
  <si>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</si>
  <si>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</si>
  <si>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</si>
  <si>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</si>
  <si>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</si>
  <si>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</si>
  <si>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</si>
  <si>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</si>
  <si>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</si>
  <si>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</si>
  <si>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</si>
  <si>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</si>
  <si>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</si>
  <si>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</si>
  <si>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</si>
  <si>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</si>
  <si>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</si>
  <si>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</si>
  <si>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</si>
  <si>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</si>
  <si>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</si>
  <si>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</si>
  <si>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</si>
  <si>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</si>
  <si>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</si>
  <si>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</si>
  <si>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</si>
  <si>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</si>
  <si>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</si>
  <si>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</si>
  <si>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</si>
  <si>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</si>
  <si>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</si>
  <si>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</si>
  <si>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</si>
  <si>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</si>
  <si>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</si>
  <si>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</si>
  <si>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</si>
  <si>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</si>
  <si>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</si>
  <si>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</si>
  <si>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</si>
  <si>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</si>
  <si>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</si>
  <si>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</si>
  <si>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</si>
  <si>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</si>
  <si>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</si>
  <si>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</si>
  <si>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</si>
  <si>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</si>
  <si>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</si>
  <si>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</si>
  <si>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</si>
  <si>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</si>
  <si>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</si>
  <si>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</si>
  <si>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</si>
  <si>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</si>
  <si>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</si>
  <si>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</si>
  <si>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</si>
  <si>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</si>
  <si>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</si>
  <si>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</si>
  <si>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</si>
  <si>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</si>
  <si>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</si>
  <si>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</si>
  <si>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</si>
  <si>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</si>
  <si>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</si>
  <si>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</si>
  <si>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</si>
  <si>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</si>
  <si>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</si>
  <si>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</si>
  <si>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</si>
  <si>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</si>
  <si>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</si>
  <si>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</si>
  <si>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</si>
  <si>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</si>
  <si>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</si>
  <si>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</si>
  <si>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</si>
  <si>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</si>
  <si>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</si>
  <si>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</si>
  <si>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</si>
  <si>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</si>
  <si>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</si>
  <si>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</si>
  <si>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</si>
  <si>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</si>
  <si>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</si>
  <si>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</si>
  <si>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</si>
  <si>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</si>
  <si>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</si>
  <si>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</si>
  <si>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</si>
  <si>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</si>
  <si>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</si>
  <si>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</si>
  <si>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</si>
  <si>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</si>
  <si>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</si>
  <si>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</si>
  <si>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</si>
  <si>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</si>
  <si>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</si>
  <si>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</si>
  <si>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</si>
  <si>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</si>
  <si>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</si>
  <si>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</si>
  <si>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</si>
  <si>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</si>
  <si>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</si>
  <si>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</si>
  <si>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</si>
  <si>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</si>
  <si>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</si>
  <si>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</si>
  <si>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</si>
  <si>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</si>
  <si>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</si>
  <si>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</si>
  <si>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</si>
  <si>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</si>
  <si>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</si>
  <si>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</si>
  <si>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</si>
  <si>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</si>
  <si>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</si>
  <si>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</si>
  <si>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t>中心城区</t>
  </si>
  <si>
    <t>按公示增长率计算</t>
  </si>
  <si>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</si>
  <si>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</si>
  <si>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</si>
  <si>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</si>
  <si>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</si>
  <si>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</si>
  <si>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</si>
  <si>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</si>
  <si>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</si>
  <si>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</si>
  <si>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</si>
  <si>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</si>
  <si>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</si>
  <si>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</si>
  <si>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</si>
  <si>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</si>
  <si>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</si>
  <si>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</si>
  <si>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</si>
  <si>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</si>
  <si>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</si>
  <si>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</si>
  <si>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</si>
  <si>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</si>
  <si>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</si>
  <si>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</si>
  <si>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</si>
  <si>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</si>
  <si>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</si>
  <si>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</si>
  <si>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</si>
  <si>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</si>
  <si>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</si>
  <si>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</si>
  <si>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</si>
  <si>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</si>
  <si>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</si>
  <si>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</si>
  <si>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</si>
  <si>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</si>
  <si>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</si>
  <si>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</si>
  <si>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</si>
  <si>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</si>
  <si>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</si>
  <si>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</si>
  <si>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</si>
  <si>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</si>
  <si>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</si>
  <si>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</si>
  <si>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</si>
  <si>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</si>
  <si>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</si>
  <si>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</si>
  <si>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</si>
  <si>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</si>
  <si>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</si>
  <si>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</si>
  <si>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</si>
  <si>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</si>
  <si>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</si>
  <si>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</si>
  <si>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</si>
  <si>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</si>
  <si>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</si>
  <si>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</si>
  <si>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</si>
  <si>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</si>
  <si>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</si>
  <si>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</si>
  <si>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</si>
  <si>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</si>
  <si>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</si>
  <si>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</si>
  <si>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</si>
  <si>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</si>
  <si>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</si>
  <si>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</si>
  <si>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</si>
  <si>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</si>
  <si>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</si>
  <si>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</si>
  <si>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</si>
  <si>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</si>
  <si>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</si>
  <si>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</si>
  <si>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</si>
  <si>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</si>
  <si>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</si>
  <si>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</si>
  <si>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</si>
  <si>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</si>
  <si>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</si>
  <si>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</si>
  <si>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</si>
  <si>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</si>
  <si>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</si>
  <si>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元/平方米</t>
  </si>
  <si>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</si>
  <si>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</si>
  <si>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</si>
  <si>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</si>
  <si>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</si>
  <si>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</si>
  <si>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</si>
  <si>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</si>
  <si>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</si>
  <si>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</si>
  <si>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</si>
  <si>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中心城区：城六区，对应北京市地价动态监测结果的国家级样点和市级样点中办公（市区）</t>
    <phoneticPr fontId="145" type="noConversion"/>
  </si>
  <si>
    <r>
      <t>非中心城区：除城六区外其余十一区，对应北京市地价动态监测结果的市级样点，即</t>
    </r>
    <r>
      <rPr>
        <sz val="10"/>
        <rFont val="楷体_GB2312"/>
        <family val="3"/>
        <charset val="134"/>
      </rPr>
      <t>规划新城</t>
    </r>
    <phoneticPr fontId="145" type="noConversion"/>
  </si>
  <si>
    <t>2023-4</t>
  </si>
  <si>
    <t>2023-3</t>
  </si>
  <si>
    <t>2022-4</t>
    <phoneticPr fontId="6" type="noConversion"/>
  </si>
  <si>
    <t>2023-2</t>
    <phoneticPr fontId="6" type="noConversion"/>
  </si>
  <si>
    <t>2023-1</t>
    <phoneticPr fontId="6" type="noConversion"/>
  </si>
  <si>
    <t>2023-2</t>
    <phoneticPr fontId="6" type="noConversion"/>
  </si>
  <si>
    <t>郑燚</t>
  </si>
  <si>
    <t>崔锴</t>
  </si>
  <si>
    <t>抵押</t>
  </si>
  <si>
    <t>房地产抵押价值</t>
  </si>
  <si>
    <t>房地产市场价值</t>
  </si>
  <si>
    <t>北京市</t>
  </si>
  <si>
    <t>企业</t>
  </si>
  <si>
    <t>无</t>
  </si>
  <si>
    <t>否</t>
  </si>
  <si>
    <t>现房</t>
  </si>
  <si>
    <t>通路</t>
  </si>
  <si>
    <t>通电</t>
  </si>
  <si>
    <t>通讯</t>
  </si>
  <si>
    <t>通上水</t>
  </si>
  <si>
    <t>通下水</t>
  </si>
  <si>
    <t>平整</t>
  </si>
  <si>
    <t>是</t>
  </si>
  <si>
    <t>建成年代</t>
    <phoneticPr fontId="6" type="noConversion"/>
  </si>
  <si>
    <t>直线</t>
    <phoneticPr fontId="6" type="noConversion"/>
  </si>
  <si>
    <t>观察</t>
    <phoneticPr fontId="6" type="noConversion"/>
  </si>
  <si>
    <t>综合</t>
    <phoneticPr fontId="6" type="noConversion"/>
  </si>
  <si>
    <t>成新度</t>
  </si>
  <si>
    <t>成本法</t>
  </si>
  <si>
    <t>收益法</t>
  </si>
  <si>
    <t>较好</t>
  </si>
  <si>
    <t>七通</t>
  </si>
  <si>
    <t>较好</t>
    <phoneticPr fontId="27"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</si>
  <si>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</si>
  <si>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</si>
  <si>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</si>
  <si>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</si>
  <si>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</si>
  <si>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</si>
  <si>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</si>
  <si>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</si>
  <si>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</si>
  <si>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</si>
  <si>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</si>
  <si>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</si>
  <si>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</si>
  <si>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</si>
  <si>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</si>
  <si>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</si>
  <si>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</si>
  <si>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</si>
  <si>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</si>
  <si>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</si>
  <si>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</si>
  <si>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</si>
  <si>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</si>
  <si>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</si>
  <si>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</si>
  <si>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</si>
  <si>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</si>
  <si>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</si>
  <si>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</si>
  <si>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</si>
  <si>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</si>
  <si>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</si>
  <si>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</si>
  <si>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</si>
  <si>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</si>
  <si>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</si>
  <si>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</si>
  <si>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</si>
  <si>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</si>
  <si>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</si>
  <si>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</si>
  <si>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</si>
  <si>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</si>
  <si>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</si>
  <si>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6" type="noConversion"/>
  </si>
  <si>
    <t>精装修</t>
    <phoneticPr fontId="6" type="noConversion"/>
  </si>
  <si>
    <t>普通装修</t>
    <phoneticPr fontId="6" type="noConversion"/>
  </si>
  <si>
    <t>简单装修</t>
    <phoneticPr fontId="6" type="noConversion"/>
  </si>
  <si>
    <t>毛坯</t>
    <phoneticPr fontId="6" type="noConversion"/>
  </si>
  <si>
    <t>高档</t>
    <phoneticPr fontId="6" type="noConversion"/>
  </si>
  <si>
    <t>中档</t>
    <phoneticPr fontId="6" type="noConversion"/>
  </si>
  <si>
    <t>低档</t>
    <phoneticPr fontId="6" type="noConversion"/>
  </si>
  <si>
    <t>专业物业</t>
    <phoneticPr fontId="6" type="noConversion"/>
  </si>
  <si>
    <t>普通物业</t>
    <phoneticPr fontId="6" type="noConversion"/>
  </si>
  <si>
    <t>五居室</t>
    <phoneticPr fontId="6" type="noConversion"/>
  </si>
  <si>
    <t>四居室</t>
    <phoneticPr fontId="6" type="noConversion"/>
  </si>
  <si>
    <t>三居室</t>
    <phoneticPr fontId="6" type="noConversion"/>
  </si>
  <si>
    <t>二居室</t>
    <phoneticPr fontId="6" type="noConversion"/>
  </si>
  <si>
    <t>一居室</t>
    <phoneticPr fontId="6" type="noConversion"/>
  </si>
  <si>
    <t>开间</t>
    <phoneticPr fontId="6" type="noConversion"/>
  </si>
  <si>
    <t>普通装修</t>
  </si>
  <si>
    <t>专业物业</t>
  </si>
  <si>
    <t>报价</t>
    <phoneticPr fontId="6" type="noConversion"/>
  </si>
  <si>
    <t>30-40</t>
    <phoneticPr fontId="6" type="noConversion"/>
  </si>
  <si>
    <t>20-30</t>
    <phoneticPr fontId="6" type="noConversion"/>
  </si>
  <si>
    <t>10-20</t>
    <phoneticPr fontId="6" type="noConversion"/>
  </si>
  <si>
    <t>0-10</t>
    <phoneticPr fontId="6" type="noConversion"/>
  </si>
  <si>
    <t>多面临街</t>
    <phoneticPr fontId="6" type="noConversion"/>
  </si>
  <si>
    <t>双面临街</t>
    <phoneticPr fontId="6" type="noConversion"/>
  </si>
  <si>
    <t>单面临街</t>
    <phoneticPr fontId="6" type="noConversion"/>
  </si>
  <si>
    <t>不临街</t>
    <phoneticPr fontId="6" type="noConversion"/>
  </si>
  <si>
    <t>好</t>
    <phoneticPr fontId="6" type="noConversion"/>
  </si>
  <si>
    <t>较好</t>
    <phoneticPr fontId="6" type="noConversion"/>
  </si>
  <si>
    <t>一般</t>
    <phoneticPr fontId="6" type="noConversion"/>
  </si>
  <si>
    <t>较差</t>
    <phoneticPr fontId="6" type="noConversion"/>
  </si>
  <si>
    <t>差</t>
    <phoneticPr fontId="6" type="noConversion"/>
  </si>
  <si>
    <t>大</t>
    <phoneticPr fontId="6" type="noConversion"/>
  </si>
  <si>
    <t>较大</t>
    <phoneticPr fontId="6" type="noConversion"/>
  </si>
  <si>
    <t>小</t>
    <phoneticPr fontId="6" type="noConversion"/>
  </si>
  <si>
    <t>较小</t>
    <phoneticPr fontId="6" type="noConversion"/>
  </si>
  <si>
    <r>
      <t>1</t>
    </r>
    <r>
      <rPr>
        <sz val="11"/>
        <color indexed="8"/>
        <rFont val="宋体"/>
        <family val="3"/>
        <charset val="134"/>
      </rPr>
      <t>层</t>
    </r>
    <phoneticPr fontId="6" type="noConversion"/>
  </si>
  <si>
    <r>
      <t>1-2</t>
    </r>
    <r>
      <rPr>
        <sz val="11"/>
        <color indexed="8"/>
        <rFont val="宋体"/>
        <family val="3"/>
        <charset val="134"/>
      </rPr>
      <t>层</t>
    </r>
    <phoneticPr fontId="6" type="noConversion"/>
  </si>
  <si>
    <r>
      <t>2</t>
    </r>
    <r>
      <rPr>
        <sz val="11"/>
        <color indexed="8"/>
        <rFont val="宋体"/>
        <family val="3"/>
        <charset val="134"/>
      </rPr>
      <t>层</t>
    </r>
    <phoneticPr fontId="6" type="noConversion"/>
  </si>
  <si>
    <r>
      <t>3</t>
    </r>
    <r>
      <rPr>
        <sz val="11"/>
        <color indexed="8"/>
        <rFont val="宋体"/>
        <family val="3"/>
        <charset val="134"/>
      </rPr>
      <t>层</t>
    </r>
    <phoneticPr fontId="6" type="noConversion"/>
  </si>
  <si>
    <t>购物中心</t>
    <phoneticPr fontId="6" type="noConversion"/>
  </si>
  <si>
    <t>商业街商铺</t>
    <phoneticPr fontId="6" type="noConversion"/>
  </si>
  <si>
    <t>写字楼底商</t>
    <phoneticPr fontId="6" type="noConversion"/>
  </si>
  <si>
    <t>社区配套</t>
    <phoneticPr fontId="6" type="noConversion"/>
  </si>
  <si>
    <t>砖混</t>
    <phoneticPr fontId="6" type="noConversion"/>
  </si>
  <si>
    <t>可做餐饮</t>
    <phoneticPr fontId="6" type="noConversion"/>
  </si>
  <si>
    <t>不可做餐饮</t>
    <phoneticPr fontId="6" type="noConversion"/>
  </si>
  <si>
    <t>非标层高</t>
    <phoneticPr fontId="6" type="noConversion"/>
  </si>
  <si>
    <t>标准层高</t>
    <phoneticPr fontId="6" type="noConversion"/>
  </si>
  <si>
    <t>适宜</t>
    <phoneticPr fontId="6" type="noConversion"/>
  </si>
  <si>
    <t>较适宜</t>
    <phoneticPr fontId="6" type="noConversion"/>
  </si>
  <si>
    <t>较不适宜</t>
    <phoneticPr fontId="6" type="noConversion"/>
  </si>
  <si>
    <t>不适宜</t>
    <phoneticPr fontId="6" type="noConversion"/>
  </si>
  <si>
    <t>商业</t>
    <phoneticPr fontId="6" type="noConversion"/>
  </si>
  <si>
    <t>较适宜</t>
  </si>
  <si>
    <t>项目模式</t>
  </si>
  <si>
    <t>售价</t>
  </si>
  <si>
    <t>不临65条商业街</t>
  </si>
  <si>
    <t>一般</t>
  </si>
  <si>
    <t>好</t>
  </si>
  <si>
    <t>1层</t>
    <phoneticPr fontId="137" type="noConversion"/>
  </si>
  <si>
    <t>1层</t>
    <phoneticPr fontId="137" type="noConversion"/>
  </si>
  <si>
    <t>2层</t>
    <phoneticPr fontId="137" type="noConversion"/>
  </si>
  <si>
    <t>3层</t>
    <phoneticPr fontId="137" type="noConversion"/>
  </si>
  <si>
    <t>4层</t>
    <phoneticPr fontId="137" type="noConversion"/>
  </si>
  <si>
    <t>5层</t>
    <phoneticPr fontId="137" type="noConversion"/>
  </si>
  <si>
    <t>地下1层</t>
    <phoneticPr fontId="137" type="noConversion"/>
  </si>
  <si>
    <r>
      <rPr>
        <sz val="10"/>
        <color theme="9" tint="-0.249977111117893"/>
        <rFont val="宋体"/>
        <family val="3"/>
        <charset val="134"/>
      </rPr>
      <t>昌平区回龙观东大街</t>
    </r>
    <r>
      <rPr>
        <sz val="10"/>
        <color theme="9" tint="-0.249977111117893"/>
        <rFont val="Arial"/>
        <family val="2"/>
      </rPr>
      <t>318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层房地产</t>
    </r>
    <phoneticPr fontId="9" type="noConversion"/>
  </si>
  <si>
    <t>北京首开仁信置业有限公司</t>
    <phoneticPr fontId="9" type="noConversion"/>
  </si>
  <si>
    <t>复印件</t>
  </si>
  <si>
    <t>地上</t>
  </si>
  <si>
    <t>独立商业</t>
  </si>
  <si>
    <t>地下</t>
  </si>
  <si>
    <t>文化娱乐</t>
  </si>
  <si>
    <t>文化娱乐</t>
    <phoneticPr fontId="10" type="noConversion"/>
  </si>
  <si>
    <t>车库</t>
    <phoneticPr fontId="10" type="noConversion"/>
  </si>
  <si>
    <t>收益法-文化娱乐</t>
  </si>
  <si>
    <t>收益法-文化娱乐</t>
    <phoneticPr fontId="19" type="noConversion"/>
  </si>
  <si>
    <t>收益法-车库</t>
  </si>
  <si>
    <t>收益法-车库</t>
    <phoneticPr fontId="19" type="noConversion"/>
  </si>
  <si>
    <t>收益法（汇总）</t>
  </si>
  <si>
    <t>营业收入</t>
    <phoneticPr fontId="137" type="noConversion"/>
  </si>
  <si>
    <t>系数</t>
    <phoneticPr fontId="6"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</si>
  <si>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</si>
  <si>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</si>
  <si>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1" type="noConversion"/>
  </si>
  <si>
    <t xml:space="preserve"> F3其他类多功能用地  </t>
  </si>
  <si>
    <t>50</t>
  </si>
  <si>
    <t>较差</t>
  </si>
  <si>
    <t>较规则</t>
  </si>
  <si>
    <t>五通</t>
  </si>
  <si>
    <t xml:space="preserve"> B4综合性商业金融服务业用地  </t>
  </si>
  <si>
    <t>40</t>
  </si>
  <si>
    <t>2020-2</t>
    <phoneticPr fontId="6" type="noConversion"/>
  </si>
  <si>
    <t>2020-1</t>
    <phoneticPr fontId="6" type="noConversion"/>
  </si>
  <si>
    <t>2019-4</t>
    <phoneticPr fontId="6" type="noConversion"/>
  </si>
  <si>
    <t>2019-3</t>
    <phoneticPr fontId="6" type="noConversion"/>
  </si>
  <si>
    <t>2019-2</t>
    <phoneticPr fontId="6" type="noConversion"/>
  </si>
  <si>
    <t>2019-1</t>
    <phoneticPr fontId="6" type="noConversion"/>
  </si>
  <si>
    <t>2018-4</t>
    <phoneticPr fontId="6" type="noConversion"/>
  </si>
  <si>
    <t>2018-3</t>
    <phoneticPr fontId="6" type="noConversion"/>
  </si>
  <si>
    <t>住宅、商业</t>
    <phoneticPr fontId="6" type="noConversion"/>
  </si>
  <si>
    <t>住宅</t>
    <phoneticPr fontId="6" type="noConversion"/>
  </si>
  <si>
    <r>
      <t xml:space="preserve"> F3</t>
    </r>
    <r>
      <rPr>
        <sz val="11"/>
        <rFont val="宋体"/>
        <family val="3"/>
        <charset val="134"/>
      </rPr>
      <t>其他类多功能用地</t>
    </r>
    <r>
      <rPr>
        <sz val="11"/>
        <rFont val="Arial"/>
        <family val="2"/>
      </rPr>
      <t xml:space="preserve">  </t>
    </r>
    <phoneticPr fontId="6" type="noConversion"/>
  </si>
  <si>
    <r>
      <t xml:space="preserve"> B4</t>
    </r>
    <r>
      <rPr>
        <sz val="11"/>
        <rFont val="宋体"/>
        <family val="3"/>
        <charset val="134"/>
      </rPr>
      <t>综合性商业金融服务业用地</t>
    </r>
    <r>
      <rPr>
        <sz val="11"/>
        <rFont val="Arial"/>
        <family val="2"/>
      </rPr>
      <t xml:space="preserve">  </t>
    </r>
    <phoneticPr fontId="6" type="noConversion"/>
  </si>
  <si>
    <r>
      <t>B1</t>
    </r>
    <r>
      <rPr>
        <sz val="11"/>
        <rFont val="宋体"/>
        <family val="3"/>
        <charset val="134"/>
      </rPr>
      <t>商业用地</t>
    </r>
    <phoneticPr fontId="6" type="noConversion"/>
  </si>
  <si>
    <t>规则</t>
    <phoneticPr fontId="6" type="noConversion"/>
  </si>
  <si>
    <t>较规则</t>
    <phoneticPr fontId="6" type="noConversion"/>
  </si>
  <si>
    <t>适宜</t>
    <phoneticPr fontId="6" type="noConversion"/>
  </si>
  <si>
    <t>较适宜</t>
    <phoneticPr fontId="6" type="noConversion"/>
  </si>
  <si>
    <t>一般</t>
    <phoneticPr fontId="27" type="noConversion"/>
  </si>
  <si>
    <t>序号</t>
    <phoneticPr fontId="137" type="noConversion"/>
  </si>
  <si>
    <t>楼层</t>
    <phoneticPr fontId="137" type="noConversion"/>
  </si>
  <si>
    <t>房号</t>
    <phoneticPr fontId="137" type="noConversion"/>
  </si>
  <si>
    <t>建筑面积</t>
    <phoneticPr fontId="137" type="noConversion"/>
  </si>
  <si>
    <r>
      <t>1</t>
    </r>
    <r>
      <rPr>
        <sz val="11"/>
        <color theme="1"/>
        <rFont val="宋体"/>
        <family val="3"/>
        <charset val="134"/>
        <scheme val="minor"/>
      </rPr>
      <t>-2</t>
    </r>
    <phoneticPr fontId="137" type="noConversion"/>
  </si>
  <si>
    <t>1-2</t>
  </si>
  <si>
    <t>1-2</t>
    <phoneticPr fontId="137" type="noConversion"/>
  </si>
  <si>
    <r>
      <t>1</t>
    </r>
    <r>
      <rPr>
        <sz val="11"/>
        <color theme="1"/>
        <rFont val="宋体"/>
        <family val="3"/>
        <charset val="134"/>
        <scheme val="minor"/>
      </rPr>
      <t>-2</t>
    </r>
    <r>
      <rPr>
        <sz val="11"/>
        <color theme="1"/>
        <rFont val="宋体"/>
        <family val="2"/>
        <charset val="134"/>
        <scheme val="minor"/>
      </rPr>
      <t/>
    </r>
  </si>
  <si>
    <t>3</t>
  </si>
  <si>
    <t>3</t>
    <phoneticPr fontId="137" type="noConversion"/>
  </si>
  <si>
    <t>4</t>
  </si>
  <si>
    <t>4</t>
    <phoneticPr fontId="137" type="noConversion"/>
  </si>
  <si>
    <t>自定义</t>
  </si>
  <si>
    <t>回龙观2023年租金收入明细</t>
    <phoneticPr fontId="250" type="noConversion"/>
  </si>
  <si>
    <t>房产名称</t>
  </si>
  <si>
    <t>房间号</t>
  </si>
  <si>
    <t>客户名称</t>
  </si>
  <si>
    <t>业态</t>
    <phoneticPr fontId="250" type="noConversion"/>
  </si>
  <si>
    <t>租赁单价
（元/平方米/天）</t>
  </si>
  <si>
    <t>面积（平方米）</t>
  </si>
  <si>
    <t>押金</t>
  </si>
  <si>
    <t>租赁期</t>
  </si>
  <si>
    <t>免租期</t>
  </si>
  <si>
    <t>一至二层</t>
    <phoneticPr fontId="250" type="noConversion"/>
  </si>
  <si>
    <t>1至2层102、104</t>
    <phoneticPr fontId="250" type="noConversion"/>
  </si>
  <si>
    <t>天赋异禀文化传媒（北京）有限公司</t>
    <phoneticPr fontId="250" type="noConversion"/>
  </si>
  <si>
    <t>教育</t>
    <phoneticPr fontId="250" type="noConversion"/>
  </si>
  <si>
    <t>5/5/5.25/5.25</t>
    <phoneticPr fontId="250" type="noConversion"/>
  </si>
  <si>
    <t>2021.3.15-2025.3.14</t>
    <phoneticPr fontId="250" type="noConversion"/>
  </si>
  <si>
    <t>2021.3.15-2021.6.14</t>
    <phoneticPr fontId="250" type="noConversion"/>
  </si>
  <si>
    <t>1-115、1-117</t>
    <phoneticPr fontId="250" type="noConversion"/>
  </si>
  <si>
    <t>汉堡王（北京）餐饮管理有限公司</t>
  </si>
  <si>
    <t>餐饮</t>
    <phoneticPr fontId="250" type="noConversion"/>
  </si>
  <si>
    <t>5.7/5.7/5.98/5.98/6.28；
6.28/6.60/6.60/6.93</t>
    <phoneticPr fontId="250" type="noConversion"/>
  </si>
  <si>
    <t>2017.10.1-2022.9.30；
2022.10.1-2027.9.30</t>
    <phoneticPr fontId="250" type="noConversion"/>
  </si>
  <si>
    <t>2017.10.1-2017.12.31</t>
    <phoneticPr fontId="250" type="noConversion"/>
  </si>
  <si>
    <t>1-126</t>
    <phoneticPr fontId="250" type="noConversion"/>
  </si>
  <si>
    <t>北京西部马华餐饮有限公司</t>
    <phoneticPr fontId="250" type="noConversion"/>
  </si>
  <si>
    <t>5.9/5.9/6.2/6.2/6.51</t>
    <phoneticPr fontId="250" type="noConversion"/>
  </si>
  <si>
    <t>2022.3.1-2027.2.28</t>
    <phoneticPr fontId="250" type="noConversion"/>
  </si>
  <si>
    <t>2022.3.1-2022.6.30</t>
    <phoneticPr fontId="250" type="noConversion"/>
  </si>
  <si>
    <t>1-119、1-121</t>
    <phoneticPr fontId="250" type="noConversion"/>
  </si>
  <si>
    <t>北京乐友达康商贸有限公司</t>
  </si>
  <si>
    <t>零售</t>
    <phoneticPr fontId="250" type="noConversion"/>
  </si>
  <si>
    <t>5/5/5.3/5.3/6；
6/6/6</t>
    <phoneticPr fontId="250" type="noConversion"/>
  </si>
  <si>
    <t>2017.11.1-2022.7.31；
2022.11.1-2025.10.31</t>
    <phoneticPr fontId="250" type="noConversion"/>
  </si>
  <si>
    <t>2017.11.1-2018.1.31；
2022.8.1-2022.10.31；
每年的11月份</t>
    <phoneticPr fontId="250" type="noConversion"/>
  </si>
  <si>
    <t>1-104、1-106、1-109、1-112</t>
    <phoneticPr fontId="250" type="noConversion"/>
  </si>
  <si>
    <t>未来生鲜（北京）科技有限公司</t>
  </si>
  <si>
    <t>超市</t>
    <phoneticPr fontId="250" type="noConversion"/>
  </si>
  <si>
    <t>第一、二、三年5.518；
第四、五、六年5.7939；
第七、八年6.083595</t>
    <phoneticPr fontId="250" type="noConversion"/>
  </si>
  <si>
    <t>2017.11.10-2025.11.9</t>
    <phoneticPr fontId="250" type="noConversion"/>
  </si>
  <si>
    <t>2017.11.10-2018.3.9</t>
    <phoneticPr fontId="250" type="noConversion"/>
  </si>
  <si>
    <t>1-114、1-115</t>
    <phoneticPr fontId="250" type="noConversion"/>
  </si>
  <si>
    <t>北京屈臣氏个人用品连锁商店有限公司</t>
  </si>
  <si>
    <t>零售</t>
    <phoneticPr fontId="250" type="noConversion"/>
  </si>
  <si>
    <t>第一年抽成7.5%；
第二至五年8%</t>
    <phoneticPr fontId="250" type="noConversion"/>
  </si>
  <si>
    <t>2018.7.5-2023.7.4</t>
    <phoneticPr fontId="250" type="noConversion"/>
  </si>
  <si>
    <t>无</t>
    <phoneticPr fontId="250" type="noConversion"/>
  </si>
  <si>
    <t>2-102、2-113、2-116</t>
    <phoneticPr fontId="250" type="noConversion"/>
  </si>
  <si>
    <t>北京方元星美儿童健康科技发展有限责任公司</t>
  </si>
  <si>
    <t>教育</t>
    <phoneticPr fontId="250" type="noConversion"/>
  </si>
  <si>
    <t>第一、二年4.9；
第三、四年5.14；
第五年5.4</t>
    <phoneticPr fontId="250" type="noConversion"/>
  </si>
  <si>
    <t>2018.6.15-2023.6.14</t>
    <phoneticPr fontId="250" type="noConversion"/>
  </si>
  <si>
    <t>2018.6.15-2018.9.14</t>
    <phoneticPr fontId="250" type="noConversion"/>
  </si>
  <si>
    <t>2-105、2-108、2-111</t>
    <phoneticPr fontId="250" type="noConversion"/>
  </si>
  <si>
    <t>第一、二年4.98；
第三、四年5.22；
第五年5.48</t>
    <phoneticPr fontId="250" type="noConversion"/>
  </si>
  <si>
    <t>1至2层128-11-12-21</t>
  </si>
  <si>
    <t>北京普兰比健康科技有限公司</t>
  </si>
  <si>
    <t>健身</t>
    <phoneticPr fontId="250" type="noConversion"/>
  </si>
  <si>
    <t>第一、二、三年4.75；
第四、五年4.99</t>
    <phoneticPr fontId="250" type="noConversion"/>
  </si>
  <si>
    <t>2019.6.1-2024.5.31</t>
    <phoneticPr fontId="250" type="noConversion"/>
  </si>
  <si>
    <t>2019.6.1-2019.8.31</t>
    <phoneticPr fontId="250" type="noConversion"/>
  </si>
  <si>
    <t>125-11、127-11</t>
  </si>
  <si>
    <t>北京达美乐披萨饼有限公司</t>
  </si>
  <si>
    <t>餐饮</t>
    <phoneticPr fontId="250" type="noConversion"/>
  </si>
  <si>
    <t>第一、二年4.78或抽成10%；
第三、四年5.02或抽成11%；
第五年5.27或抽成12%</t>
    <phoneticPr fontId="250" type="noConversion"/>
  </si>
  <si>
    <t>2019.6.13-2024.6.12</t>
    <phoneticPr fontId="250" type="noConversion"/>
  </si>
  <si>
    <t>2019.6.13-2019.8.12</t>
    <phoneticPr fontId="250" type="noConversion"/>
  </si>
  <si>
    <t>三层</t>
    <phoneticPr fontId="250" type="noConversion"/>
  </si>
  <si>
    <t>301、302</t>
    <phoneticPr fontId="250" type="noConversion"/>
  </si>
  <si>
    <t>北京方位通讯设备有限公司</t>
  </si>
  <si>
    <t>办公</t>
    <phoneticPr fontId="250" type="noConversion"/>
  </si>
  <si>
    <t>2022.9.15-2024.9.14</t>
    <phoneticPr fontId="250" type="noConversion"/>
  </si>
  <si>
    <t>303-1-3</t>
  </si>
  <si>
    <t>芯象半导体科技（北京）有限公司（原四季豆）</t>
    <phoneticPr fontId="250" type="noConversion"/>
  </si>
  <si>
    <t>2019.9.1-2021.9.30；2021.10.1-2023.9.30</t>
    <phoneticPr fontId="250" type="noConversion"/>
  </si>
  <si>
    <t>2019.9.1-2019.9.30</t>
    <phoneticPr fontId="250" type="noConversion"/>
  </si>
  <si>
    <t>303-2-4</t>
    <phoneticPr fontId="250" type="noConversion"/>
  </si>
  <si>
    <t>上海莱迪思半导体有限公司北京分公司</t>
  </si>
  <si>
    <t>办公</t>
    <phoneticPr fontId="250" type="noConversion"/>
  </si>
  <si>
    <t>第一、二年4.5；
第三、四、五年5；
第六、七年4.5</t>
    <phoneticPr fontId="250" type="noConversion"/>
  </si>
  <si>
    <t>2017.5.15-2022.5.14；
2022.5.15-2024.5.14</t>
    <phoneticPr fontId="250" type="noConversion"/>
  </si>
  <si>
    <t>2017.5.15-2017.8.31</t>
    <phoneticPr fontId="250" type="noConversion"/>
  </si>
  <si>
    <t>304-1-2</t>
    <phoneticPr fontId="250" type="noConversion"/>
  </si>
  <si>
    <t>肆拾玖坊（天津）供应链管理有限公司</t>
    <phoneticPr fontId="250" type="noConversion"/>
  </si>
  <si>
    <t>2021.4.9-2024.5.7</t>
    <phoneticPr fontId="250" type="noConversion"/>
  </si>
  <si>
    <t>2021.4.9-2021.5.7</t>
    <phoneticPr fontId="250" type="noConversion"/>
  </si>
  <si>
    <t>305-1-2-3-4-5</t>
    <phoneticPr fontId="250" type="noConversion"/>
  </si>
  <si>
    <t>北京蔷薇灵动科技有限公司</t>
    <phoneticPr fontId="250" type="noConversion"/>
  </si>
  <si>
    <t>2021.11.5-2024.1.4</t>
    <phoneticPr fontId="250" type="noConversion"/>
  </si>
  <si>
    <t>2021.11.5-2022.1.4</t>
    <phoneticPr fontId="250" type="noConversion"/>
  </si>
  <si>
    <t>306-1-2-3-4、307-1-2-3-4、310-1-2-3-4</t>
    <phoneticPr fontId="250" type="noConversion"/>
  </si>
  <si>
    <t>肆拾玖坊实业有限公司</t>
  </si>
  <si>
    <t>308-1-3</t>
    <phoneticPr fontId="250" type="noConversion"/>
  </si>
  <si>
    <t>北京北方同创大业广告有限公司</t>
    <phoneticPr fontId="250" type="noConversion"/>
  </si>
  <si>
    <t>2019.10.17-2021.11.16；2021.11.17-2023.11.16</t>
    <phoneticPr fontId="250" type="noConversion"/>
  </si>
  <si>
    <t>2019.10.17-2019.10.16</t>
    <phoneticPr fontId="250" type="noConversion"/>
  </si>
  <si>
    <t>308-2-4</t>
    <phoneticPr fontId="250" type="noConversion"/>
  </si>
  <si>
    <t>芯象半导体科技（北京）有限公司（原四季豆）</t>
    <phoneticPr fontId="250" type="noConversion"/>
  </si>
  <si>
    <t>2020.12.15-2022.1.14；2022.1.15-2023.9.30</t>
    <phoneticPr fontId="250" type="noConversion"/>
  </si>
  <si>
    <t>2020.12.15-2021.1.14</t>
    <phoneticPr fontId="250" type="noConversion"/>
  </si>
  <si>
    <t>309-1</t>
    <phoneticPr fontId="250" type="noConversion"/>
  </si>
  <si>
    <t>北京蔷薇灵动科技有限公司</t>
    <phoneticPr fontId="250" type="noConversion"/>
  </si>
  <si>
    <t>2023.2.7-2024.2.6</t>
    <phoneticPr fontId="250" type="noConversion"/>
  </si>
  <si>
    <t>无</t>
    <phoneticPr fontId="250" type="noConversion"/>
  </si>
  <si>
    <t>311-1-3</t>
    <phoneticPr fontId="250" type="noConversion"/>
  </si>
  <si>
    <t>北京三快在线科技有限公司</t>
  </si>
  <si>
    <t>2019.10.8-2021.11.7；2021.11.8-2022.11.7；
2022.11.8-2024.11.7</t>
    <phoneticPr fontId="250" type="noConversion"/>
  </si>
  <si>
    <t>2019.10.8-2019.11.7</t>
    <phoneticPr fontId="250" type="noConversion"/>
  </si>
  <si>
    <t>311-2-4</t>
    <phoneticPr fontId="250" type="noConversion"/>
  </si>
  <si>
    <t>北京中天灏景科技有限公司</t>
  </si>
  <si>
    <t>2018.5.3-2021.5.2；2021.5.3-2023.5.2</t>
    <phoneticPr fontId="250" type="noConversion"/>
  </si>
  <si>
    <t>2018.4.3-2018.5.2</t>
    <phoneticPr fontId="250" type="noConversion"/>
  </si>
  <si>
    <t>312-1-2</t>
    <phoneticPr fontId="250" type="noConversion"/>
  </si>
  <si>
    <t>知心康健（北京）健康管理有限公司-2023.3.8解约</t>
    <phoneticPr fontId="250" type="noConversion"/>
  </si>
  <si>
    <t>2021.3.8-2024.4.7</t>
    <phoneticPr fontId="250" type="noConversion"/>
  </si>
  <si>
    <t>2021.3.8-2021.4.7</t>
    <phoneticPr fontId="250" type="noConversion"/>
  </si>
  <si>
    <t>312-3-4</t>
    <phoneticPr fontId="250" type="noConversion"/>
  </si>
  <si>
    <t>知心康健（北京）健康管理有限公司</t>
  </si>
  <si>
    <t>2023.3.8-2024.4.7</t>
    <phoneticPr fontId="250" type="noConversion"/>
  </si>
  <si>
    <t>312-3-4</t>
    <phoneticPr fontId="250" type="noConversion"/>
  </si>
  <si>
    <t>北京星际雾科技有限公司-2023年2月1日解约</t>
    <phoneticPr fontId="250" type="noConversion"/>
  </si>
  <si>
    <t>2021.12.17-2024.1.31</t>
    <phoneticPr fontId="250" type="noConversion"/>
  </si>
  <si>
    <t>2021.12.17-2022.1.31</t>
    <phoneticPr fontId="250" type="noConversion"/>
  </si>
  <si>
    <t>四层</t>
    <phoneticPr fontId="250" type="noConversion"/>
  </si>
  <si>
    <t>4F</t>
    <phoneticPr fontId="250" type="noConversion"/>
  </si>
  <si>
    <t>北京昌品城市文化发展有限公司</t>
    <phoneticPr fontId="250" type="noConversion"/>
  </si>
  <si>
    <t>第一、二、三年2.5；
第四、五年2.65；
第六、七、八年2.65</t>
    <phoneticPr fontId="250" type="noConversion"/>
  </si>
  <si>
    <t>2017.7.7-2022.7.6；
2022.7.7-2025.7.6</t>
    <phoneticPr fontId="250" type="noConversion"/>
  </si>
  <si>
    <t>2017.7.7-2017.10.6</t>
    <phoneticPr fontId="250" type="noConversion"/>
  </si>
  <si>
    <t>五层</t>
    <phoneticPr fontId="250" type="noConversion"/>
  </si>
  <si>
    <t>501-1-2</t>
    <phoneticPr fontId="250" type="noConversion"/>
  </si>
  <si>
    <t>北京易思易度科技有限公司</t>
  </si>
  <si>
    <t>4.6/4.5</t>
    <phoneticPr fontId="250" type="noConversion"/>
  </si>
  <si>
    <t>2019.8.1-2021.8.31；  2021.9.1-2023.8.31</t>
    <phoneticPr fontId="250" type="noConversion"/>
  </si>
  <si>
    <t>2019.8.1-2019.8.31</t>
    <phoneticPr fontId="250" type="noConversion"/>
  </si>
  <si>
    <t>502-1-2-3-4、504-1-2、506-1-2-3-4</t>
  </si>
  <si>
    <t>北京纵目安驰智能科技有限公司</t>
    <phoneticPr fontId="250" type="noConversion"/>
  </si>
  <si>
    <t>2018.11.16-2022.1.15；2022.1.16-2024.1.15</t>
    <phoneticPr fontId="250" type="noConversion"/>
  </si>
  <si>
    <t>2018.11.16-2019.1.15</t>
    <phoneticPr fontId="250" type="noConversion"/>
  </si>
  <si>
    <t>503-2、503-4</t>
    <phoneticPr fontId="250" type="noConversion"/>
  </si>
  <si>
    <t>北京知鲲知识产权代理事务所（普通合伙）</t>
    <phoneticPr fontId="250" type="noConversion"/>
  </si>
  <si>
    <t>2022.3.10-2024.4.24</t>
    <phoneticPr fontId="250" type="noConversion"/>
  </si>
  <si>
    <t>2022.3.10-2022.4.24</t>
    <phoneticPr fontId="250" type="noConversion"/>
  </si>
  <si>
    <t>503-1、503-3</t>
    <phoneticPr fontId="250" type="noConversion"/>
  </si>
  <si>
    <t>北京浩游网讯科技有限公司</t>
    <phoneticPr fontId="250" type="noConversion"/>
  </si>
  <si>
    <t>2021.1.10-2023.1.9；
2023.1.10-2025.1.9</t>
    <phoneticPr fontId="250" type="noConversion"/>
  </si>
  <si>
    <t>505-2、505-4</t>
    <phoneticPr fontId="250" type="noConversion"/>
  </si>
  <si>
    <t>梦想合力（北京）科技有限公司</t>
  </si>
  <si>
    <t>507、510、512</t>
    <phoneticPr fontId="250" type="noConversion"/>
  </si>
  <si>
    <t>北京奥密信息技术有限公司</t>
    <phoneticPr fontId="250" type="noConversion"/>
  </si>
  <si>
    <t>4.21/4.21/4.42</t>
    <phoneticPr fontId="250" type="noConversion"/>
  </si>
  <si>
    <t>2022.3.30-2025.2.28</t>
    <phoneticPr fontId="250" type="noConversion"/>
  </si>
  <si>
    <t>2022.3.30-2022.5.29</t>
    <phoneticPr fontId="250" type="noConversion"/>
  </si>
  <si>
    <t>508-1-2-3-4、509-1-2</t>
    <phoneticPr fontId="250" type="noConversion"/>
  </si>
  <si>
    <t>北京知其安科技有限公司</t>
    <phoneticPr fontId="250" type="noConversion"/>
  </si>
  <si>
    <t>2023.2.1-2025.1.31</t>
    <phoneticPr fontId="250" type="noConversion"/>
  </si>
  <si>
    <t>511-1-2-3-4</t>
    <phoneticPr fontId="250" type="noConversion"/>
  </si>
  <si>
    <t>北京知其安科技有限公司-2023.2.1解约</t>
    <phoneticPr fontId="250" type="noConversion"/>
  </si>
  <si>
    <t>2022.3.15-2024.4.28</t>
    <phoneticPr fontId="250" type="noConversion"/>
  </si>
  <si>
    <t>2022.3.15-2022.4.28</t>
    <phoneticPr fontId="250" type="noConversion"/>
  </si>
  <si>
    <t>每月合计/全年应收总计</t>
  </si>
  <si>
    <t>4</t>
    <phoneticPr fontId="137" type="noConversion"/>
  </si>
  <si>
    <t>5</t>
  </si>
  <si>
    <t>5</t>
    <phoneticPr fontId="137" type="noConversion"/>
  </si>
  <si>
    <t xml:space="preserve"> </t>
    <phoneticPr fontId="137"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</si>
  <si>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</si>
  <si>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</si>
  <si>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</si>
  <si>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</si>
  <si>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</si>
  <si>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</si>
  <si>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</si>
  <si>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</si>
  <si>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</si>
  <si>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</si>
  <si>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</si>
  <si>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</si>
  <si>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</si>
  <si>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</si>
  <si>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</si>
  <si>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</si>
  <si>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</si>
  <si>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</si>
  <si>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</si>
  <si>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</si>
  <si>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</si>
  <si>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</si>
  <si>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</si>
  <si>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</si>
  <si>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</si>
  <si>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</si>
  <si>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</si>
  <si>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</si>
  <si>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</si>
  <si>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</si>
  <si>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</si>
  <si>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</si>
  <si>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</si>
  <si>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</si>
  <si>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</si>
  <si>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</si>
  <si>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</si>
  <si>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</si>
  <si>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</si>
  <si>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</si>
  <si>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</si>
  <si>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</si>
  <si>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</si>
  <si>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</si>
  <si>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r>
      <t>1-2</t>
    </r>
    <r>
      <rPr>
        <sz val="10"/>
        <color indexed="8"/>
        <rFont val="宋体"/>
        <family val="3"/>
        <charset val="134"/>
      </rPr>
      <t>层</t>
    </r>
    <phoneticPr fontId="6" type="noConversion"/>
  </si>
  <si>
    <t>1层</t>
    <phoneticPr fontId="137" type="noConversion"/>
  </si>
  <si>
    <r>
      <t>1</t>
    </r>
    <r>
      <rPr>
        <sz val="11"/>
        <color theme="1"/>
        <rFont val="宋体"/>
        <family val="3"/>
        <charset val="134"/>
        <scheme val="minor"/>
      </rPr>
      <t>-2层</t>
    </r>
    <phoneticPr fontId="137" type="noConversion"/>
  </si>
  <si>
    <t>3层</t>
    <phoneticPr fontId="137" type="noConversion"/>
  </si>
  <si>
    <t>4层</t>
    <phoneticPr fontId="137" type="noConversion"/>
  </si>
  <si>
    <t>5层</t>
    <phoneticPr fontId="137" type="noConversion"/>
  </si>
  <si>
    <t xml:space="preserve"> </t>
    <phoneticPr fontId="137" type="noConversion"/>
  </si>
  <si>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</si>
  <si>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</si>
  <si>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</si>
  <si>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</si>
  <si>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</si>
  <si>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</si>
  <si>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</si>
  <si>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</si>
  <si>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</si>
  <si>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</si>
  <si>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</si>
  <si>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</si>
  <si>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</si>
  <si>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</si>
  <si>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</si>
  <si>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</si>
  <si>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</si>
  <si>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</si>
  <si>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</si>
  <si>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</si>
  <si>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</si>
  <si>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</si>
  <si>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</si>
  <si>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</si>
  <si>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</si>
  <si>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</si>
  <si>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</si>
  <si>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</si>
  <si>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</si>
  <si>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</si>
  <si>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</si>
  <si>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</si>
  <si>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</si>
  <si>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</si>
  <si>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</si>
  <si>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</si>
  <si>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</si>
  <si>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</si>
  <si>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</si>
  <si>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</si>
  <si>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</si>
  <si>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</si>
  <si>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</si>
  <si>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</si>
  <si>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</si>
  <si>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</si>
  <si>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</si>
  <si>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</si>
  <si>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</si>
  <si>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</si>
  <si>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</si>
  <si>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</si>
  <si>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</si>
  <si>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</si>
  <si>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</si>
  <si>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</si>
  <si>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</si>
  <si>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</si>
  <si>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</si>
  <si>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</si>
  <si>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</si>
  <si>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</si>
  <si>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</si>
  <si>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</si>
  <si>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</si>
  <si>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</si>
  <si>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</si>
  <si>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</si>
  <si>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</si>
  <si>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</si>
  <si>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</si>
  <si>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</si>
  <si>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</si>
  <si>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</si>
  <si>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</si>
  <si>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</si>
  <si>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</si>
  <si>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</si>
  <si>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</si>
  <si>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</si>
  <si>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</si>
  <si>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</si>
  <si>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</si>
  <si>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</si>
  <si>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</si>
  <si>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</si>
  <si>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</si>
  <si>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</si>
  <si>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</si>
  <si>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</si>
  <si>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</si>
  <si>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</si>
  <si>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</si>
  <si>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</si>
  <si>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</si>
  <si>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</si>
  <si>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</si>
  <si>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</si>
  <si>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</si>
  <si>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</si>
  <si>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</si>
  <si>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</si>
  <si>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</si>
  <si>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</si>
  <si>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</si>
  <si>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</si>
  <si>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</si>
  <si>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</si>
  <si>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</si>
  <si>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</si>
  <si>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</si>
  <si>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</si>
  <si>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</si>
  <si>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</si>
  <si>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</si>
  <si>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</si>
  <si>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</si>
  <si>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</si>
  <si>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</si>
  <si>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</si>
  <si>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</si>
  <si>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</si>
  <si>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</si>
  <si>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</si>
  <si>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</si>
  <si>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</si>
  <si>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</si>
  <si>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</si>
  <si>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</si>
  <si>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</si>
  <si>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</si>
  <si>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</si>
  <si>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</si>
  <si>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</si>
  <si>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</si>
  <si>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</si>
  <si>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</si>
  <si>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</si>
  <si>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</si>
  <si>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3" type="noConversion"/>
  </si>
  <si>
    <t>北京市海淀区西北旺镇永丰产业基地(新)HD00-0403-004地块F3其他类多功能用地</t>
    <phoneticPr fontId="137" type="noConversion"/>
  </si>
  <si>
    <t>北京市海淀区西北旺镇永丰产业基地(新)HD00-0403-009地块F3其他类多功能用地</t>
    <phoneticPr fontId="137" type="noConversion"/>
  </si>
  <si>
    <t>北京市丰台区丽泽金融商务区D-01地块B4综合性商业金融服务业用地</t>
    <phoneticPr fontId="137" type="noConversion"/>
  </si>
  <si>
    <t>三通</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</si>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</sst>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1"/>
      <color rgb="FFFF0000"/>
      <name val="宋体"/>
      <family val="2"/>
      <charset val="134"/>
      <scheme val="minor"/>
    </font>
    <font>
      <b/>
      <sz val="11"/>
      <name val="微软雅黑"/>
      <family val="2"/>
      <charset val="134"/>
    </font>
    <font>
      <b/>
      <sz val="10"/>
      <color theme="1"/>
      <name val="华文细黑"/>
      <family val="3"/>
      <charset val="134"/>
    </font>
    <font>
      <sz val="11"/>
      <color theme="1"/>
      <name val="华文细黑"/>
      <family val="3"/>
      <charset val="134"/>
    </font>
    <font>
      <sz val="10"/>
      <color theme="1"/>
      <name val="华文细黑"/>
      <family val="3"/>
      <charset val="134"/>
    </font>
    <font>
      <sz val="11"/>
      <color theme="1"/>
      <name val="微软雅黑"/>
      <family val="2"/>
      <charset val="134"/>
    </font>
    <font>
      <sz val="10"/>
      <color theme="1"/>
      <name val="微软雅黑"/>
      <family val="2"/>
      <charset val="134"/>
    </font>
    <font>
      <sz val="10"/>
      <name val="微软雅黑"/>
      <family val="2"/>
      <charset val="134"/>
    </font>
    <font>
      <sz val="10"/>
      <color rgb="FFFF0000"/>
      <name val="微软雅黑"/>
      <family val="2"/>
      <charset val="134"/>
    </font>
    <font>
      <sz val="10"/>
      <color rgb="FFFF0000"/>
      <name val="华文细黑"/>
      <family val="3"/>
      <charset val="134"/>
    </font>
    <font>
      <sz val="10"/>
      <color rgb="FFFF0000"/>
      <name val="宋体"/>
      <family val="3"/>
      <charset val="134"/>
      <scheme val="minor"/>
    </font>
    <font>
      <sz val="10"/>
      <name val="华文细黑"/>
      <family val="3"/>
      <charset val="134"/>
    </font>
    <font>
      <sz val="10"/>
      <name val="宋体"/>
      <family val="3"/>
      <charset val="134"/>
      <scheme val="minor"/>
    </font>
    <font>
      <sz val="11"/>
      <name val="宋体"/>
      <family val="2"/>
      <charset val="134"/>
      <scheme val="minor"/>
    </font>
    <font>
      <b/>
      <sz val="10"/>
      <color theme="1"/>
      <name val="微软雅黑"/>
      <family val="2"/>
      <charset val="134"/>
    </font>
    <font>
      <b/>
      <sz val="10"/>
      <name val="微软雅黑"/>
      <family val="2"/>
      <charset val="134"/>
    </font>
    <font>
      <b/>
      <sz val="9"/>
      <color indexed="81"/>
      <name val="Tahoma"/>
      <family val="2"/>
    </font>
    <font>
      <sz val="9"/>
      <color indexed="81"/>
      <name val="Tahoma"/>
      <family val="2"/>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8" fillId="0" borderId="0">
      <alignment vertical="center"/>
    </xf>
    <xf numFmtId="0" fontId="98" fillId="0" borderId="0"/>
    <xf numFmtId="0" fontId="98" fillId="0" borderId="0">
      <alignment vertical="center"/>
    </xf>
    <xf numFmtId="0" fontId="39"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5" fillId="0" borderId="0">
      <alignment vertical="center"/>
    </xf>
    <xf numFmtId="0" fontId="98" fillId="0" borderId="0">
      <alignment vertical="center"/>
    </xf>
    <xf numFmtId="0" fontId="4" fillId="0" borderId="0">
      <alignment vertical="center"/>
    </xf>
    <xf numFmtId="0" fontId="162" fillId="0" borderId="0"/>
    <xf numFmtId="0" fontId="4" fillId="0" borderId="0">
      <alignment vertical="center"/>
    </xf>
    <xf numFmtId="9" fontId="39" fillId="0" borderId="0" applyFont="0" applyFill="0" applyBorder="0" applyAlignment="0" applyProtection="0">
      <alignment vertical="center"/>
    </xf>
    <xf numFmtId="0" fontId="98" fillId="0" borderId="0">
      <alignment vertical="center"/>
    </xf>
    <xf numFmtId="0" fontId="4" fillId="0" borderId="0">
      <alignment vertical="center"/>
    </xf>
    <xf numFmtId="9" fontId="248" fillId="0" borderId="0" applyFont="0" applyFill="0" applyBorder="0" applyAlignment="0" applyProtection="0">
      <alignment vertical="center"/>
    </xf>
    <xf numFmtId="192" fontId="98" fillId="0" borderId="0">
      <alignment vertical="center"/>
    </xf>
    <xf numFmtId="0" fontId="56" fillId="0" borderId="0"/>
    <xf numFmtId="0" fontId="272" fillId="0" borderId="0"/>
    <xf numFmtId="0" fontId="3" fillId="0" borderId="0">
      <alignment vertical="center"/>
    </xf>
    <xf numFmtId="43" fontId="39" fillId="0" borderId="0" applyFont="0" applyFill="0" applyBorder="0" applyAlignment="0" applyProtection="0"/>
    <xf numFmtId="43" fontId="27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0" fontId="292" fillId="0" borderId="0"/>
    <xf numFmtId="9" fontId="293" fillId="0" borderId="0"/>
    <xf numFmtId="9" fontId="39" fillId="0" borderId="0" applyFont="0" applyFill="0" applyBorder="0" applyAlignment="0" applyProtection="0"/>
    <xf numFmtId="0" fontId="294" fillId="0" borderId="0"/>
    <xf numFmtId="43" fontId="39" fillId="0" borderId="0" applyFont="0" applyFill="0" applyBorder="0" applyAlignment="0" applyProtection="0">
      <alignment vertical="center"/>
    </xf>
    <xf numFmtId="43" fontId="39" fillId="0" borderId="0" applyFont="0" applyFill="0" applyBorder="0" applyAlignment="0" applyProtection="0">
      <alignment vertical="center"/>
    </xf>
    <xf numFmtId="192" fontId="98" fillId="0" borderId="0">
      <alignment vertical="center"/>
    </xf>
    <xf numFmtId="9" fontId="98" fillId="0" borderId="0" applyFont="0" applyFill="0" applyBorder="0" applyAlignment="0" applyProtection="0">
      <alignment vertical="center"/>
    </xf>
    <xf numFmtId="192" fontId="98" fillId="0" borderId="0"/>
    <xf numFmtId="192" fontId="98" fillId="0" borderId="0">
      <alignment vertical="center"/>
    </xf>
    <xf numFmtId="0" fontId="295" fillId="0" borderId="0"/>
  </cellStyleXfs>
  <cellXfs count="3899">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81"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2"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18" fillId="0" borderId="0" xfId="5" applyFont="1">
      <alignment vertical="center"/>
    </xf>
    <xf numFmtId="0" fontId="98"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0"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50" fillId="0" borderId="78" xfId="11" applyFont="1" applyBorder="1" applyAlignment="1" applyProtection="1">
      <alignment horizontal="left" vertical="center" wrapText="1"/>
    </xf>
    <xf numFmtId="0" fontId="150" fillId="0" borderId="87" xfId="0" applyFont="1" applyBorder="1" applyProtection="1">
      <alignment vertical="center"/>
    </xf>
    <xf numFmtId="0" fontId="150" fillId="0" borderId="44" xfId="11" applyFont="1" applyBorder="1" applyAlignment="1" applyProtection="1">
      <alignment vertical="center" wrapText="1"/>
    </xf>
    <xf numFmtId="0" fontId="150" fillId="0" borderId="44" xfId="0" applyFont="1" applyBorder="1" applyAlignment="1" applyProtection="1">
      <alignment horizontal="left" vertical="center"/>
    </xf>
    <xf numFmtId="0" fontId="150" fillId="0" borderId="83" xfId="0" applyFont="1" applyBorder="1" applyProtection="1">
      <alignment vertical="center"/>
    </xf>
    <xf numFmtId="0" fontId="150" fillId="0" borderId="1" xfId="1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0" xfId="0" applyFont="1" applyBorder="1" applyProtection="1">
      <alignment vertical="center"/>
    </xf>
    <xf numFmtId="0" fontId="150" fillId="0" borderId="78" xfId="11" applyFont="1" applyBorder="1" applyAlignment="1" applyProtection="1">
      <alignment vertical="center" wrapText="1"/>
    </xf>
    <xf numFmtId="0" fontId="150" fillId="0" borderId="78" xfId="0" applyFont="1" applyBorder="1" applyAlignment="1" applyProtection="1">
      <alignment horizontal="left" vertical="center"/>
    </xf>
    <xf numFmtId="192" fontId="150" fillId="0" borderId="78" xfId="0" applyNumberFormat="1" applyFont="1" applyBorder="1" applyAlignment="1" applyProtection="1">
      <alignment horizontal="left" vertical="center"/>
    </xf>
    <xf numFmtId="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0" fontId="150" fillId="0" borderId="0" xfId="0" applyFont="1" applyProtection="1">
      <alignment vertical="center"/>
    </xf>
    <xf numFmtId="14" fontId="150" fillId="0" borderId="1" xfId="0" applyNumberFormat="1" applyFont="1" applyBorder="1" applyAlignment="1" applyProtection="1">
      <alignment horizontal="left" vertical="center"/>
    </xf>
    <xf numFmtId="0" fontId="150"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22" fillId="6" borderId="0" xfId="2" applyFont="1" applyFill="1"/>
    <xf numFmtId="0" fontId="22" fillId="6" borderId="6" xfId="2" applyFont="1" applyFill="1" applyBorder="1"/>
    <xf numFmtId="0" fontId="125" fillId="6" borderId="9" xfId="2" applyFont="1" applyFill="1" applyBorder="1" applyAlignment="1">
      <alignment horizontal="center" vertical="center" wrapText="1"/>
    </xf>
    <xf numFmtId="0" fontId="22"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25" fillId="6" borderId="1" xfId="2" applyFont="1" applyFill="1" applyBorder="1" applyAlignment="1">
      <alignment horizontal="center" vertical="center" wrapText="1"/>
    </xf>
    <xf numFmtId="0" fontId="22"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25"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55" fillId="6" borderId="0" xfId="2" applyNumberFormat="1"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2"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60" fillId="6" borderId="0" xfId="2" applyFont="1" applyFill="1" applyAlignment="1">
      <alignment vertical="center"/>
    </xf>
    <xf numFmtId="0" fontId="160" fillId="6" borderId="1" xfId="2" applyFont="1" applyFill="1" applyBorder="1" applyAlignment="1">
      <alignment horizontal="left"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3" fillId="0" borderId="1" xfId="12" applyFont="1" applyBorder="1" applyAlignment="1" applyProtection="1">
      <alignment horizontal="left" vertical="center" wrapText="1"/>
      <protection locked="0"/>
    </xf>
    <xf numFmtId="0" fontId="167"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1" fillId="0" borderId="108" xfId="0" applyNumberFormat="1" applyFont="1" applyFill="1" applyBorder="1" applyAlignment="1" applyProtection="1">
      <alignment horizontal="center" vertical="center" wrapText="1"/>
      <protection locked="0"/>
    </xf>
    <xf numFmtId="0" fontId="171"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17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4"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3"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2" fillId="6" borderId="43" xfId="0" applyNumberFormat="1" applyFont="1" applyFill="1" applyBorder="1" applyAlignment="1" applyProtection="1">
      <alignment vertical="center" wrapText="1"/>
    </xf>
    <xf numFmtId="0" fontId="167"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174" fillId="6" borderId="3" xfId="0" applyFont="1" applyFill="1" applyBorder="1" applyAlignment="1" applyProtection="1">
      <alignment horizontal="right" vertical="center" wrapText="1"/>
    </xf>
    <xf numFmtId="0" fontId="189" fillId="0" borderId="0" xfId="5" applyFont="1">
      <alignment vertical="center"/>
    </xf>
    <xf numFmtId="0" fontId="98" fillId="0" borderId="0" xfId="0" applyFont="1" applyProtection="1">
      <alignment vertical="center"/>
      <protection locked="0"/>
    </xf>
    <xf numFmtId="0" fontId="198"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9" fillId="0" borderId="0" xfId="0" applyFont="1" applyAlignment="1">
      <alignment vertical="center"/>
    </xf>
    <xf numFmtId="0" fontId="133" fillId="0" borderId="0" xfId="0" applyFont="1" applyAlignment="1">
      <alignment vertical="center" wrapText="1"/>
    </xf>
    <xf numFmtId="0" fontId="200" fillId="0" borderId="0" xfId="0" applyFont="1">
      <alignment vertical="center"/>
    </xf>
    <xf numFmtId="0" fontId="201" fillId="0" borderId="0" xfId="0" applyFont="1">
      <alignment vertical="center"/>
    </xf>
    <xf numFmtId="0" fontId="202" fillId="0" borderId="0" xfId="0" applyFont="1" applyAlignment="1" applyProtection="1">
      <alignment vertical="center" wrapText="1"/>
      <protection locked="0"/>
    </xf>
    <xf numFmtId="0" fontId="133" fillId="0" borderId="0" xfId="0" applyFont="1" applyFill="1" applyAlignment="1">
      <alignment vertical="center" wrapText="1"/>
    </xf>
    <xf numFmtId="0" fontId="199" fillId="0" borderId="0" xfId="0" applyFont="1">
      <alignment vertical="center"/>
    </xf>
    <xf numFmtId="183" fontId="133" fillId="0" borderId="0" xfId="0" applyNumberFormat="1" applyFont="1" applyAlignment="1">
      <alignment horizontal="left" vertical="center"/>
    </xf>
    <xf numFmtId="0" fontId="133" fillId="0" borderId="0" xfId="0" applyFont="1">
      <alignment vertical="center"/>
    </xf>
    <xf numFmtId="0" fontId="203" fillId="5" borderId="0" xfId="0" applyFont="1" applyFill="1" applyProtection="1">
      <alignment vertical="center"/>
      <protection locked="0"/>
    </xf>
    <xf numFmtId="0" fontId="101" fillId="0" borderId="0" xfId="0" applyFont="1" applyProtection="1">
      <alignment vertical="center"/>
      <protection locked="0"/>
    </xf>
    <xf numFmtId="0" fontId="199"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9"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7"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8" fillId="0" borderId="0" xfId="0" applyFont="1" applyProtection="1">
      <alignment vertical="center"/>
    </xf>
    <xf numFmtId="0" fontId="196" fillId="0" borderId="0" xfId="0" applyFont="1" applyBorder="1" applyAlignment="1" applyProtection="1">
      <alignment horizontal="left" vertical="center"/>
    </xf>
    <xf numFmtId="0" fontId="214"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4" fillId="0" borderId="60" xfId="0" applyFont="1" applyBorder="1" applyAlignment="1" applyProtection="1">
      <alignment horizontal="justify" vertical="center" wrapText="1"/>
    </xf>
    <xf numFmtId="0" fontId="214" fillId="0" borderId="0" xfId="0" applyFont="1" applyBorder="1" applyAlignment="1" applyProtection="1">
      <alignment horizontal="right" vertical="center" wrapText="1"/>
    </xf>
    <xf numFmtId="0" fontId="214" fillId="0" borderId="54" xfId="0" applyFont="1" applyBorder="1" applyAlignment="1" applyProtection="1">
      <alignment horizontal="justify" vertical="center" wrapText="1"/>
    </xf>
    <xf numFmtId="0" fontId="215" fillId="0" borderId="0" xfId="0" applyFont="1" applyBorder="1" applyAlignment="1" applyProtection="1">
      <alignment horizontal="center" vertical="center" wrapText="1"/>
      <protection locked="0"/>
    </xf>
    <xf numFmtId="0" fontId="199"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8" fillId="0" borderId="0" xfId="0" applyFont="1" applyBorder="1" applyProtection="1">
      <alignment vertical="center"/>
      <protection locked="0"/>
    </xf>
    <xf numFmtId="0" fontId="197" fillId="0" borderId="0" xfId="0" applyFont="1" applyBorder="1" applyProtection="1">
      <alignment vertical="center"/>
      <protection locked="0"/>
    </xf>
    <xf numFmtId="0" fontId="218" fillId="0" borderId="0" xfId="0" applyFont="1" applyProtection="1">
      <alignment vertical="center"/>
    </xf>
    <xf numFmtId="0" fontId="197" fillId="0" borderId="0" xfId="0" applyFont="1" applyProtection="1">
      <alignment vertical="center"/>
    </xf>
    <xf numFmtId="0" fontId="20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05" fillId="0" borderId="0" xfId="0" applyFont="1" applyProtection="1">
      <alignment vertical="center"/>
    </xf>
    <xf numFmtId="0" fontId="205" fillId="2" borderId="1" xfId="0" applyFont="1" applyFill="1" applyBorder="1" applyAlignment="1" applyProtection="1">
      <alignment horizontal="center" vertical="center" wrapText="1"/>
    </xf>
    <xf numFmtId="0" fontId="205" fillId="6" borderId="1" xfId="0" applyFont="1" applyFill="1" applyBorder="1" applyAlignment="1" applyProtection="1">
      <alignment horizontal="center" vertical="center" wrapText="1"/>
    </xf>
    <xf numFmtId="0" fontId="221" fillId="4" borderId="1" xfId="0" applyFont="1" applyFill="1" applyBorder="1" applyAlignment="1" applyProtection="1">
      <alignment horizontal="center" vertical="center"/>
    </xf>
    <xf numFmtId="0" fontId="222" fillId="0" borderId="1" xfId="0" applyFont="1" applyFill="1" applyBorder="1" applyAlignment="1" applyProtection="1">
      <alignment horizontal="center" vertical="center"/>
    </xf>
    <xf numFmtId="0" fontId="220" fillId="0" borderId="0" xfId="0" applyFont="1" applyProtection="1">
      <alignment vertical="center"/>
    </xf>
    <xf numFmtId="0" fontId="119"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3" fillId="0" borderId="0" xfId="0" applyFont="1" applyProtection="1">
      <alignment vertical="center"/>
    </xf>
    <xf numFmtId="0" fontId="220" fillId="0" borderId="0" xfId="0" applyFont="1" applyAlignment="1" applyProtection="1">
      <alignment horizontal="left" vertical="center"/>
    </xf>
    <xf numFmtId="176" fontId="220" fillId="0" borderId="0" xfId="0" applyNumberFormat="1" applyFont="1" applyAlignment="1" applyProtection="1">
      <alignment horizontal="left" vertical="center"/>
    </xf>
    <xf numFmtId="0" fontId="22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0" fillId="6" borderId="0" xfId="0" applyFont="1" applyFill="1" applyAlignment="1" applyProtection="1">
      <alignment horizontal="center" vertical="center" wrapText="1"/>
    </xf>
    <xf numFmtId="0" fontId="22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1"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8" fillId="6" borderId="0" xfId="0" applyFont="1" applyFill="1" applyBorder="1" applyAlignment="1" applyProtection="1">
      <alignment horizontal="left" vertical="center"/>
    </xf>
    <xf numFmtId="0" fontId="228" fillId="6" borderId="0" xfId="0" applyFont="1" applyFill="1" applyBorder="1" applyAlignment="1" applyProtection="1">
      <alignment vertical="center"/>
    </xf>
    <xf numFmtId="0" fontId="228"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7" fillId="6" borderId="1" xfId="0" applyFont="1" applyFill="1" applyBorder="1">
      <alignment vertical="center"/>
    </xf>
    <xf numFmtId="0" fontId="207"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3"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2" fillId="6" borderId="0" xfId="0" applyFont="1" applyFill="1" applyProtection="1">
      <alignment vertical="center"/>
    </xf>
    <xf numFmtId="186"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6" fontId="207"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1" fillId="0" borderId="1" xfId="0" applyNumberFormat="1" applyFont="1" applyFill="1" applyBorder="1" applyAlignment="1" applyProtection="1">
      <alignment horizontal="center" vertical="center" wrapText="1"/>
      <protection locked="0"/>
    </xf>
    <xf numFmtId="0" fontId="171"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1"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2"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5" fillId="0" borderId="120" xfId="9" applyFont="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39"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5"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16" fillId="5" borderId="0" xfId="9" applyFont="1" applyFill="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5"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3" xfId="9" applyFont="1" applyFill="1" applyBorder="1" applyAlignment="1" applyProtection="1">
      <alignment horizontal="left" vertical="center" wrapText="1"/>
    </xf>
    <xf numFmtId="0" fontId="146" fillId="11" borderId="124" xfId="9" applyFont="1" applyFill="1" applyBorder="1" applyAlignment="1" applyProtection="1">
      <alignment horizontal="left" vertical="center" wrapText="1"/>
    </xf>
    <xf numFmtId="185" fontId="105" fillId="11" borderId="123" xfId="9" applyNumberFormat="1" applyFont="1" applyFill="1" applyBorder="1" applyAlignment="1" applyProtection="1">
      <alignment horizontal="left" vertical="center" wrapText="1"/>
    </xf>
    <xf numFmtId="185" fontId="105" fillId="11" borderId="129" xfId="9" applyNumberFormat="1"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0" fontId="102" fillId="12" borderId="123" xfId="9" applyFont="1" applyFill="1" applyBorder="1" applyAlignment="1" applyProtection="1">
      <alignment horizontal="left" vertical="center" wrapText="1"/>
    </xf>
    <xf numFmtId="0" fontId="102"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5" fontId="102" fillId="5" borderId="0" xfId="9" applyNumberFormat="1" applyFont="1" applyFill="1" applyAlignment="1">
      <alignment horizontal="left" vertical="center"/>
    </xf>
    <xf numFmtId="0" fontId="102" fillId="5" borderId="126" xfId="9" applyFont="1" applyFill="1" applyBorder="1" applyAlignment="1" applyProtection="1">
      <alignment horizontal="left" vertical="center" wrapText="1"/>
    </xf>
    <xf numFmtId="0" fontId="102" fillId="5" borderId="130" xfId="9" applyFont="1" applyFill="1" applyBorder="1" applyAlignment="1" applyProtection="1">
      <alignment horizontal="left" vertical="center" wrapText="1"/>
    </xf>
    <xf numFmtId="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46" fillId="12" borderId="147" xfId="9" applyFont="1" applyFill="1" applyBorder="1" applyAlignment="1">
      <alignment horizontal="left" vertical="center" wrapText="1"/>
    </xf>
    <xf numFmtId="0" fontId="146" fillId="12" borderId="123" xfId="9" applyFont="1" applyFill="1" applyBorder="1" applyAlignment="1">
      <alignment horizontal="left" vertical="center" wrapText="1"/>
    </xf>
    <xf numFmtId="0" fontId="146" fillId="11" borderId="148"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2" borderId="126" xfId="9" applyFont="1" applyFill="1" applyBorder="1" applyAlignment="1">
      <alignment horizontal="left" vertical="center" wrapText="1"/>
    </xf>
    <xf numFmtId="0" fontId="146" fillId="11" borderId="149" xfId="9" applyFont="1" applyFill="1" applyBorder="1" applyAlignment="1">
      <alignment horizontal="left" vertical="center" wrapText="1"/>
    </xf>
    <xf numFmtId="0" fontId="146" fillId="11" borderId="132" xfId="9" applyFont="1" applyFill="1" applyBorder="1" applyAlignment="1">
      <alignment horizontal="left" vertical="center" wrapText="1"/>
    </xf>
    <xf numFmtId="0" fontId="132" fillId="6" borderId="0" xfId="0" applyFont="1" applyFill="1" applyAlignment="1" applyProtection="1">
      <alignment horizontal="left" vertical="center"/>
    </xf>
    <xf numFmtId="0" fontId="180" fillId="6" borderId="154" xfId="0" applyFont="1" applyFill="1" applyBorder="1" applyAlignment="1" applyProtection="1">
      <alignment horizontal="left"/>
    </xf>
    <xf numFmtId="0" fontId="104" fillId="6" borderId="154" xfId="0" applyFont="1" applyFill="1" applyBorder="1" applyAlignment="1" applyProtection="1">
      <alignment horizontal="left"/>
    </xf>
    <xf numFmtId="0" fontId="180" fillId="6" borderId="154" xfId="0" applyFont="1" applyFill="1" applyBorder="1" applyAlignment="1" applyProtection="1">
      <alignment horizontal="right"/>
    </xf>
    <xf numFmtId="0" fontId="104" fillId="7" borderId="154" xfId="0" applyFont="1" applyFill="1" applyBorder="1" applyAlignment="1" applyProtection="1">
      <protection locked="0"/>
    </xf>
    <xf numFmtId="0" fontId="104" fillId="7" borderId="154" xfId="0" applyFont="1" applyFill="1" applyBorder="1" applyAlignment="1" applyProtection="1"/>
    <xf numFmtId="0" fontId="104"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0"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1" fontId="121" fillId="0" borderId="1" xfId="5" applyNumberFormat="1" applyFont="1" applyFill="1" applyBorder="1" applyAlignment="1">
      <alignment horizontal="left" vertical="center"/>
    </xf>
    <xf numFmtId="191" fontId="241" fillId="0" borderId="5" xfId="5" applyNumberFormat="1" applyFont="1" applyFill="1" applyBorder="1" applyAlignment="1">
      <alignment horizontal="left" vertical="center"/>
    </xf>
    <xf numFmtId="0" fontId="121" fillId="0" borderId="156" xfId="5" applyFont="1" applyFill="1" applyBorder="1" applyAlignment="1">
      <alignment horizontal="left" vertical="center"/>
    </xf>
    <xf numFmtId="183" fontId="121" fillId="0" borderId="1" xfId="5" applyNumberFormat="1" applyFont="1" applyFill="1" applyBorder="1" applyAlignment="1">
      <alignment horizontal="left" vertical="center"/>
    </xf>
    <xf numFmtId="0" fontId="241" fillId="0" borderId="1" xfId="5" applyFont="1" applyFill="1" applyBorder="1" applyAlignment="1">
      <alignment horizontal="left" vertical="center"/>
    </xf>
    <xf numFmtId="191" fontId="121" fillId="0" borderId="5" xfId="5" applyNumberFormat="1" applyFont="1" applyFill="1" applyBorder="1" applyAlignment="1">
      <alignment horizontal="left" vertical="center"/>
    </xf>
    <xf numFmtId="0" fontId="241" fillId="0" borderId="0" xfId="5" applyFont="1" applyFill="1" applyAlignment="1">
      <alignment horizontal="left" vertical="center"/>
    </xf>
    <xf numFmtId="0" fontId="150"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3" fontId="121" fillId="0" borderId="5" xfId="5" applyNumberFormat="1" applyFont="1" applyFill="1" applyBorder="1" applyAlignment="1">
      <alignment horizontal="left" vertical="center"/>
    </xf>
    <xf numFmtId="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3"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150" fillId="0" borderId="0" xfId="5" applyFont="1" applyBorder="1" applyAlignment="1">
      <alignment horizontal="left" vertical="center"/>
    </xf>
    <xf numFmtId="0" fontId="21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8" fillId="7" borderId="101" xfId="0" applyFont="1" applyFill="1" applyBorder="1" applyAlignment="1" applyProtection="1">
      <alignment vertical="center" wrapText="1"/>
      <protection locked="0"/>
    </xf>
    <xf numFmtId="0" fontId="208" fillId="7" borderId="101" xfId="0" applyNumberFormat="1" applyFont="1" applyFill="1" applyBorder="1" applyAlignment="1" applyProtection="1">
      <alignment vertical="center" wrapText="1"/>
      <protection locked="0"/>
    </xf>
    <xf numFmtId="0" fontId="208" fillId="7" borderId="102" xfId="0" applyFont="1" applyFill="1" applyBorder="1" applyAlignment="1" applyProtection="1">
      <alignment vertical="center" wrapText="1"/>
      <protection locked="0"/>
    </xf>
    <xf numFmtId="0" fontId="228" fillId="7" borderId="0" xfId="0" applyNumberFormat="1" applyFont="1" applyFill="1" applyAlignment="1" applyProtection="1">
      <alignment vertical="center"/>
      <protection locked="0"/>
    </xf>
    <xf numFmtId="0" fontId="228" fillId="7" borderId="0" xfId="0" applyFont="1" applyFill="1" applyAlignment="1" applyProtection="1">
      <alignment vertical="center"/>
      <protection locked="0"/>
    </xf>
    <xf numFmtId="0" fontId="22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1"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1"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1"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1"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1"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8" fillId="7" borderId="0" xfId="0" applyFont="1" applyFill="1" applyBorder="1" applyAlignment="1" applyProtection="1">
      <alignment vertical="center" wrapText="1"/>
      <protection locked="0"/>
    </xf>
    <xf numFmtId="0" fontId="208" fillId="7" borderId="0" xfId="0" applyNumberFormat="1" applyFont="1" applyFill="1" applyBorder="1" applyAlignment="1" applyProtection="1">
      <alignment vertical="center" wrapText="1"/>
      <protection locked="0"/>
    </xf>
    <xf numFmtId="0" fontId="208" fillId="7" borderId="35" xfId="0" applyNumberFormat="1" applyFont="1" applyFill="1" applyBorder="1" applyAlignment="1" applyProtection="1">
      <alignment vertical="center" wrapText="1"/>
      <protection locked="0"/>
    </xf>
    <xf numFmtId="0" fontId="228" fillId="7" borderId="0" xfId="0" applyFont="1" applyFill="1" applyAlignment="1" applyProtection="1">
      <alignment vertical="center" wrapText="1"/>
      <protection locked="0"/>
    </xf>
    <xf numFmtId="0" fontId="22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3" fillId="6" borderId="1" xfId="12" applyFont="1" applyFill="1" applyBorder="1" applyAlignment="1" applyProtection="1">
      <alignment horizontal="left" vertical="center" wrapText="1"/>
    </xf>
    <xf numFmtId="0" fontId="162" fillId="0" borderId="0" xfId="12" applyAlignment="1" applyProtection="1">
      <alignment horizontal="left"/>
      <protection locked="0"/>
    </xf>
    <xf numFmtId="14" fontId="163" fillId="6" borderId="1" xfId="12" applyNumberFormat="1" applyFont="1" applyFill="1" applyBorder="1" applyAlignment="1" applyProtection="1">
      <alignment horizontal="left" vertical="center" wrapText="1"/>
    </xf>
    <xf numFmtId="0" fontId="162" fillId="6" borderId="1" xfId="12" applyFill="1" applyBorder="1" applyAlignment="1" applyProtection="1">
      <alignment horizontal="left" vertical="center"/>
    </xf>
    <xf numFmtId="0" fontId="163"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3" fillId="0" borderId="13" xfId="12" applyFont="1" applyFill="1" applyBorder="1" applyAlignment="1" applyProtection="1">
      <alignment horizontal="left" vertical="center" wrapText="1"/>
      <protection locked="0"/>
    </xf>
    <xf numFmtId="0" fontId="162" fillId="0" borderId="1" xfId="12" applyBorder="1" applyAlignment="1" applyProtection="1">
      <alignment horizontal="left"/>
      <protection locked="0"/>
    </xf>
    <xf numFmtId="0" fontId="163"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0"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0"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7"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3" fontId="171"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3" fontId="171" fillId="0" borderId="21" xfId="0" applyNumberFormat="1" applyFont="1" applyFill="1" applyBorder="1" applyAlignment="1" applyProtection="1">
      <alignment vertical="center" shrinkToFit="1"/>
      <protection locked="0"/>
    </xf>
    <xf numFmtId="0" fontId="171" fillId="0" borderId="24" xfId="0" applyFont="1" applyFill="1" applyBorder="1" applyAlignment="1" applyProtection="1">
      <alignment vertical="center" wrapText="1"/>
      <protection locked="0"/>
    </xf>
    <xf numFmtId="0" fontId="171"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1" fillId="0" borderId="79" xfId="0" applyFont="1" applyFill="1" applyBorder="1" applyAlignment="1" applyProtection="1">
      <alignment vertical="center" wrapText="1"/>
      <protection locked="0"/>
    </xf>
    <xf numFmtId="0" fontId="171"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1"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3" fillId="12" borderId="0" xfId="12" applyFont="1" applyFill="1" applyBorder="1" applyAlignment="1" applyProtection="1">
      <alignment horizontal="left" vertical="center" wrapText="1"/>
      <protection locked="0"/>
    </xf>
    <xf numFmtId="0" fontId="162" fillId="12" borderId="0" xfId="12" applyFill="1" applyBorder="1" applyAlignment="1" applyProtection="1">
      <alignment horizontal="left"/>
      <protection locked="0"/>
    </xf>
    <xf numFmtId="0" fontId="162" fillId="12" borderId="0" xfId="12" applyFill="1" applyAlignment="1" applyProtection="1">
      <alignment horizontal="left"/>
      <protection locked="0"/>
    </xf>
    <xf numFmtId="0" fontId="180"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7"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3"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2"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0"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4" fontId="160" fillId="6" borderId="1" xfId="2" applyNumberFormat="1" applyFont="1" applyFill="1" applyBorder="1" applyAlignment="1">
      <alignment horizontal="center" vertical="center" wrapText="1"/>
    </xf>
    <xf numFmtId="0" fontId="160"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4" fillId="6" borderId="1" xfId="2" applyNumberFormat="1" applyFont="1" applyFill="1" applyBorder="1" applyAlignment="1">
      <alignment horizontal="center"/>
    </xf>
    <xf numFmtId="0" fontId="98"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45"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6" fillId="0" borderId="0" xfId="4" applyFont="1" applyAlignment="1">
      <alignment horizontal="left"/>
    </xf>
    <xf numFmtId="185"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2"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5"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5"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5"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5"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6" fillId="0" borderId="5" xfId="4" applyFont="1" applyFill="1" applyBorder="1" applyAlignment="1" applyProtection="1">
      <alignment horizontal="left" vertical="center"/>
      <protection locked="0"/>
    </xf>
    <xf numFmtId="0" fontId="246" fillId="0" borderId="158" xfId="4" applyFont="1" applyFill="1" applyBorder="1" applyAlignment="1" applyProtection="1">
      <alignment horizontal="left" vertical="center"/>
      <protection locked="0"/>
    </xf>
    <xf numFmtId="0" fontId="246"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5" fontId="56" fillId="6" borderId="5" xfId="4" applyNumberFormat="1" applyFont="1" applyFill="1" applyBorder="1" applyAlignment="1">
      <alignment horizontal="left" vertical="center"/>
    </xf>
    <xf numFmtId="185" fontId="56" fillId="6" borderId="158" xfId="4" applyNumberFormat="1" applyFont="1" applyFill="1" applyBorder="1" applyAlignment="1">
      <alignment horizontal="left" vertical="center"/>
    </xf>
    <xf numFmtId="185"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2"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45" fillId="0" borderId="0" xfId="4" applyFont="1" applyAlignment="1" applyProtection="1">
      <alignment horizontal="left" vertical="center"/>
      <protection locked="0"/>
    </xf>
    <xf numFmtId="0" fontId="245" fillId="0" borderId="0" xfId="4" applyFont="1" applyAlignment="1">
      <alignment horizontal="left"/>
    </xf>
    <xf numFmtId="0" fontId="83"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102" fillId="6" borderId="11" xfId="0" applyFont="1" applyFill="1" applyBorder="1" applyAlignment="1" applyProtection="1">
      <alignment vertical="center"/>
    </xf>
    <xf numFmtId="0" fontId="102" fillId="6" borderId="14" xfId="0" applyFont="1" applyFill="1" applyBorder="1" applyAlignment="1" applyProtection="1">
      <alignment vertical="center"/>
    </xf>
    <xf numFmtId="0" fontId="102" fillId="6" borderId="41" xfId="0" applyFont="1" applyFill="1" applyBorder="1" applyAlignment="1" applyProtection="1">
      <alignment vertical="center"/>
    </xf>
    <xf numFmtId="0" fontId="0" fillId="0" borderId="0" xfId="0" applyNumberFormat="1">
      <alignment vertical="center"/>
    </xf>
    <xf numFmtId="0" fontId="102" fillId="6" borderId="1" xfId="0" applyFont="1" applyFill="1" applyBorder="1" applyAlignment="1" applyProtection="1">
      <alignment horizontal="lef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11"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9" fillId="6" borderId="23" xfId="0" applyFont="1" applyFill="1" applyBorder="1" applyAlignment="1" applyProtection="1">
      <alignment horizontal="left" vertical="center"/>
    </xf>
    <xf numFmtId="0" fontId="249" fillId="6" borderId="1" xfId="0" applyFont="1" applyFill="1" applyBorder="1" applyAlignment="1" applyProtection="1">
      <alignment horizontal="left" vertical="center"/>
    </xf>
    <xf numFmtId="0" fontId="249" fillId="6" borderId="24" xfId="0" applyFont="1" applyFill="1" applyBorder="1" applyAlignment="1" applyProtection="1">
      <alignment horizontal="left" vertical="center"/>
    </xf>
    <xf numFmtId="0" fontId="249" fillId="0" borderId="1" xfId="0" applyFont="1" applyBorder="1" applyAlignment="1" applyProtection="1">
      <alignment horizontal="left" vertical="center"/>
      <protection locked="0"/>
    </xf>
    <xf numFmtId="9" fontId="249" fillId="0" borderId="1" xfId="0" applyNumberFormat="1" applyFont="1" applyBorder="1" applyAlignment="1" applyProtection="1">
      <alignment horizontal="left" vertical="center"/>
      <protection locked="0"/>
    </xf>
    <xf numFmtId="0" fontId="249" fillId="6" borderId="18" xfId="0" applyFont="1" applyFill="1" applyBorder="1" applyAlignment="1" applyProtection="1">
      <alignment horizontal="left" vertical="center"/>
    </xf>
    <xf numFmtId="0" fontId="249" fillId="6" borderId="0" xfId="0" applyFont="1" applyFill="1" applyBorder="1" applyAlignment="1" applyProtection="1">
      <alignment horizontal="left" vertical="center"/>
    </xf>
    <xf numFmtId="0" fontId="249" fillId="6" borderId="56" xfId="0" applyFont="1" applyFill="1" applyBorder="1" applyAlignment="1" applyProtection="1">
      <alignment horizontal="left" vertical="center"/>
    </xf>
    <xf numFmtId="0" fontId="249" fillId="6" borderId="18" xfId="0" applyFont="1" applyFill="1" applyBorder="1" applyAlignment="1" applyProtection="1">
      <alignment horizontal="left"/>
    </xf>
    <xf numFmtId="0" fontId="249" fillId="6" borderId="0" xfId="0" applyFont="1" applyFill="1" applyBorder="1" applyAlignment="1" applyProtection="1">
      <alignment horizontal="left"/>
    </xf>
    <xf numFmtId="0" fontId="249" fillId="6" borderId="56" xfId="0" applyFont="1" applyFill="1" applyBorder="1" applyAlignment="1" applyProtection="1">
      <alignment horizontal="left"/>
    </xf>
    <xf numFmtId="0" fontId="249" fillId="6" borderId="23" xfId="0" applyFont="1" applyFill="1" applyBorder="1" applyAlignment="1" applyProtection="1">
      <alignment horizontal="left"/>
    </xf>
    <xf numFmtId="0" fontId="249" fillId="20" borderId="1" xfId="0" applyFont="1" applyFill="1" applyBorder="1" applyAlignment="1" applyProtection="1">
      <alignment horizontal="left"/>
    </xf>
    <xf numFmtId="0" fontId="249" fillId="6" borderId="1" xfId="0" applyFont="1" applyFill="1" applyBorder="1" applyAlignment="1" applyProtection="1">
      <alignment horizontal="left"/>
    </xf>
    <xf numFmtId="0" fontId="249" fillId="6" borderId="5" xfId="0" applyFont="1" applyFill="1" applyBorder="1" applyAlignment="1" applyProtection="1">
      <alignment horizontal="left"/>
    </xf>
    <xf numFmtId="0" fontId="249" fillId="6" borderId="54" xfId="0" applyFont="1" applyFill="1" applyBorder="1" applyAlignment="1" applyProtection="1">
      <alignment horizontal="left"/>
    </xf>
    <xf numFmtId="0" fontId="249" fillId="6" borderId="48" xfId="0" applyFont="1" applyFill="1" applyBorder="1" applyAlignment="1" applyProtection="1">
      <alignment horizontal="left"/>
    </xf>
    <xf numFmtId="9" fontId="249" fillId="6" borderId="1" xfId="0" applyNumberFormat="1" applyFont="1" applyFill="1" applyBorder="1" applyAlignment="1" applyProtection="1">
      <alignment horizontal="left"/>
    </xf>
    <xf numFmtId="0" fontId="249" fillId="6" borderId="25" xfId="0" applyFont="1" applyFill="1" applyBorder="1" applyAlignment="1" applyProtection="1">
      <alignment horizontal="left"/>
    </xf>
    <xf numFmtId="0" fontId="249" fillId="20" borderId="32" xfId="0" applyFont="1" applyFill="1" applyBorder="1" applyAlignment="1" applyProtection="1">
      <alignment horizontal="left"/>
    </xf>
    <xf numFmtId="0" fontId="249" fillId="6" borderId="32" xfId="0" applyFont="1" applyFill="1" applyBorder="1" applyAlignment="1" applyProtection="1">
      <alignment horizontal="left"/>
    </xf>
    <xf numFmtId="0" fontId="249" fillId="6" borderId="47" xfId="0" applyFont="1" applyFill="1" applyBorder="1" applyAlignment="1" applyProtection="1">
      <alignment horizontal="left"/>
    </xf>
    <xf numFmtId="0" fontId="249" fillId="6" borderId="43" xfId="0" applyFont="1" applyFill="1" applyBorder="1" applyAlignment="1" applyProtection="1">
      <alignment horizontal="left"/>
    </xf>
    <xf numFmtId="0" fontId="249" fillId="0" borderId="0" xfId="0" applyNumberFormat="1" applyFont="1" applyAlignment="1" applyProtection="1">
      <alignment horizontal="left" vertical="center"/>
      <protection locked="0"/>
    </xf>
    <xf numFmtId="0" fontId="80" fillId="6" borderId="1" xfId="0"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0" fontId="80" fillId="6" borderId="1" xfId="0" applyNumberFormat="1" applyFont="1" applyFill="1" applyBorder="1" applyAlignment="1" applyProtection="1">
      <alignment horizontal="center" vertical="center" wrapText="1"/>
      <protection locked="0"/>
    </xf>
    <xf numFmtId="0" fontId="111"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9"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98"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8"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0" fillId="6" borderId="6" xfId="0" applyNumberFormat="1" applyFont="1" applyFill="1" applyBorder="1" applyAlignment="1" applyProtection="1">
      <alignment horizontal="left" vertical="center" wrapText="1"/>
    </xf>
    <xf numFmtId="0" fontId="110" fillId="6" borderId="9" xfId="0" applyNumberFormat="1" applyFont="1" applyFill="1" applyBorder="1" applyAlignment="1" applyProtection="1">
      <alignment horizontal="left" vertical="center" wrapText="1"/>
    </xf>
    <xf numFmtId="0" fontId="110" fillId="6" borderId="10" xfId="0" applyNumberFormat="1" applyFont="1" applyFill="1" applyBorder="1" applyAlignment="1" applyProtection="1">
      <alignment horizontal="left" vertical="center" wrapText="1"/>
    </xf>
    <xf numFmtId="0" fontId="110"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24" xfId="0" applyNumberFormat="1" applyFont="1" applyFill="1" applyBorder="1" applyAlignment="1" applyProtection="1">
      <alignment horizontal="left" vertical="center" wrapText="1"/>
    </xf>
    <xf numFmtId="0" fontId="110" fillId="6" borderId="11"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10" fillId="6" borderId="61" xfId="0" applyNumberFormat="1" applyFont="1" applyFill="1" applyBorder="1" applyAlignment="1" applyProtection="1">
      <alignment horizontal="left" vertical="center" wrapText="1"/>
    </xf>
    <xf numFmtId="0" fontId="223" fillId="6" borderId="6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51" fillId="0" borderId="0" xfId="0" applyNumberFormat="1" applyFont="1" applyAlignment="1" applyProtection="1">
      <alignment horizontal="left" vertical="center"/>
    </xf>
    <xf numFmtId="0" fontId="110" fillId="6" borderId="4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28" xfId="0" applyNumberFormat="1" applyFont="1" applyFill="1" applyBorder="1" applyAlignment="1" applyProtection="1">
      <alignment horizontal="left" vertical="center"/>
    </xf>
    <xf numFmtId="0" fontId="110" fillId="6" borderId="30" xfId="0" applyNumberFormat="1" applyFont="1" applyFill="1" applyBorder="1" applyAlignment="1" applyProtection="1">
      <alignment horizontal="left" vertical="center"/>
    </xf>
    <xf numFmtId="0" fontId="110" fillId="6" borderId="10" xfId="0" applyNumberFormat="1" applyFont="1" applyFill="1" applyBorder="1" applyAlignment="1" applyProtection="1">
      <alignment horizontal="left" vertical="center"/>
    </xf>
    <xf numFmtId="0" fontId="110" fillId="6" borderId="0" xfId="0" applyNumberFormat="1" applyFont="1" applyFill="1" applyBorder="1" applyAlignment="1" applyProtection="1">
      <alignment horizontal="left" vertical="center"/>
    </xf>
    <xf numFmtId="0" fontId="110" fillId="6" borderId="5"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xf>
    <xf numFmtId="0" fontId="110" fillId="6" borderId="24" xfId="0" applyNumberFormat="1" applyFont="1" applyFill="1" applyBorder="1" applyAlignment="1" applyProtection="1">
      <alignment horizontal="left" vertical="center"/>
    </xf>
    <xf numFmtId="0" fontId="110" fillId="6" borderId="33" xfId="0" applyNumberFormat="1" applyFont="1" applyFill="1" applyBorder="1" applyAlignment="1" applyProtection="1">
      <alignment horizontal="left" vertical="center"/>
    </xf>
    <xf numFmtId="0" fontId="110" fillId="6" borderId="66" xfId="0" applyNumberFormat="1" applyFont="1" applyFill="1" applyBorder="1" applyAlignment="1" applyProtection="1">
      <alignment horizontal="left" vertical="center"/>
    </xf>
    <xf numFmtId="0" fontId="110" fillId="6" borderId="49" xfId="0" applyNumberFormat="1" applyFont="1" applyFill="1" applyBorder="1" applyAlignment="1" applyProtection="1">
      <alignment horizontal="left" vertical="center"/>
    </xf>
    <xf numFmtId="0" fontId="110" fillId="6" borderId="26" xfId="0" applyNumberFormat="1" applyFont="1" applyFill="1" applyBorder="1" applyAlignment="1" applyProtection="1">
      <alignment horizontal="left" vertical="center"/>
    </xf>
    <xf numFmtId="0" fontId="110" fillId="6" borderId="84" xfId="0" applyNumberFormat="1" applyFont="1" applyFill="1" applyBorder="1" applyAlignment="1" applyProtection="1">
      <alignment horizontal="left" vertical="center"/>
    </xf>
    <xf numFmtId="0" fontId="110" fillId="6" borderId="34" xfId="0" applyNumberFormat="1" applyFont="1" applyFill="1" applyBorder="1" applyAlignment="1" applyProtection="1">
      <alignment horizontal="left" vertical="center"/>
    </xf>
    <xf numFmtId="0" fontId="110" fillId="6" borderId="70" xfId="0" applyNumberFormat="1" applyFont="1" applyFill="1" applyBorder="1" applyAlignment="1" applyProtection="1">
      <alignment horizontal="left" vertical="center"/>
    </xf>
    <xf numFmtId="0" fontId="110" fillId="6" borderId="67"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left" vertical="center"/>
    </xf>
    <xf numFmtId="0" fontId="110" fillId="0" borderId="0" xfId="0" applyNumberFormat="1" applyFont="1" applyBorder="1" applyAlignment="1" applyProtection="1">
      <alignment horizontal="left" vertical="center"/>
    </xf>
    <xf numFmtId="0" fontId="110" fillId="6" borderId="4" xfId="0" applyNumberFormat="1" applyFont="1" applyFill="1" applyBorder="1" applyAlignment="1" applyProtection="1">
      <alignment horizontal="left" vertical="center" wrapText="1"/>
    </xf>
    <xf numFmtId="0" fontId="110" fillId="6" borderId="2"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110" fillId="6" borderId="3" xfId="0" applyNumberFormat="1" applyFont="1" applyFill="1" applyBorder="1" applyAlignment="1" applyProtection="1">
      <alignment horizontal="left" vertical="center" wrapText="1"/>
    </xf>
    <xf numFmtId="0" fontId="110" fillId="6" borderId="2" xfId="0" applyNumberFormat="1" applyFont="1" applyFill="1" applyBorder="1" applyAlignment="1" applyProtection="1">
      <alignment horizontal="left" vertical="center"/>
    </xf>
    <xf numFmtId="0" fontId="110" fillId="6" borderId="0" xfId="0" applyNumberFormat="1" applyFont="1" applyFill="1" applyAlignment="1" applyProtection="1">
      <alignment horizontal="left" vertical="center"/>
    </xf>
    <xf numFmtId="0" fontId="115" fillId="6" borderId="60" xfId="0" applyNumberFormat="1" applyFont="1" applyFill="1" applyBorder="1" applyAlignment="1" applyProtection="1">
      <alignment horizontal="left" vertical="center"/>
    </xf>
    <xf numFmtId="176" fontId="252" fillId="0" borderId="0" xfId="3" applyNumberFormat="1" applyFont="1" applyBorder="1" applyAlignment="1" applyProtection="1">
      <alignment horizontal="left" vertical="center"/>
    </xf>
    <xf numFmtId="176" fontId="253" fillId="6" borderId="6"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wrapText="1"/>
    </xf>
    <xf numFmtId="176" fontId="253" fillId="6" borderId="17" xfId="3" applyNumberFormat="1" applyFont="1" applyFill="1" applyBorder="1" applyAlignment="1" applyProtection="1">
      <alignment horizontal="left" vertical="center"/>
    </xf>
    <xf numFmtId="176" fontId="253" fillId="6" borderId="62"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xf>
    <xf numFmtId="176" fontId="254" fillId="6" borderId="1" xfId="3" applyNumberFormat="1" applyFont="1" applyFill="1" applyBorder="1" applyAlignment="1" applyProtection="1">
      <alignment horizontal="left" vertical="center"/>
    </xf>
    <xf numFmtId="176" fontId="254" fillId="6" borderId="24"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wrapText="1"/>
    </xf>
    <xf numFmtId="176" fontId="253" fillId="6" borderId="25" xfId="3" applyNumberFormat="1" applyFont="1" applyFill="1" applyBorder="1" applyAlignment="1" applyProtection="1">
      <alignment horizontal="left" vertical="center" wrapText="1"/>
    </xf>
    <xf numFmtId="176" fontId="254" fillId="6" borderId="32" xfId="3" applyNumberFormat="1" applyFont="1" applyFill="1" applyBorder="1" applyAlignment="1" applyProtection="1">
      <alignment horizontal="left" vertical="center"/>
    </xf>
    <xf numFmtId="176" fontId="254" fillId="6" borderId="49" xfId="3" applyNumberFormat="1" applyFont="1" applyFill="1" applyBorder="1" applyAlignment="1" applyProtection="1">
      <alignment horizontal="left" vertical="center"/>
    </xf>
    <xf numFmtId="176" fontId="251" fillId="0" borderId="0" xfId="0" applyNumberFormat="1" applyFont="1" applyAlignment="1" applyProtection="1">
      <alignment horizontal="left" vertical="center"/>
    </xf>
    <xf numFmtId="176" fontId="249" fillId="0" borderId="0" xfId="0" applyNumberFormat="1" applyFont="1" applyAlignment="1" applyProtection="1">
      <alignment horizontal="left" vertical="center"/>
    </xf>
    <xf numFmtId="176" fontId="249" fillId="6" borderId="1" xfId="0" applyNumberFormat="1" applyFont="1" applyFill="1" applyBorder="1" applyAlignment="1" applyProtection="1">
      <alignment horizontal="left" vertical="center"/>
    </xf>
    <xf numFmtId="0" fontId="105" fillId="0" borderId="119" xfId="9" applyNumberFormat="1" applyFont="1" applyBorder="1" applyAlignment="1" applyProtection="1">
      <alignment horizontal="left" vertical="center"/>
    </xf>
    <xf numFmtId="0" fontId="105" fillId="6" borderId="120" xfId="9" applyNumberFormat="1" applyFont="1" applyFill="1" applyBorder="1" applyAlignment="1" applyProtection="1">
      <alignment horizontal="left" vertical="center"/>
    </xf>
    <xf numFmtId="0" fontId="105" fillId="6" borderId="119" xfId="9" applyNumberFormat="1" applyFont="1" applyFill="1" applyBorder="1" applyAlignment="1" applyProtection="1">
      <alignment horizontal="left" vertical="center"/>
    </xf>
    <xf numFmtId="0" fontId="100" fillId="6" borderId="119" xfId="10" applyNumberFormat="1" applyFont="1" applyFill="1" applyBorder="1" applyAlignment="1" applyProtection="1">
      <alignment horizontal="left" vertical="center"/>
    </xf>
    <xf numFmtId="0" fontId="25" fillId="6" borderId="119" xfId="10" applyNumberFormat="1" applyFont="1" applyFill="1" applyBorder="1" applyAlignment="1" applyProtection="1">
      <alignment horizontal="left" vertical="center"/>
    </xf>
    <xf numFmtId="0" fontId="105" fillId="17" borderId="119" xfId="9" applyNumberFormat="1" applyFont="1" applyFill="1" applyBorder="1" applyAlignment="1" applyProtection="1">
      <alignment horizontal="left" vertical="center"/>
    </xf>
    <xf numFmtId="0" fontId="255" fillId="15" borderId="0" xfId="9" applyNumberFormat="1" applyFont="1" applyFill="1" applyAlignment="1" applyProtection="1">
      <alignment horizontal="left" vertical="center"/>
    </xf>
    <xf numFmtId="0" fontId="246" fillId="15" borderId="121" xfId="9" applyNumberFormat="1" applyFont="1" applyFill="1" applyBorder="1" applyAlignment="1" applyProtection="1">
      <alignment horizontal="left" vertical="center"/>
    </xf>
    <xf numFmtId="0" fontId="246" fillId="15" borderId="0" xfId="9" applyNumberFormat="1" applyFont="1" applyFill="1" applyBorder="1" applyAlignment="1" applyProtection="1">
      <alignment horizontal="left" vertical="center"/>
    </xf>
    <xf numFmtId="0" fontId="246" fillId="17" borderId="0" xfId="9" applyNumberFormat="1" applyFont="1" applyFill="1" applyAlignment="1" applyProtection="1">
      <alignment horizontal="left" vertical="center"/>
    </xf>
    <xf numFmtId="10" fontId="246" fillId="15" borderId="121" xfId="9" applyNumberFormat="1" applyFont="1" applyFill="1" applyBorder="1" applyAlignment="1" applyProtection="1">
      <alignment horizontal="left" vertical="center"/>
    </xf>
    <xf numFmtId="10" fontId="246" fillId="15" borderId="0" xfId="9" applyNumberFormat="1" applyFont="1" applyFill="1" applyAlignment="1" applyProtection="1">
      <alignment horizontal="left" vertical="center"/>
    </xf>
    <xf numFmtId="0" fontId="171" fillId="15" borderId="0" xfId="9" applyNumberFormat="1" applyFont="1" applyFill="1" applyAlignment="1" applyProtection="1">
      <alignment horizontal="left" vertical="center"/>
    </xf>
    <xf numFmtId="0" fontId="171" fillId="15" borderId="163" xfId="9" applyNumberFormat="1" applyFont="1" applyFill="1" applyBorder="1" applyAlignment="1" applyProtection="1">
      <alignment horizontal="left" vertical="center"/>
    </xf>
    <xf numFmtId="10" fontId="171" fillId="15" borderId="0" xfId="9" applyNumberFormat="1" applyFont="1" applyFill="1" applyAlignment="1" applyProtection="1">
      <alignment horizontal="left" vertical="center"/>
    </xf>
    <xf numFmtId="10" fontId="171" fillId="15" borderId="163" xfId="9" applyNumberFormat="1" applyFont="1" applyFill="1" applyBorder="1" applyAlignment="1" applyProtection="1">
      <alignment horizontal="left" vertical="center"/>
    </xf>
    <xf numFmtId="10" fontId="171" fillId="15" borderId="164" xfId="9" applyNumberFormat="1" applyFont="1" applyFill="1" applyBorder="1" applyAlignment="1" applyProtection="1">
      <alignment horizontal="left" vertical="center"/>
    </xf>
    <xf numFmtId="10" fontId="171" fillId="15" borderId="165" xfId="9" applyNumberFormat="1" applyFont="1" applyFill="1" applyBorder="1" applyAlignment="1" applyProtection="1">
      <alignment horizontal="left" vertical="center"/>
    </xf>
    <xf numFmtId="0" fontId="246" fillId="15" borderId="0" xfId="9" applyNumberFormat="1" applyFont="1" applyFill="1" applyAlignment="1" applyProtection="1">
      <alignment horizontal="left" vertical="center"/>
    </xf>
    <xf numFmtId="0" fontId="105" fillId="0" borderId="0" xfId="9" applyNumberFormat="1" applyFont="1" applyFill="1" applyAlignment="1" applyProtection="1">
      <alignment horizontal="left" vertical="center"/>
    </xf>
    <xf numFmtId="0" fontId="105" fillId="0" borderId="121" xfId="9" applyNumberFormat="1" applyFont="1" applyFill="1" applyBorder="1" applyAlignment="1" applyProtection="1">
      <alignment horizontal="left" vertical="center"/>
    </xf>
    <xf numFmtId="0" fontId="105" fillId="0" borderId="0" xfId="9" applyNumberFormat="1" applyFont="1" applyFill="1" applyBorder="1" applyAlignment="1" applyProtection="1">
      <alignment horizontal="left" vertical="center"/>
    </xf>
    <xf numFmtId="0" fontId="105" fillId="17" borderId="0" xfId="9" applyNumberFormat="1" applyFont="1" applyFill="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0" fontId="102" fillId="0" borderId="0" xfId="9" applyNumberFormat="1" applyFont="1" applyAlignment="1" applyProtection="1">
      <alignment horizontal="left" vertical="center"/>
    </xf>
    <xf numFmtId="0" fontId="102" fillId="0" borderId="163" xfId="9" applyNumberFormat="1" applyFont="1" applyBorder="1" applyAlignment="1" applyProtection="1">
      <alignment horizontal="left" vertical="center"/>
    </xf>
    <xf numFmtId="0" fontId="102" fillId="0" borderId="164" xfId="9" applyNumberFormat="1" applyFont="1" applyBorder="1" applyAlignment="1" applyProtection="1">
      <alignment horizontal="left" vertical="center"/>
    </xf>
    <xf numFmtId="0" fontId="102" fillId="0" borderId="165" xfId="9" applyNumberFormat="1"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3" xfId="9" applyNumberFormat="1" applyFont="1" applyBorder="1" applyAlignment="1" applyProtection="1">
      <alignment horizontal="left" vertical="center"/>
    </xf>
    <xf numFmtId="10" fontId="102" fillId="0" borderId="164" xfId="9" applyNumberFormat="1" applyFont="1" applyBorder="1" applyAlignment="1" applyProtection="1">
      <alignment horizontal="left" vertical="center"/>
    </xf>
    <xf numFmtId="10" fontId="102" fillId="0" borderId="165" xfId="9" applyNumberFormat="1" applyFont="1" applyBorder="1" applyAlignment="1" applyProtection="1">
      <alignment horizontal="left" vertical="center"/>
    </xf>
    <xf numFmtId="0" fontId="56" fillId="6" borderId="1" xfId="9" applyNumberFormat="1" applyFont="1" applyFill="1" applyBorder="1" applyAlignment="1" applyProtection="1">
      <alignment horizontal="left" vertical="center" wrapText="1"/>
    </xf>
    <xf numFmtId="0" fontId="146" fillId="11" borderId="125" xfId="9" applyNumberFormat="1" applyFont="1" applyFill="1" applyBorder="1" applyAlignment="1" applyProtection="1">
      <alignment horizontal="left" vertical="center" wrapText="1"/>
    </xf>
    <xf numFmtId="0" fontId="146" fillId="12" borderId="126" xfId="9" applyNumberFormat="1" applyFont="1" applyFill="1" applyBorder="1" applyAlignment="1" applyProtection="1">
      <alignment horizontal="left" vertical="center" wrapText="1"/>
    </xf>
    <xf numFmtId="0" fontId="146" fillId="12" borderId="126" xfId="16" applyNumberFormat="1" applyFont="1" applyFill="1" applyBorder="1" applyAlignment="1" applyProtection="1">
      <alignment horizontal="left" vertical="center" wrapText="1"/>
    </xf>
    <xf numFmtId="0" fontId="146" fillId="12" borderId="130" xfId="16" applyNumberFormat="1" applyFont="1" applyFill="1" applyBorder="1" applyAlignment="1" applyProtection="1">
      <alignment horizontal="left" vertical="center" wrapText="1"/>
    </xf>
    <xf numFmtId="0" fontId="102" fillId="17" borderId="0" xfId="9" applyNumberFormat="1" applyFont="1" applyFill="1" applyAlignment="1" applyProtection="1">
      <alignment horizontal="left" vertical="center"/>
    </xf>
    <xf numFmtId="10" fontId="102" fillId="0" borderId="121" xfId="9" applyNumberFormat="1" applyFont="1" applyBorder="1" applyAlignment="1" applyProtection="1">
      <alignment horizontal="left" vertical="center"/>
    </xf>
    <xf numFmtId="0" fontId="102" fillId="0" borderId="0" xfId="9" applyNumberFormat="1" applyFont="1" applyFill="1" applyAlignment="1" applyProtection="1">
      <alignment horizontal="left" vertical="center"/>
    </xf>
    <xf numFmtId="10" fontId="102" fillId="0" borderId="0" xfId="9" applyNumberFormat="1" applyFont="1" applyFill="1" applyAlignment="1" applyProtection="1">
      <alignment horizontal="left" vertical="center"/>
    </xf>
    <xf numFmtId="0" fontId="147" fillId="13" borderId="0" xfId="9" applyNumberFormat="1" applyFont="1" applyFill="1" applyAlignment="1" applyProtection="1">
      <alignment horizontal="left" vertical="center"/>
    </xf>
    <xf numFmtId="0" fontId="57" fillId="21" borderId="1" xfId="9" applyNumberFormat="1" applyFont="1" applyFill="1" applyBorder="1" applyAlignment="1" applyProtection="1">
      <alignment horizontal="left" vertical="center" wrapText="1"/>
    </xf>
    <xf numFmtId="0" fontId="256" fillId="21" borderId="125" xfId="9" applyNumberFormat="1" applyFont="1" applyFill="1" applyBorder="1" applyAlignment="1" applyProtection="1">
      <alignment horizontal="left" vertical="center" wrapText="1"/>
    </xf>
    <xf numFmtId="0" fontId="256" fillId="21" borderId="126" xfId="9" applyNumberFormat="1" applyFont="1" applyFill="1" applyBorder="1" applyAlignment="1" applyProtection="1">
      <alignment horizontal="left" vertical="center" wrapText="1"/>
    </xf>
    <xf numFmtId="0" fontId="256" fillId="21" borderId="126" xfId="16" applyNumberFormat="1" applyFont="1" applyFill="1" applyBorder="1" applyAlignment="1" applyProtection="1">
      <alignment horizontal="left" vertical="center" wrapText="1"/>
    </xf>
    <xf numFmtId="0" fontId="256" fillId="21" borderId="135" xfId="16" applyNumberFormat="1" applyFont="1" applyFill="1" applyBorder="1" applyAlignment="1" applyProtection="1">
      <alignment horizontal="left" vertical="center" wrapText="1"/>
    </xf>
    <xf numFmtId="0" fontId="256" fillId="21" borderId="130" xfId="16" applyNumberFormat="1" applyFont="1" applyFill="1" applyBorder="1" applyAlignment="1" applyProtection="1">
      <alignment horizontal="left" vertical="center" wrapText="1"/>
    </xf>
    <xf numFmtId="0" fontId="105" fillId="21" borderId="0" xfId="9" applyNumberFormat="1"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0" fontId="147" fillId="21" borderId="0" xfId="9" applyNumberFormat="1" applyFont="1" applyFill="1" applyAlignment="1" applyProtection="1">
      <alignment horizontal="left" vertical="center"/>
    </xf>
    <xf numFmtId="0" fontId="146" fillId="12" borderId="135" xfId="16" applyNumberFormat="1" applyFont="1" applyFill="1" applyBorder="1" applyAlignment="1" applyProtection="1">
      <alignment horizontal="left" vertical="center" wrapText="1"/>
    </xf>
    <xf numFmtId="0" fontId="56" fillId="18" borderId="166" xfId="9" applyNumberFormat="1" applyFont="1" applyFill="1" applyBorder="1" applyAlignment="1" applyProtection="1">
      <alignment horizontal="left" vertical="center" wrapText="1"/>
    </xf>
    <xf numFmtId="0" fontId="146" fillId="18" borderId="167" xfId="9" applyNumberFormat="1" applyFont="1" applyFill="1" applyBorder="1" applyAlignment="1" applyProtection="1">
      <alignment horizontal="left" vertical="center" wrapText="1"/>
    </xf>
    <xf numFmtId="0" fontId="146" fillId="18" borderId="168" xfId="9" applyNumberFormat="1" applyFont="1" applyFill="1" applyBorder="1" applyAlignment="1" applyProtection="1">
      <alignment horizontal="left" vertical="center" wrapText="1"/>
    </xf>
    <xf numFmtId="0" fontId="146" fillId="18" borderId="168" xfId="16" applyNumberFormat="1" applyFont="1" applyFill="1" applyBorder="1" applyAlignment="1" applyProtection="1">
      <alignment horizontal="left" vertical="center" wrapText="1"/>
    </xf>
    <xf numFmtId="0" fontId="146" fillId="18" borderId="169" xfId="16" applyNumberFormat="1" applyFont="1" applyFill="1" applyBorder="1" applyAlignment="1" applyProtection="1">
      <alignment horizontal="left" vertical="center" wrapText="1"/>
    </xf>
    <xf numFmtId="0" fontId="146" fillId="18" borderId="170" xfId="16" applyNumberFormat="1" applyFont="1" applyFill="1" applyBorder="1" applyAlignment="1" applyProtection="1">
      <alignment horizontal="left" vertical="center" wrapText="1"/>
    </xf>
    <xf numFmtId="0" fontId="102" fillId="17" borderId="171" xfId="9" applyNumberFormat="1" applyFont="1" applyFill="1" applyBorder="1" applyAlignment="1" applyProtection="1">
      <alignment horizontal="left" vertical="center"/>
    </xf>
    <xf numFmtId="10" fontId="102" fillId="18" borderId="172" xfId="9" applyNumberFormat="1" applyFont="1" applyFill="1" applyBorder="1" applyAlignment="1" applyProtection="1">
      <alignment horizontal="left" vertical="center"/>
    </xf>
    <xf numFmtId="10" fontId="102" fillId="18" borderId="171" xfId="9" applyNumberFormat="1" applyFont="1" applyFill="1" applyBorder="1" applyAlignment="1" applyProtection="1">
      <alignment horizontal="left" vertical="center"/>
    </xf>
    <xf numFmtId="0" fontId="102" fillId="18" borderId="171" xfId="9" applyNumberFormat="1" applyFont="1" applyFill="1" applyBorder="1" applyAlignment="1" applyProtection="1">
      <alignment horizontal="left" vertical="center"/>
    </xf>
    <xf numFmtId="0" fontId="147" fillId="18" borderId="171" xfId="9" applyNumberFormat="1" applyFont="1" applyFill="1" applyBorder="1" applyAlignment="1" applyProtection="1">
      <alignment horizontal="left" vertical="center"/>
    </xf>
    <xf numFmtId="0" fontId="98" fillId="0" borderId="0" xfId="0" applyNumberFormat="1" applyFont="1">
      <alignment vertical="center"/>
    </xf>
    <xf numFmtId="0" fontId="105" fillId="0" borderId="0" xfId="9" applyNumberFormat="1" applyFont="1" applyAlignment="1" applyProtection="1">
      <alignment horizontal="left" vertical="center"/>
    </xf>
    <xf numFmtId="0" fontId="144" fillId="0" borderId="0" xfId="9" applyNumberFormat="1" applyFont="1" applyAlignment="1" applyProtection="1">
      <alignment vertical="center"/>
    </xf>
    <xf numFmtId="0" fontId="105" fillId="0" borderId="0" xfId="9" applyNumberFormat="1" applyFont="1" applyAlignment="1" applyProtection="1">
      <alignment vertical="center"/>
    </xf>
    <xf numFmtId="10" fontId="102" fillId="0" borderId="163" xfId="9" applyNumberFormat="1" applyFont="1" applyFill="1" applyBorder="1" applyAlignment="1" applyProtection="1">
      <alignment horizontal="left" vertical="center"/>
    </xf>
    <xf numFmtId="10" fontId="102" fillId="0" borderId="165" xfId="9" applyNumberFormat="1" applyFont="1" applyFill="1" applyBorder="1" applyAlignment="1" applyProtection="1">
      <alignment horizontal="left" vertical="center"/>
    </xf>
    <xf numFmtId="10" fontId="102" fillId="0" borderId="164" xfId="9" applyNumberFormat="1" applyFont="1" applyFill="1" applyBorder="1" applyAlignment="1" applyProtection="1">
      <alignment horizontal="left" vertical="center"/>
    </xf>
    <xf numFmtId="10" fontId="105" fillId="21" borderId="163" xfId="9" applyNumberFormat="1" applyFont="1" applyFill="1" applyBorder="1" applyAlignment="1" applyProtection="1">
      <alignment horizontal="left" vertical="center"/>
    </xf>
    <xf numFmtId="10" fontId="105" fillId="21" borderId="164" xfId="9" applyNumberFormat="1" applyFont="1" applyFill="1" applyBorder="1" applyAlignment="1" applyProtection="1">
      <alignment horizontal="left" vertical="center"/>
    </xf>
    <xf numFmtId="10" fontId="105" fillId="21" borderId="165" xfId="9" applyNumberFormat="1" applyFont="1" applyFill="1" applyBorder="1" applyAlignment="1" applyProtection="1">
      <alignment horizontal="left" vertical="center"/>
    </xf>
    <xf numFmtId="10" fontId="102" fillId="18" borderId="173" xfId="9" applyNumberFormat="1" applyFont="1" applyFill="1" applyBorder="1" applyAlignment="1" applyProtection="1">
      <alignment horizontal="left" vertical="center"/>
    </xf>
    <xf numFmtId="10" fontId="102" fillId="18" borderId="174" xfId="9" applyNumberFormat="1" applyFont="1" applyFill="1" applyBorder="1" applyAlignment="1" applyProtection="1">
      <alignment horizontal="left" vertical="center"/>
    </xf>
    <xf numFmtId="10" fontId="102"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9" fillId="6" borderId="18" xfId="0" applyNumberFormat="1" applyFont="1" applyFill="1" applyBorder="1" applyAlignment="1" applyProtection="1">
      <alignment horizontal="left" vertical="center"/>
    </xf>
    <xf numFmtId="0" fontId="249" fillId="6" borderId="40" xfId="0" applyNumberFormat="1" applyFont="1" applyFill="1" applyBorder="1" applyAlignment="1" applyProtection="1">
      <alignment horizontal="left" vertical="center"/>
    </xf>
    <xf numFmtId="0" fontId="249" fillId="6" borderId="17" xfId="0" applyNumberFormat="1" applyFont="1" applyFill="1" applyBorder="1" applyAlignment="1" applyProtection="1">
      <alignment horizontal="left" vertical="center"/>
    </xf>
    <xf numFmtId="0" fontId="249" fillId="6" borderId="62" xfId="0" applyNumberFormat="1" applyFont="1" applyFill="1" applyBorder="1" applyAlignment="1" applyProtection="1">
      <alignment horizontal="left" vertical="center"/>
    </xf>
    <xf numFmtId="0" fontId="249" fillId="6" borderId="0" xfId="0" applyNumberFormat="1" applyFont="1" applyFill="1" applyAlignment="1" applyProtection="1">
      <alignment horizontal="left" vertical="center"/>
    </xf>
    <xf numFmtId="0" fontId="258" fillId="6" borderId="47" xfId="0" applyNumberFormat="1" applyFont="1" applyFill="1" applyBorder="1" applyAlignment="1" applyProtection="1">
      <alignment vertical="center"/>
    </xf>
    <xf numFmtId="0" fontId="258" fillId="6" borderId="43" xfId="0" applyNumberFormat="1" applyFont="1" applyFill="1" applyBorder="1" applyAlignment="1" applyProtection="1">
      <alignment horizontal="right" vertical="center"/>
    </xf>
    <xf numFmtId="0" fontId="258" fillId="6" borderId="9" xfId="0" applyNumberFormat="1" applyFont="1" applyFill="1" applyBorder="1" applyAlignment="1" applyProtection="1">
      <alignment horizontal="left" vertical="center" wrapText="1"/>
    </xf>
    <xf numFmtId="0" fontId="259" fillId="6" borderId="19" xfId="0" applyNumberFormat="1" applyFont="1" applyFill="1" applyBorder="1" applyAlignment="1" applyProtection="1">
      <alignment horizontal="left" vertical="center"/>
    </xf>
    <xf numFmtId="0" fontId="257" fillId="6" borderId="28" xfId="0" applyNumberFormat="1" applyFont="1" applyFill="1" applyBorder="1" applyAlignment="1" applyProtection="1">
      <alignment horizontal="left" vertical="center"/>
    </xf>
    <xf numFmtId="0" fontId="259" fillId="6" borderId="18" xfId="0" applyNumberFormat="1" applyFont="1" applyFill="1" applyBorder="1" applyAlignment="1" applyProtection="1">
      <alignment horizontal="left" vertical="center"/>
    </xf>
    <xf numFmtId="0" fontId="258" fillId="6" borderId="1" xfId="0" applyNumberFormat="1" applyFont="1" applyFill="1" applyBorder="1" applyAlignment="1" applyProtection="1">
      <alignment horizontal="left" vertical="center" wrapText="1"/>
    </xf>
    <xf numFmtId="0" fontId="258" fillId="6" borderId="2" xfId="0" applyNumberFormat="1" applyFont="1" applyFill="1" applyBorder="1" applyAlignment="1" applyProtection="1">
      <alignment horizontal="left" vertical="center" wrapText="1"/>
    </xf>
    <xf numFmtId="0" fontId="259" fillId="6" borderId="0" xfId="0" applyNumberFormat="1" applyFont="1" applyFill="1" applyAlignment="1" applyProtection="1">
      <alignment horizontal="left" vertical="center"/>
    </xf>
    <xf numFmtId="0" fontId="257" fillId="6" borderId="32" xfId="0" applyNumberFormat="1" applyFont="1" applyFill="1" applyBorder="1" applyAlignment="1" applyProtection="1">
      <alignment horizontal="left" vertical="center"/>
    </xf>
    <xf numFmtId="0" fontId="257" fillId="6" borderId="33" xfId="0" applyNumberFormat="1" applyFont="1" applyFill="1" applyBorder="1" applyAlignment="1" applyProtection="1">
      <alignment horizontal="left" vertical="center"/>
    </xf>
    <xf numFmtId="0" fontId="258" fillId="6" borderId="40" xfId="0" applyNumberFormat="1" applyFont="1" applyFill="1" applyBorder="1" applyAlignment="1" applyProtection="1">
      <alignment horizontal="left" vertical="center" wrapText="1"/>
    </xf>
    <xf numFmtId="0" fontId="258" fillId="6" borderId="74" xfId="0" applyNumberFormat="1" applyFont="1" applyFill="1" applyBorder="1" applyAlignment="1" applyProtection="1">
      <alignment horizontal="left" vertical="center" wrapText="1"/>
    </xf>
    <xf numFmtId="0" fontId="258" fillId="6" borderId="32" xfId="0" applyNumberFormat="1" applyFont="1" applyFill="1" applyBorder="1" applyAlignment="1" applyProtection="1">
      <alignment horizontal="left" vertical="center" wrapText="1"/>
    </xf>
    <xf numFmtId="0" fontId="258" fillId="6" borderId="14" xfId="0" applyNumberFormat="1" applyFont="1" applyFill="1" applyBorder="1" applyAlignment="1" applyProtection="1">
      <alignment horizontal="left" vertical="center" wrapText="1"/>
    </xf>
    <xf numFmtId="0" fontId="258" fillId="6" borderId="1" xfId="18" applyNumberFormat="1" applyFont="1" applyFill="1" applyBorder="1" applyAlignment="1" applyProtection="1">
      <alignment horizontal="left" vertical="center" wrapText="1"/>
    </xf>
    <xf numFmtId="0" fontId="258" fillId="6" borderId="15" xfId="0" applyNumberFormat="1" applyFont="1" applyFill="1" applyBorder="1" applyAlignment="1" applyProtection="1">
      <alignment horizontal="left" vertical="center" wrapText="1"/>
    </xf>
    <xf numFmtId="0" fontId="258" fillId="6" borderId="13" xfId="0" applyNumberFormat="1" applyFont="1" applyFill="1" applyBorder="1" applyAlignment="1" applyProtection="1">
      <alignment horizontal="left" vertical="center" wrapText="1"/>
    </xf>
    <xf numFmtId="0" fontId="258" fillId="6" borderId="10" xfId="0" applyNumberFormat="1" applyFont="1" applyFill="1" applyBorder="1" applyAlignment="1" applyProtection="1">
      <alignment horizontal="left" vertical="center" wrapText="1"/>
    </xf>
    <xf numFmtId="0" fontId="258" fillId="6" borderId="24" xfId="0" applyNumberFormat="1" applyFont="1" applyFill="1" applyBorder="1" applyAlignment="1" applyProtection="1">
      <alignment horizontal="left" vertical="center" wrapText="1"/>
    </xf>
    <xf numFmtId="0" fontId="258" fillId="6" borderId="12" xfId="0" applyNumberFormat="1" applyFont="1" applyFill="1" applyBorder="1" applyAlignment="1" applyProtection="1">
      <alignment horizontal="left" vertical="center" wrapText="1"/>
    </xf>
    <xf numFmtId="0" fontId="258" fillId="6" borderId="49" xfId="0" applyNumberFormat="1" applyFont="1" applyFill="1" applyBorder="1" applyAlignment="1" applyProtection="1">
      <alignment horizontal="left" vertical="center" wrapText="1"/>
    </xf>
    <xf numFmtId="0" fontId="258" fillId="6" borderId="61" xfId="0" applyNumberFormat="1" applyFont="1" applyFill="1" applyBorder="1" applyAlignment="1" applyProtection="1">
      <alignment horizontal="left" vertical="center" wrapText="1"/>
    </xf>
    <xf numFmtId="0" fontId="258" fillId="6" borderId="6" xfId="0" applyNumberFormat="1" applyFont="1" applyFill="1" applyBorder="1" applyAlignment="1" applyProtection="1">
      <alignment horizontal="left" vertical="center" wrapText="1"/>
    </xf>
    <xf numFmtId="0" fontId="258" fillId="6" borderId="23"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4" fillId="6" borderId="0" xfId="0" applyFont="1" applyFill="1" applyAlignment="1" applyProtection="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wrapText="1"/>
    </xf>
    <xf numFmtId="0" fontId="261" fillId="6" borderId="9" xfId="0" applyFont="1" applyFill="1" applyBorder="1" applyAlignment="1" applyProtection="1">
      <alignment horizontal="left" vertical="center" wrapText="1"/>
    </xf>
    <xf numFmtId="10" fontId="262" fillId="6" borderId="9" xfId="0" applyNumberFormat="1" applyFont="1" applyFill="1" applyBorder="1" applyAlignment="1">
      <alignment horizontal="left" vertical="center" wrapText="1"/>
    </xf>
    <xf numFmtId="10" fontId="262" fillId="6" borderId="10" xfId="0" applyNumberFormat="1" applyFont="1" applyFill="1" applyBorder="1" applyAlignment="1">
      <alignment horizontal="left" vertical="center" wrapText="1"/>
    </xf>
    <xf numFmtId="0" fontId="113" fillId="6" borderId="23" xfId="0" applyFont="1" applyFill="1" applyBorder="1" applyAlignment="1" applyProtection="1">
      <alignment horizontal="left" vertical="center" wrapText="1"/>
    </xf>
    <xf numFmtId="0" fontId="261" fillId="6" borderId="1" xfId="0" applyFont="1" applyFill="1" applyBorder="1" applyAlignment="1" applyProtection="1">
      <alignment horizontal="left" vertical="center" wrapText="1"/>
    </xf>
    <xf numFmtId="10" fontId="262" fillId="6" borderId="1" xfId="0" applyNumberFormat="1" applyFont="1" applyFill="1" applyBorder="1" applyAlignment="1">
      <alignment horizontal="left" vertical="center" wrapText="1"/>
    </xf>
    <xf numFmtId="10" fontId="262" fillId="6" borderId="24" xfId="0" applyNumberFormat="1" applyFont="1" applyFill="1" applyBorder="1" applyAlignment="1">
      <alignment horizontal="left" vertical="center" wrapText="1"/>
    </xf>
    <xf numFmtId="0" fontId="113" fillId="6" borderId="11" xfId="0" applyFont="1" applyFill="1" applyBorder="1" applyAlignment="1" applyProtection="1">
      <alignment horizontal="left" vertical="center" wrapText="1"/>
    </xf>
    <xf numFmtId="0" fontId="261" fillId="6" borderId="13" xfId="0" applyFont="1" applyFill="1" applyBorder="1" applyAlignment="1" applyProtection="1">
      <alignment horizontal="left" vertical="center" wrapText="1"/>
    </xf>
    <xf numFmtId="10" fontId="262"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2" fillId="6" borderId="61" xfId="0" applyNumberFormat="1" applyFont="1" applyFill="1" applyBorder="1" applyAlignment="1">
      <alignment horizontal="left" vertical="center" wrapText="1"/>
    </xf>
    <xf numFmtId="0" fontId="263" fillId="6" borderId="1" xfId="0" applyFont="1" applyFill="1" applyBorder="1" applyAlignment="1">
      <alignment horizontal="left" vertical="center" wrapText="1"/>
    </xf>
    <xf numFmtId="0" fontId="263" fillId="6" borderId="13" xfId="0" applyFont="1" applyFill="1" applyBorder="1" applyAlignment="1">
      <alignment horizontal="left" vertical="center" wrapText="1"/>
    </xf>
    <xf numFmtId="0" fontId="261" fillId="6" borderId="6" xfId="0" applyFont="1" applyFill="1" applyBorder="1" applyAlignment="1" applyProtection="1">
      <alignment horizontal="left" vertical="center" wrapText="1"/>
    </xf>
    <xf numFmtId="0" fontId="261"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1" fillId="6" borderId="11" xfId="0" applyFont="1" applyFill="1" applyBorder="1" applyAlignment="1" applyProtection="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92" fontId="261" fillId="6" borderId="1" xfId="18" applyFont="1" applyFill="1" applyBorder="1" applyAlignment="1" applyProtection="1">
      <alignment horizontal="left" vertical="center" wrapText="1"/>
    </xf>
    <xf numFmtId="0" fontId="261" fillId="6" borderId="25" xfId="0" applyFont="1" applyFill="1" applyBorder="1" applyAlignment="1" applyProtection="1">
      <alignment horizontal="left" vertical="center" wrapText="1"/>
    </xf>
    <xf numFmtId="0" fontId="261" fillId="6" borderId="32" xfId="0" applyFont="1" applyFill="1" applyBorder="1" applyAlignment="1" applyProtection="1">
      <alignment horizontal="left" vertical="center" wrapText="1"/>
    </xf>
    <xf numFmtId="10" fontId="262" fillId="6" borderId="32" xfId="0" applyNumberFormat="1" applyFont="1" applyFill="1" applyBorder="1" applyAlignment="1">
      <alignment horizontal="left" vertical="center" wrapText="1"/>
    </xf>
    <xf numFmtId="10" fontId="262"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98" fillId="0" borderId="0" xfId="0" applyNumberFormat="1" applyFont="1" applyFill="1" applyAlignment="1">
      <alignment horizontal="right" vertical="center"/>
    </xf>
    <xf numFmtId="0" fontId="267"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0" fontId="268" fillId="0" borderId="1" xfId="0" applyNumberFormat="1" applyFont="1" applyFill="1" applyBorder="1" applyAlignment="1">
      <alignment horizontal="left" vertical="center"/>
    </xf>
    <xf numFmtId="0" fontId="269" fillId="0" borderId="1" xfId="0" applyNumberFormat="1" applyFont="1" applyFill="1" applyBorder="1" applyAlignment="1">
      <alignment horizontal="left" vertical="center" wrapText="1"/>
    </xf>
    <xf numFmtId="49" fontId="101" fillId="6" borderId="14" xfId="0" applyNumberFormat="1"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0" fontId="101" fillId="6" borderId="0" xfId="0" applyNumberFormat="1" applyFont="1" applyFill="1" applyBorder="1" applyAlignment="1" applyProtection="1">
      <alignment horizontal="center" vertical="center"/>
    </xf>
    <xf numFmtId="0" fontId="101" fillId="6" borderId="0" xfId="0" applyNumberFormat="1" applyFont="1" applyFill="1" applyBorder="1" applyProtection="1">
      <alignment vertical="center"/>
    </xf>
    <xf numFmtId="10" fontId="56" fillId="6" borderId="0" xfId="0" applyNumberFormat="1" applyFont="1" applyFill="1" applyBorder="1" applyAlignment="1" applyProtection="1">
      <alignment vertical="center" wrapText="1"/>
    </xf>
    <xf numFmtId="49" fontId="56" fillId="6" borderId="12" xfId="0" applyNumberFormat="1" applyFont="1" applyFill="1" applyBorder="1" applyAlignment="1" applyProtection="1">
      <alignment vertical="center" wrapText="1"/>
    </xf>
    <xf numFmtId="49" fontId="83" fillId="6" borderId="26" xfId="0" applyNumberFormat="1" applyFont="1" applyFill="1" applyBorder="1" applyAlignment="1" applyProtection="1">
      <alignment horizontal="center" vertical="center" wrapText="1"/>
    </xf>
    <xf numFmtId="0" fontId="57" fillId="6" borderId="84" xfId="0" applyNumberFormat="1" applyFont="1" applyFill="1" applyBorder="1" applyAlignment="1" applyProtection="1">
      <alignment horizontal="left" vertical="center" wrapText="1"/>
    </xf>
    <xf numFmtId="0" fontId="56" fillId="0" borderId="34" xfId="0" applyNumberFormat="1" applyFont="1" applyFill="1" applyBorder="1" applyAlignment="1" applyProtection="1">
      <alignment horizontal="left" vertical="center" wrapText="1"/>
      <protection locked="0"/>
    </xf>
    <xf numFmtId="0" fontId="56" fillId="6" borderId="34" xfId="0" applyNumberFormat="1" applyFont="1" applyFill="1" applyBorder="1" applyAlignment="1" applyProtection="1">
      <alignment horizontal="left" vertical="center" wrapText="1"/>
    </xf>
    <xf numFmtId="0" fontId="22" fillId="6" borderId="34" xfId="0" applyNumberFormat="1" applyFont="1" applyFill="1" applyBorder="1" applyAlignment="1" applyProtection="1">
      <alignment horizontal="left" vertical="center"/>
      <protection locked="0"/>
    </xf>
    <xf numFmtId="0" fontId="56" fillId="6" borderId="64" xfId="0" applyNumberFormat="1" applyFont="1" applyFill="1" applyBorder="1" applyAlignment="1" applyProtection="1">
      <alignment horizontal="left" vertical="center"/>
      <protection locked="0"/>
    </xf>
    <xf numFmtId="0" fontId="56" fillId="6" borderId="64" xfId="0" applyNumberFormat="1" applyFont="1" applyFill="1" applyBorder="1" applyAlignment="1" applyProtection="1">
      <alignment horizontal="left" vertical="center" wrapText="1"/>
      <protection locked="0"/>
    </xf>
    <xf numFmtId="0" fontId="56" fillId="6" borderId="65" xfId="0" applyNumberFormat="1" applyFont="1" applyFill="1" applyBorder="1" applyAlignment="1" applyProtection="1">
      <alignment horizontal="left" vertical="center" wrapText="1"/>
      <protection locked="0"/>
    </xf>
    <xf numFmtId="0" fontId="56" fillId="0" borderId="1" xfId="0" applyNumberFormat="1" applyFont="1" applyFill="1" applyBorder="1" applyAlignment="1" applyProtection="1">
      <alignment horizontal="left" vertical="center"/>
      <protection locked="0"/>
    </xf>
    <xf numFmtId="0" fontId="51" fillId="6" borderId="4"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xf>
    <xf numFmtId="0" fontId="56" fillId="6" borderId="0" xfId="0" applyNumberFormat="1" applyFont="1" applyFill="1" applyBorder="1" applyAlignment="1" applyProtection="1">
      <alignment horizontal="left" vertical="center" wrapText="1"/>
    </xf>
    <xf numFmtId="0" fontId="116" fillId="6" borderId="60" xfId="0" applyNumberFormat="1" applyFont="1" applyFill="1" applyBorder="1" applyAlignment="1" applyProtection="1">
      <alignment horizontal="left" vertical="center"/>
    </xf>
    <xf numFmtId="0" fontId="116" fillId="6" borderId="71" xfId="0" applyNumberFormat="1" applyFont="1" applyFill="1" applyBorder="1" applyAlignment="1" applyProtection="1">
      <alignment horizontal="left" vertical="center"/>
    </xf>
    <xf numFmtId="0" fontId="56" fillId="0" borderId="13" xfId="0" applyNumberFormat="1" applyFont="1" applyFill="1" applyBorder="1" applyAlignment="1" applyProtection="1">
      <alignment horizontal="left" vertical="center" wrapText="1"/>
      <protection locked="0"/>
    </xf>
    <xf numFmtId="0" fontId="56" fillId="0" borderId="61" xfId="0" applyNumberFormat="1" applyFont="1" applyFill="1" applyBorder="1" applyAlignment="1" applyProtection="1">
      <alignment horizontal="left" vertical="center" wrapText="1"/>
      <protection locked="0"/>
    </xf>
    <xf numFmtId="0" fontId="102" fillId="6" borderId="15" xfId="0" applyFont="1" applyFill="1" applyBorder="1" applyAlignment="1" applyProtection="1">
      <alignment horizontal="left" vertical="center" wrapText="1"/>
    </xf>
    <xf numFmtId="0" fontId="83" fillId="6" borderId="9"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protection locked="0"/>
    </xf>
    <xf numFmtId="0" fontId="22" fillId="6" borderId="1" xfId="0" applyNumberFormat="1" applyFont="1" applyFill="1" applyBorder="1" applyAlignment="1" applyProtection="1">
      <alignment horizontal="left" vertical="center"/>
    </xf>
    <xf numFmtId="0" fontId="22" fillId="6" borderId="1" xfId="0" applyNumberFormat="1" applyFont="1" applyFill="1" applyBorder="1" applyAlignment="1" applyProtection="1">
      <alignment horizontal="left" vertical="center" wrapText="1"/>
    </xf>
    <xf numFmtId="0" fontId="57" fillId="6" borderId="2"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protection locked="0"/>
    </xf>
    <xf numFmtId="0" fontId="56" fillId="0" borderId="1" xfId="0" applyNumberFormat="1" applyFont="1" applyFill="1" applyBorder="1" applyAlignment="1" applyProtection="1">
      <alignment horizontal="left" vertical="center" wrapText="1"/>
      <protection locked="0"/>
    </xf>
    <xf numFmtId="49" fontId="83"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left" vertical="center" wrapText="1"/>
      <protection locked="0"/>
    </xf>
    <xf numFmtId="0" fontId="56" fillId="6" borderId="10" xfId="0" applyNumberFormat="1" applyFont="1" applyFill="1" applyBorder="1" applyAlignment="1" applyProtection="1">
      <alignment horizontal="left" vertical="center" wrapText="1"/>
      <protection locked="0"/>
    </xf>
    <xf numFmtId="49" fontId="101" fillId="6" borderId="23" xfId="0" applyNumberFormat="1" applyFont="1" applyFill="1" applyBorder="1" applyAlignment="1" applyProtection="1">
      <alignment vertical="center" wrapText="1"/>
    </xf>
    <xf numFmtId="0" fontId="56" fillId="6" borderId="24" xfId="0" applyNumberFormat="1" applyFont="1" applyFill="1" applyBorder="1" applyAlignment="1" applyProtection="1">
      <alignment horizontal="left" vertical="center" wrapText="1"/>
      <protection locked="0"/>
    </xf>
    <xf numFmtId="49" fontId="101" fillId="6" borderId="25" xfId="0" applyNumberFormat="1" applyFont="1" applyFill="1" applyBorder="1" applyAlignment="1" applyProtection="1">
      <alignment vertical="center" wrapText="1"/>
    </xf>
    <xf numFmtId="0" fontId="102" fillId="6" borderId="32" xfId="0"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protection locked="0"/>
    </xf>
    <xf numFmtId="0" fontId="56" fillId="0" borderId="32" xfId="0" applyNumberFormat="1" applyFont="1" applyFill="1" applyBorder="1" applyAlignment="1" applyProtection="1">
      <alignment horizontal="left" vertical="center" wrapText="1"/>
      <protection locked="0"/>
    </xf>
    <xf numFmtId="0" fontId="22" fillId="6" borderId="32" xfId="0" applyNumberFormat="1" applyFont="1" applyFill="1" applyBorder="1" applyAlignment="1" applyProtection="1">
      <alignment horizontal="left" vertical="center" wrapText="1"/>
      <protection locked="0"/>
    </xf>
    <xf numFmtId="0" fontId="56" fillId="6" borderId="49" xfId="0" applyNumberFormat="1"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wrapText="1"/>
    </xf>
    <xf numFmtId="0" fontId="56" fillId="6" borderId="30" xfId="0" applyFont="1" applyFill="1" applyBorder="1" applyAlignment="1" applyProtection="1">
      <alignment vertical="center" wrapText="1"/>
    </xf>
    <xf numFmtId="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80" fillId="6" borderId="5" xfId="0" applyFont="1" applyFill="1" applyBorder="1" applyAlignment="1" applyProtection="1">
      <alignment vertical="center"/>
    </xf>
    <xf numFmtId="0" fontId="22" fillId="6" borderId="20" xfId="0" applyFont="1" applyFill="1" applyBorder="1" applyAlignment="1" applyProtection="1">
      <alignment vertical="center"/>
    </xf>
    <xf numFmtId="0" fontId="56" fillId="6" borderId="24" xfId="0" applyNumberFormat="1" applyFont="1" applyFill="1" applyBorder="1" applyAlignment="1" applyProtection="1">
      <alignment horizontal="left" vertical="center" wrapText="1"/>
    </xf>
    <xf numFmtId="0" fontId="22" fillId="7" borderId="0" xfId="0" applyNumberFormat="1" applyFont="1" applyFill="1" applyAlignment="1" applyProtection="1">
      <alignment horizontal="left" vertical="center" wrapText="1"/>
    </xf>
    <xf numFmtId="0" fontId="56" fillId="7" borderId="0" xfId="0" applyNumberFormat="1" applyFont="1" applyFill="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6" borderId="23"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6" fillId="6" borderId="32" xfId="0" applyNumberFormat="1" applyFont="1" applyFill="1" applyBorder="1" applyAlignment="1" applyProtection="1">
      <alignment horizontal="left" vertical="center" wrapText="1"/>
    </xf>
    <xf numFmtId="0" fontId="22" fillId="7" borderId="0" xfId="0" applyNumberFormat="1" applyFont="1" applyFill="1" applyAlignment="1" applyProtection="1">
      <alignment horizontal="left" vertical="center" wrapText="1"/>
      <protection locked="0"/>
    </xf>
    <xf numFmtId="0" fontId="56" fillId="6" borderId="23" xfId="0" applyNumberFormat="1" applyFont="1" applyFill="1" applyBorder="1" applyAlignment="1" applyProtection="1">
      <alignment horizontal="left" vertical="center"/>
    </xf>
    <xf numFmtId="0" fontId="61" fillId="6" borderId="1" xfId="8" applyNumberFormat="1" applyFont="1" applyFill="1" applyBorder="1" applyAlignment="1" applyProtection="1">
      <alignment horizontal="left" vertical="center" wrapText="1"/>
    </xf>
    <xf numFmtId="0" fontId="102" fillId="6" borderId="1" xfId="8" applyNumberFormat="1" applyFont="1" applyFill="1" applyBorder="1" applyAlignment="1" applyProtection="1">
      <alignment horizontal="left" vertical="center"/>
    </xf>
    <xf numFmtId="0" fontId="116" fillId="0" borderId="1" xfId="8" applyNumberFormat="1" applyFont="1" applyFill="1" applyBorder="1" applyAlignment="1" applyProtection="1">
      <alignment horizontal="left" vertical="center"/>
      <protection locked="0"/>
    </xf>
    <xf numFmtId="0" fontId="116" fillId="6" borderId="1" xfId="8" applyNumberFormat="1" applyFont="1" applyFill="1" applyBorder="1" applyAlignment="1" applyProtection="1">
      <alignment horizontal="left" vertical="center"/>
    </xf>
    <xf numFmtId="0" fontId="116" fillId="6" borderId="1" xfId="8"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9" fontId="102" fillId="6" borderId="1" xfId="17" applyFont="1" applyFill="1" applyBorder="1" applyAlignment="1" applyProtection="1">
      <alignment horizontal="left" vertical="center" wrapText="1"/>
    </xf>
    <xf numFmtId="9" fontId="102" fillId="6" borderId="32" xfId="17"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wrapText="1"/>
    </xf>
    <xf numFmtId="0" fontId="102" fillId="6" borderId="0" xfId="0" applyNumberFormat="1" applyFont="1" applyFill="1" applyBorder="1" applyAlignment="1" applyProtection="1">
      <alignment horizontal="center" vertical="center" wrapText="1"/>
    </xf>
    <xf numFmtId="0" fontId="102" fillId="5" borderId="0" xfId="0"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xf>
    <xf numFmtId="10" fontId="101" fillId="0" borderId="0" xfId="0" applyNumberFormat="1" applyFont="1" applyBorder="1" applyAlignment="1" applyProtection="1">
      <alignment horizontal="center" vertical="center"/>
      <protection locked="0"/>
    </xf>
    <xf numFmtId="10" fontId="101" fillId="6" borderId="0" xfId="0" applyNumberFormat="1" applyFont="1" applyFill="1" applyBorder="1" applyAlignment="1" applyProtection="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Border="1" applyAlignment="1" applyProtection="1">
      <alignment horizontal="center" vertical="center" wrapText="1"/>
    </xf>
    <xf numFmtId="0" fontId="112" fillId="6" borderId="51" xfId="0" applyNumberFormat="1" applyFont="1" applyFill="1" applyBorder="1" applyAlignment="1" applyProtection="1">
      <alignment horizontal="left" vertical="center"/>
    </xf>
    <xf numFmtId="0" fontId="207" fillId="6" borderId="19" xfId="0" applyNumberFormat="1" applyFont="1" applyFill="1" applyBorder="1" applyAlignment="1" applyProtection="1">
      <alignment horizontal="left" vertical="center" wrapText="1"/>
    </xf>
    <xf numFmtId="0" fontId="102" fillId="6" borderId="23" xfId="0" applyNumberFormat="1" applyFont="1" applyFill="1" applyBorder="1" applyAlignment="1" applyProtection="1">
      <alignment horizontal="left" vertical="center" wrapText="1"/>
    </xf>
    <xf numFmtId="0" fontId="102" fillId="6" borderId="25" xfId="0" applyNumberFormat="1" applyFont="1" applyFill="1" applyBorder="1" applyAlignment="1" applyProtection="1">
      <alignment horizontal="left" vertical="center" wrapText="1"/>
    </xf>
    <xf numFmtId="0" fontId="116" fillId="6" borderId="5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wrapText="1"/>
    </xf>
    <xf numFmtId="0" fontId="56" fillId="6" borderId="53" xfId="0" applyNumberFormat="1" applyFont="1" applyFill="1" applyBorder="1" applyAlignment="1" applyProtection="1">
      <alignment horizontal="left" vertical="center" wrapText="1"/>
    </xf>
    <xf numFmtId="0" fontId="56" fillId="6" borderId="76" xfId="0" applyNumberFormat="1" applyFont="1" applyFill="1" applyBorder="1" applyAlignment="1" applyProtection="1">
      <alignment horizontal="left" vertical="center" wrapText="1"/>
    </xf>
    <xf numFmtId="0" fontId="171" fillId="0" borderId="1" xfId="0" applyNumberFormat="1" applyFont="1" applyFill="1" applyBorder="1" applyAlignment="1" applyProtection="1">
      <alignment horizontal="left" vertical="center" wrapText="1"/>
      <protection locked="0"/>
    </xf>
    <xf numFmtId="0" fontId="171" fillId="0" borderId="13" xfId="0" applyNumberFormat="1"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105" fillId="6" borderId="0" xfId="0" applyNumberFormat="1" applyFont="1" applyFill="1" applyAlignment="1" applyProtection="1">
      <alignment horizontal="left" vertical="center"/>
    </xf>
    <xf numFmtId="0" fontId="102" fillId="6" borderId="5" xfId="0" applyNumberFormat="1" applyFont="1" applyFill="1" applyBorder="1" applyAlignment="1" applyProtection="1">
      <alignment horizontal="left" vertical="center"/>
    </xf>
    <xf numFmtId="0" fontId="102" fillId="6" borderId="54" xfId="0" applyNumberFormat="1" applyFont="1" applyFill="1" applyBorder="1" applyAlignment="1" applyProtection="1">
      <alignment horizontal="left" vertical="center"/>
    </xf>
    <xf numFmtId="0" fontId="102" fillId="6" borderId="3" xfId="0" applyNumberFormat="1" applyFont="1" applyFill="1" applyBorder="1" applyAlignment="1" applyProtection="1">
      <alignment horizontal="left" vertical="center"/>
    </xf>
    <xf numFmtId="0" fontId="102" fillId="6" borderId="0"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xf>
    <xf numFmtId="0" fontId="116" fillId="6" borderId="1" xfId="0"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protection locked="0"/>
    </xf>
    <xf numFmtId="0" fontId="5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3"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77" fontId="131" fillId="0" borderId="1" xfId="1" applyNumberFormat="1" applyFont="1" applyFill="1" applyBorder="1" applyAlignment="1" applyProtection="1">
      <alignment vertical="center"/>
      <protection locked="0"/>
    </xf>
    <xf numFmtId="0" fontId="61" fillId="0" borderId="1" xfId="8"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10" fontId="101" fillId="6" borderId="1" xfId="17" applyNumberFormat="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pplyProtection="1">
      <alignment horizontal="right" vertical="center"/>
    </xf>
    <xf numFmtId="186" fontId="55" fillId="6" borderId="1" xfId="0" applyNumberFormat="1" applyFont="1" applyFill="1" applyBorder="1" applyAlignment="1" applyProtection="1">
      <alignment horizontal="right" vertical="center"/>
    </xf>
    <xf numFmtId="0" fontId="65" fillId="5" borderId="118" xfId="0" applyFont="1" applyFill="1" applyBorder="1" applyAlignment="1" applyProtection="1">
      <alignment vertical="center"/>
      <protection locked="0"/>
    </xf>
    <xf numFmtId="186" fontId="60" fillId="6" borderId="2" xfId="0" applyNumberFormat="1" applyFont="1" applyFill="1" applyBorder="1" applyAlignment="1" applyProtection="1">
      <alignment horizontal="right" vertical="center"/>
    </xf>
    <xf numFmtId="179" fontId="47" fillId="0" borderId="23" xfId="0" applyNumberFormat="1" applyFont="1" applyBorder="1" applyAlignment="1" applyProtection="1">
      <alignment horizontal="center" vertical="center"/>
      <protection locked="0"/>
    </xf>
    <xf numFmtId="179" fontId="50"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vertical="center"/>
      <protection locked="0"/>
    </xf>
    <xf numFmtId="0" fontId="141" fillId="7" borderId="0" xfId="0" applyFont="1" applyFill="1" applyAlignment="1" applyProtection="1">
      <protection locked="0"/>
    </xf>
    <xf numFmtId="0" fontId="80" fillId="6" borderId="0" xfId="0" applyFont="1" applyFill="1" applyAlignment="1" applyProtection="1">
      <protection locked="0"/>
    </xf>
    <xf numFmtId="0" fontId="65" fillId="5" borderId="88" xfId="0" applyFont="1" applyFill="1" applyBorder="1" applyAlignment="1" applyProtection="1">
      <alignment vertical="center"/>
      <protection locked="0"/>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0" fontId="146" fillId="11" borderId="125" xfId="9" applyFont="1" applyFill="1" applyBorder="1" applyAlignment="1" applyProtection="1">
      <alignment horizontal="left" vertical="center" wrapText="1"/>
    </xf>
    <xf numFmtId="0" fontId="111"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9" fillId="6" borderId="1"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xf>
    <xf numFmtId="0" fontId="163" fillId="12" borderId="1" xfId="12" applyFont="1" applyFill="1" applyBorder="1" applyAlignment="1" applyProtection="1">
      <alignment horizontal="left" vertical="center" wrapText="1"/>
      <protection locked="0"/>
    </xf>
    <xf numFmtId="9" fontId="162" fillId="12" borderId="1" xfId="12" applyNumberFormat="1" applyFill="1" applyBorder="1" applyAlignment="1" applyProtection="1">
      <alignment horizontal="left"/>
      <protection locked="0"/>
    </xf>
    <xf numFmtId="0" fontId="56" fillId="5" borderId="0" xfId="4" applyFont="1" applyFill="1" applyBorder="1" applyAlignment="1" applyProtection="1">
      <alignment vertical="center"/>
      <protection locked="0"/>
    </xf>
    <xf numFmtId="176" fontId="56" fillId="0" borderId="0" xfId="4" applyNumberFormat="1" applyFont="1" applyFill="1" applyBorder="1" applyAlignment="1" applyProtection="1">
      <protection locked="0"/>
    </xf>
    <xf numFmtId="0" fontId="162" fillId="6" borderId="1" xfId="12" applyFill="1" applyBorder="1" applyAlignment="1" applyProtection="1">
      <alignment horizontal="left"/>
    </xf>
    <xf numFmtId="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0" fontId="271" fillId="0" borderId="0" xfId="9" applyNumberFormat="1" applyFont="1" applyAlignment="1" applyProtection="1">
      <alignment vertical="center"/>
    </xf>
    <xf numFmtId="10" fontId="102" fillId="0" borderId="0" xfId="9" applyNumberFormat="1" applyFont="1" applyFill="1" applyBorder="1" applyAlignment="1" applyProtection="1">
      <alignment horizontal="left" vertical="center"/>
    </xf>
    <xf numFmtId="0" fontId="80" fillId="12" borderId="0" xfId="0" applyFont="1" applyFill="1" applyAlignment="1" applyProtection="1">
      <alignment vertical="center"/>
      <protection locked="0"/>
    </xf>
    <xf numFmtId="0" fontId="80" fillId="0" borderId="24" xfId="0" applyNumberFormat="1" applyFont="1" applyFill="1" applyBorder="1" applyAlignment="1" applyProtection="1">
      <alignment vertical="center" wrapText="1"/>
      <protection locked="0"/>
    </xf>
    <xf numFmtId="0" fontId="131"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49" fontId="54" fillId="0" borderId="44" xfId="0" applyNumberFormat="1" applyFont="1" applyFill="1" applyBorder="1" applyAlignment="1" applyProtection="1">
      <alignment horizontal="center" vertical="center" wrapText="1"/>
      <protection locked="0"/>
    </xf>
    <xf numFmtId="0" fontId="131"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27" fillId="0" borderId="44" xfId="0" applyNumberFormat="1" applyFont="1" applyFill="1" applyBorder="1" applyAlignment="1" applyProtection="1">
      <alignment horizontal="center" vertical="center" wrapText="1"/>
      <protection locked="0"/>
    </xf>
    <xf numFmtId="0" fontId="131" fillId="0" borderId="51" xfId="0" applyNumberFormat="1"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8" fillId="0" borderId="0" xfId="10">
      <alignment vertical="center"/>
    </xf>
    <xf numFmtId="58" fontId="98" fillId="0" borderId="0" xfId="10" applyNumberFormat="1">
      <alignment vertical="center"/>
    </xf>
    <xf numFmtId="0" fontId="80" fillId="7" borderId="54" xfId="0" applyFont="1" applyFill="1" applyBorder="1" applyAlignment="1" applyProtection="1">
      <alignment vertical="center" wrapText="1"/>
      <protection locked="0"/>
    </xf>
    <xf numFmtId="0" fontId="117" fillId="0" borderId="0" xfId="0" applyFont="1" applyProtection="1">
      <alignment vertical="center"/>
      <protection locked="0"/>
    </xf>
    <xf numFmtId="0" fontId="47" fillId="6" borderId="30"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center" vertical="center" wrapText="1"/>
      <protection locked="0"/>
    </xf>
    <xf numFmtId="0" fontId="273"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vertical="center" wrapText="1"/>
      <protection locked="0"/>
    </xf>
    <xf numFmtId="0" fontId="225" fillId="0" borderId="24" xfId="0" applyFont="1" applyBorder="1" applyAlignment="1" applyProtection="1">
      <alignment vertical="center" wrapText="1"/>
      <protection locked="0"/>
    </xf>
    <xf numFmtId="0" fontId="98" fillId="0" borderId="0" xfId="0" applyFont="1">
      <alignment vertical="center"/>
    </xf>
    <xf numFmtId="49" fontId="98" fillId="0" borderId="0" xfId="0" applyNumberFormat="1" applyFont="1">
      <alignment vertical="center"/>
    </xf>
    <xf numFmtId="49" fontId="0" fillId="0" borderId="0" xfId="0" applyNumberFormat="1">
      <alignment vertical="center"/>
    </xf>
    <xf numFmtId="0" fontId="2" fillId="0" borderId="0" xfId="24">
      <alignment vertical="center"/>
    </xf>
    <xf numFmtId="0" fontId="277" fillId="0" borderId="0" xfId="24" applyFont="1">
      <alignment vertical="center"/>
    </xf>
    <xf numFmtId="0" fontId="278" fillId="0" borderId="0" xfId="24" applyFont="1" applyBorder="1" applyAlignment="1">
      <alignment horizontal="center" vertical="center"/>
    </xf>
    <xf numFmtId="0" fontId="280" fillId="0" borderId="1" xfId="24" applyFont="1" applyBorder="1" applyAlignment="1">
      <alignment horizontal="left" vertical="center" wrapText="1"/>
    </xf>
    <xf numFmtId="43" fontId="281" fillId="0" borderId="1" xfId="24" applyNumberFormat="1" applyFont="1" applyFill="1" applyBorder="1" applyAlignment="1">
      <alignment horizontal="left" vertical="center" wrapText="1"/>
    </xf>
    <xf numFmtId="0" fontId="278" fillId="0" borderId="1" xfId="24" applyFont="1" applyBorder="1">
      <alignment vertical="center"/>
    </xf>
    <xf numFmtId="43" fontId="281" fillId="0" borderId="1" xfId="24" applyNumberFormat="1" applyFont="1" applyFill="1" applyBorder="1" applyAlignment="1">
      <alignment horizontal="left" vertical="center"/>
    </xf>
    <xf numFmtId="43" fontId="281" fillId="0" borderId="1" xfId="24" applyNumberFormat="1" applyFont="1" applyFill="1" applyBorder="1" applyAlignment="1">
      <alignment vertical="center" wrapText="1"/>
    </xf>
    <xf numFmtId="0" fontId="280" fillId="0" borderId="13" xfId="24" applyFont="1" applyBorder="1" applyAlignment="1">
      <alignment vertical="center" wrapText="1"/>
    </xf>
    <xf numFmtId="0" fontId="280" fillId="0" borderId="1" xfId="24" applyFont="1" applyFill="1" applyBorder="1" applyAlignment="1">
      <alignment horizontal="left" vertical="center" wrapText="1"/>
    </xf>
    <xf numFmtId="0" fontId="278" fillId="0" borderId="1" xfId="24" applyFont="1" applyFill="1" applyBorder="1">
      <alignment vertical="center"/>
    </xf>
    <xf numFmtId="0" fontId="110" fillId="0" borderId="0" xfId="24" applyFont="1" applyAlignment="1">
      <alignment horizontal="center" vertical="center"/>
    </xf>
    <xf numFmtId="0" fontId="110" fillId="0" borderId="0" xfId="24" applyFont="1" applyFill="1" applyAlignment="1">
      <alignment horizontal="center" vertical="center"/>
    </xf>
    <xf numFmtId="0" fontId="2" fillId="0" borderId="0" xfId="24" applyFill="1">
      <alignment vertical="center"/>
    </xf>
    <xf numFmtId="0" fontId="2" fillId="0" borderId="1" xfId="24" applyBorder="1" applyAlignment="1">
      <alignment horizontal="left" vertical="center" wrapText="1"/>
    </xf>
    <xf numFmtId="43" fontId="281" fillId="0" borderId="1" xfId="24" applyNumberFormat="1" applyFont="1" applyFill="1" applyBorder="1" applyAlignment="1">
      <alignment horizontal="center" vertical="center"/>
    </xf>
    <xf numFmtId="0" fontId="110" fillId="7" borderId="0" xfId="24" applyFont="1" applyFill="1" applyAlignment="1">
      <alignment horizontal="center" vertical="center"/>
    </xf>
    <xf numFmtId="43" fontId="281" fillId="0" borderId="1" xfId="24" applyNumberFormat="1" applyFont="1" applyFill="1" applyBorder="1" applyAlignment="1">
      <alignment horizontal="center" vertical="center" wrapText="1"/>
    </xf>
    <xf numFmtId="0" fontId="278" fillId="0" borderId="13" xfId="24" applyFont="1" applyBorder="1" applyAlignment="1">
      <alignment vertical="center"/>
    </xf>
    <xf numFmtId="0" fontId="282" fillId="0" borderId="1" xfId="24" applyFont="1" applyBorder="1" applyAlignment="1">
      <alignment horizontal="left" vertical="center" wrapText="1"/>
    </xf>
    <xf numFmtId="43" fontId="282" fillId="0" borderId="1" xfId="24" applyNumberFormat="1" applyFont="1" applyFill="1" applyBorder="1" applyAlignment="1">
      <alignment horizontal="center" vertical="center" wrapText="1"/>
    </xf>
    <xf numFmtId="0" fontId="283" fillId="0" borderId="1" xfId="24" applyFont="1" applyBorder="1">
      <alignment vertical="center"/>
    </xf>
    <xf numFmtId="43" fontId="282" fillId="0" borderId="1" xfId="24" applyNumberFormat="1" applyFont="1" applyFill="1" applyBorder="1" applyAlignment="1">
      <alignment horizontal="left" vertical="center"/>
    </xf>
    <xf numFmtId="0" fontId="284" fillId="0" borderId="0" xfId="24" applyFont="1" applyAlignment="1">
      <alignment horizontal="center" vertical="center"/>
    </xf>
    <xf numFmtId="0" fontId="274" fillId="0" borderId="0" xfId="24" applyFont="1">
      <alignment vertical="center"/>
    </xf>
    <xf numFmtId="0" fontId="281" fillId="0" borderId="1" xfId="24" applyFont="1" applyFill="1" applyBorder="1" applyAlignment="1">
      <alignment horizontal="left" vertical="center" wrapText="1"/>
    </xf>
    <xf numFmtId="0" fontId="285" fillId="0" borderId="1" xfId="24" applyFont="1" applyFill="1" applyBorder="1">
      <alignment vertical="center"/>
    </xf>
    <xf numFmtId="0" fontId="286" fillId="0" borderId="0" xfId="24" applyFont="1" applyFill="1" applyAlignment="1">
      <alignment horizontal="center" vertical="center"/>
    </xf>
    <xf numFmtId="0" fontId="287" fillId="0" borderId="0" xfId="24" applyFont="1" applyFill="1">
      <alignment vertical="center"/>
    </xf>
    <xf numFmtId="0" fontId="284" fillId="7" borderId="0" xfId="24" applyFont="1" applyFill="1" applyAlignment="1">
      <alignment horizontal="center" vertical="center"/>
    </xf>
    <xf numFmtId="0" fontId="281" fillId="0" borderId="1" xfId="24" applyFont="1" applyFill="1" applyBorder="1" applyAlignment="1">
      <alignment horizontal="center" vertical="center"/>
    </xf>
    <xf numFmtId="43" fontId="281" fillId="0" borderId="1" xfId="24" applyNumberFormat="1" applyFont="1" applyFill="1" applyBorder="1" applyAlignment="1">
      <alignment horizontal="right" vertical="center"/>
    </xf>
    <xf numFmtId="43" fontId="281" fillId="0" borderId="1" xfId="24" applyNumberFormat="1" applyFont="1" applyFill="1" applyBorder="1" applyAlignment="1">
      <alignment horizontal="right" vertical="center" wrapText="1"/>
    </xf>
    <xf numFmtId="0" fontId="282" fillId="0" borderId="1" xfId="24" applyFont="1" applyFill="1" applyBorder="1" applyAlignment="1">
      <alignment horizontal="left" vertical="center" wrapText="1"/>
    </xf>
    <xf numFmtId="0" fontId="283" fillId="0" borderId="1" xfId="24" applyFont="1" applyFill="1" applyBorder="1">
      <alignment vertical="center"/>
    </xf>
    <xf numFmtId="43" fontId="282" fillId="0" borderId="1" xfId="24" applyNumberFormat="1" applyFont="1" applyFill="1" applyBorder="1" applyAlignment="1">
      <alignment horizontal="left" vertical="center" wrapText="1"/>
    </xf>
    <xf numFmtId="44" fontId="288" fillId="7" borderId="54" xfId="24" applyNumberFormat="1" applyFont="1" applyFill="1" applyBorder="1" applyAlignment="1">
      <alignment horizontal="center" vertical="center" wrapText="1"/>
    </xf>
    <xf numFmtId="44" fontId="115" fillId="7" borderId="54" xfId="24" applyNumberFormat="1" applyFont="1" applyFill="1" applyBorder="1" applyAlignment="1">
      <alignment vertical="center" wrapText="1"/>
    </xf>
    <xf numFmtId="43" fontId="289" fillId="0" borderId="1" xfId="24" applyNumberFormat="1" applyFont="1" applyFill="1" applyBorder="1" applyAlignment="1">
      <alignment horizontal="center" vertical="center" wrapText="1"/>
    </xf>
    <xf numFmtId="44" fontId="115" fillId="7" borderId="54" xfId="24" applyNumberFormat="1" applyFont="1" applyFill="1" applyBorder="1" applyAlignment="1">
      <alignment horizontal="left" vertical="center" wrapText="1"/>
    </xf>
    <xf numFmtId="0" fontId="110" fillId="0" borderId="1" xfId="24" applyFont="1" applyBorder="1" applyAlignment="1">
      <alignment horizontal="left" vertical="center" wrapText="1"/>
    </xf>
    <xf numFmtId="44" fontId="110" fillId="7" borderId="0" xfId="24" applyNumberFormat="1" applyFont="1" applyFill="1" applyAlignment="1">
      <alignment horizontal="center" vertical="center"/>
    </xf>
    <xf numFmtId="43" fontId="0" fillId="0" borderId="0" xfId="25" applyFont="1">
      <alignment vertical="center"/>
    </xf>
    <xf numFmtId="0" fontId="18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9"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wrapText="1"/>
    </xf>
    <xf numFmtId="0" fontId="64" fillId="0" borderId="54"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9" fillId="0" borderId="0" xfId="0" applyFont="1" applyBorder="1" applyAlignment="1" applyProtection="1">
      <alignment horizontal="left" vertical="center"/>
    </xf>
    <xf numFmtId="0" fontId="19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2" fontId="203" fillId="0" borderId="0" xfId="0" applyNumberFormat="1" applyFont="1" applyAlignment="1" applyProtection="1">
      <alignment horizontal="right" vertical="center"/>
      <protection locked="0"/>
    </xf>
    <xf numFmtId="0" fontId="216"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9" fillId="0" borderId="0" xfId="0" applyFont="1" applyAlignment="1" applyProtection="1">
      <alignment vertical="center" wrapText="1"/>
      <protection locked="0"/>
    </xf>
    <xf numFmtId="0" fontId="22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275" fillId="0" borderId="60" xfId="24" applyFont="1" applyFill="1" applyBorder="1" applyAlignment="1">
      <alignment horizontal="center" vertical="center" wrapText="1"/>
    </xf>
    <xf numFmtId="0" fontId="275" fillId="0" borderId="7" xfId="24" applyFont="1" applyFill="1" applyBorder="1" applyAlignment="1">
      <alignment horizontal="center" vertical="center" wrapText="1"/>
    </xf>
    <xf numFmtId="0" fontId="276" fillId="9" borderId="13" xfId="24" applyFont="1" applyFill="1" applyBorder="1" applyAlignment="1">
      <alignment horizontal="center" vertical="center"/>
    </xf>
    <xf numFmtId="0" fontId="276" fillId="9" borderId="15" xfId="24" applyFont="1" applyFill="1" applyBorder="1" applyAlignment="1">
      <alignment horizontal="center" vertical="center"/>
    </xf>
    <xf numFmtId="0" fontId="276" fillId="9" borderId="2" xfId="24" applyFont="1" applyFill="1" applyBorder="1" applyAlignment="1">
      <alignment horizontal="center" vertical="center"/>
    </xf>
    <xf numFmtId="0" fontId="276" fillId="9" borderId="13" xfId="24" applyFont="1" applyFill="1" applyBorder="1" applyAlignment="1">
      <alignment horizontal="center" vertical="center" wrapText="1"/>
    </xf>
    <xf numFmtId="0" fontId="276" fillId="9" borderId="15" xfId="24" applyFont="1" applyFill="1" applyBorder="1" applyAlignment="1">
      <alignment horizontal="center" vertical="center" wrapText="1"/>
    </xf>
    <xf numFmtId="0" fontId="276" fillId="9" borderId="2" xfId="24" applyFont="1" applyFill="1" applyBorder="1" applyAlignment="1">
      <alignment horizontal="center" vertical="center" wrapText="1"/>
    </xf>
    <xf numFmtId="176" fontId="276" fillId="9" borderId="13" xfId="24" applyNumberFormat="1" applyFont="1" applyFill="1" applyBorder="1" applyAlignment="1">
      <alignment horizontal="center" vertical="center" wrapText="1"/>
    </xf>
    <xf numFmtId="176" fontId="276" fillId="9" borderId="15" xfId="24" applyNumberFormat="1" applyFont="1" applyFill="1" applyBorder="1" applyAlignment="1">
      <alignment horizontal="center" vertical="center" wrapText="1"/>
    </xf>
    <xf numFmtId="176" fontId="276" fillId="9" borderId="2" xfId="24" applyNumberFormat="1" applyFont="1" applyFill="1" applyBorder="1" applyAlignment="1">
      <alignment horizontal="center" vertical="center" wrapText="1"/>
    </xf>
    <xf numFmtId="0" fontId="276" fillId="9" borderId="1" xfId="24" applyFont="1" applyFill="1" applyBorder="1" applyAlignment="1">
      <alignment horizontal="center" vertical="center" wrapText="1"/>
    </xf>
    <xf numFmtId="44" fontId="288" fillId="7" borderId="54" xfId="24" applyNumberFormat="1" applyFont="1" applyFill="1" applyBorder="1" applyAlignment="1">
      <alignment horizontal="center" vertical="center" wrapText="1"/>
    </xf>
    <xf numFmtId="44" fontId="288" fillId="7" borderId="3" xfId="24" applyNumberFormat="1" applyFont="1" applyFill="1" applyBorder="1" applyAlignment="1">
      <alignment horizontal="center" vertical="center" wrapText="1"/>
    </xf>
    <xf numFmtId="0" fontId="279" fillId="0" borderId="22" xfId="24" applyFont="1" applyBorder="1" applyAlignment="1">
      <alignment horizontal="center" vertical="center"/>
    </xf>
    <xf numFmtId="0" fontId="279" fillId="0" borderId="35" xfId="24" applyFont="1" applyBorder="1" applyAlignment="1">
      <alignment horizontal="center" vertical="center"/>
    </xf>
    <xf numFmtId="0" fontId="279" fillId="0" borderId="7" xfId="24" applyFont="1" applyBorder="1" applyAlignment="1">
      <alignment horizontal="center" vertical="center"/>
    </xf>
    <xf numFmtId="0" fontId="280" fillId="0" borderId="13" xfId="24" applyFont="1" applyBorder="1" applyAlignment="1">
      <alignment horizontal="left" vertical="center" wrapText="1"/>
    </xf>
    <xf numFmtId="0" fontId="280" fillId="0" borderId="2" xfId="24" applyFont="1" applyBorder="1" applyAlignment="1">
      <alignment horizontal="left" vertical="center" wrapText="1"/>
    </xf>
    <xf numFmtId="43" fontId="281" fillId="0" borderId="13" xfId="24" applyNumberFormat="1" applyFont="1" applyFill="1" applyBorder="1" applyAlignment="1">
      <alignment horizontal="center" vertical="center"/>
    </xf>
    <xf numFmtId="43" fontId="281" fillId="0" borderId="2" xfId="24" applyNumberFormat="1" applyFont="1" applyFill="1" applyBorder="1" applyAlignment="1">
      <alignment horizontal="center" vertical="center"/>
    </xf>
    <xf numFmtId="43" fontId="281" fillId="0" borderId="13" xfId="24" applyNumberFormat="1" applyFont="1" applyFill="1" applyBorder="1" applyAlignment="1">
      <alignment horizontal="left" vertical="center"/>
    </xf>
    <xf numFmtId="43" fontId="281" fillId="0" borderId="2" xfId="24" applyNumberFormat="1" applyFont="1" applyFill="1" applyBorder="1" applyAlignment="1">
      <alignment horizontal="left" vertical="center"/>
    </xf>
    <xf numFmtId="43" fontId="281" fillId="0" borderId="1" xfId="24" applyNumberFormat="1" applyFont="1" applyFill="1" applyBorder="1" applyAlignment="1">
      <alignment horizontal="left" vertical="center"/>
    </xf>
    <xf numFmtId="0" fontId="281" fillId="0" borderId="13" xfId="24" applyFont="1" applyFill="1" applyBorder="1" applyAlignment="1">
      <alignment horizontal="center" vertical="center"/>
    </xf>
    <xf numFmtId="0" fontId="281" fillId="0" borderId="15" xfId="24" applyFont="1" applyFill="1" applyBorder="1" applyAlignment="1">
      <alignment horizontal="center" vertical="center"/>
    </xf>
    <xf numFmtId="0" fontId="281" fillId="0" borderId="2" xfId="24" applyFont="1" applyFill="1" applyBorder="1" applyAlignment="1">
      <alignment horizontal="center" vertical="center"/>
    </xf>
    <xf numFmtId="43" fontId="281" fillId="0" borderId="15" xfId="24" applyNumberFormat="1" applyFont="1" applyFill="1" applyBorder="1" applyAlignment="1">
      <alignment horizontal="left" vertical="center" wrapText="1"/>
    </xf>
    <xf numFmtId="43" fontId="281" fillId="0" borderId="2" xfId="24" applyNumberFormat="1" applyFont="1" applyFill="1" applyBorder="1" applyAlignment="1">
      <alignment horizontal="left" vertical="center" wrapText="1"/>
    </xf>
    <xf numFmtId="0" fontId="278" fillId="0" borderId="13" xfId="24" applyFont="1" applyBorder="1" applyAlignment="1">
      <alignment horizontal="right" vertical="center"/>
    </xf>
    <xf numFmtId="0" fontId="278" fillId="0" borderId="2" xfId="24" applyFont="1" applyBorder="1" applyAlignment="1">
      <alignment horizontal="right" vertical="center"/>
    </xf>
    <xf numFmtId="0" fontId="98" fillId="6" borderId="0" xfId="0" applyFont="1" applyFill="1" applyBorder="1" applyAlignment="1" applyProtection="1">
      <alignment horizontal="center" vertical="center" wrapText="1"/>
    </xf>
    <xf numFmtId="0" fontId="249" fillId="6" borderId="60" xfId="0" applyNumberFormat="1" applyFont="1" applyFill="1" applyBorder="1" applyAlignment="1" applyProtection="1">
      <alignment horizontal="left" vertical="center"/>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1" fillId="0" borderId="4" xfId="0" applyNumberFormat="1" applyFont="1" applyFill="1" applyBorder="1" applyAlignment="1" applyProtection="1">
      <alignment horizontal="left" vertical="center"/>
      <protection locked="0"/>
    </xf>
    <xf numFmtId="49" fontId="171" fillId="0" borderId="54" xfId="0" applyNumberFormat="1" applyFont="1" applyFill="1" applyBorder="1" applyAlignment="1" applyProtection="1">
      <alignment horizontal="left" vertical="center"/>
      <protection locked="0"/>
    </xf>
    <xf numFmtId="49" fontId="171" fillId="0" borderId="3" xfId="0" applyNumberFormat="1" applyFont="1" applyFill="1" applyBorder="1" applyAlignment="1" applyProtection="1">
      <alignment horizontal="left" vertical="center"/>
      <protection locked="0"/>
    </xf>
    <xf numFmtId="0" fontId="171" fillId="0" borderId="5" xfId="0" applyNumberFormat="1" applyFont="1" applyBorder="1" applyAlignment="1" applyProtection="1">
      <alignment horizontal="left" vertical="center"/>
      <protection locked="0"/>
    </xf>
    <xf numFmtId="0" fontId="171" fillId="0" borderId="54" xfId="0" applyNumberFormat="1" applyFont="1" applyBorder="1" applyAlignment="1" applyProtection="1">
      <alignment horizontal="left" vertical="center"/>
      <protection locked="0"/>
    </xf>
    <xf numFmtId="0" fontId="171" fillId="0" borderId="3" xfId="0" applyNumberFormat="1" applyFont="1" applyBorder="1" applyAlignment="1" applyProtection="1">
      <alignment horizontal="left" vertical="center"/>
      <protection locked="0"/>
    </xf>
    <xf numFmtId="49" fontId="171" fillId="7" borderId="5" xfId="0" applyNumberFormat="1" applyFont="1" applyFill="1" applyBorder="1" applyAlignment="1" applyProtection="1">
      <alignment horizontal="left" vertical="center"/>
      <protection locked="0"/>
    </xf>
    <xf numFmtId="49" fontId="171" fillId="7" borderId="54" xfId="0" applyNumberFormat="1" applyFont="1" applyFill="1" applyBorder="1" applyAlignment="1" applyProtection="1">
      <alignment horizontal="left" vertical="center"/>
      <protection locked="0"/>
    </xf>
    <xf numFmtId="49" fontId="171" fillId="7" borderId="3" xfId="0" applyNumberFormat="1" applyFont="1" applyFill="1" applyBorder="1" applyAlignment="1" applyProtection="1">
      <alignment horizontal="left" vertical="center"/>
      <protection locked="0"/>
    </xf>
    <xf numFmtId="49" fontId="171" fillId="7" borderId="85" xfId="0" applyNumberFormat="1" applyFont="1" applyFill="1" applyBorder="1" applyAlignment="1" applyProtection="1">
      <alignment horizontal="left" vertical="center"/>
      <protection locked="0"/>
    </xf>
    <xf numFmtId="49" fontId="171" fillId="7" borderId="88" xfId="0" applyNumberFormat="1" applyFont="1" applyFill="1" applyBorder="1" applyAlignment="1" applyProtection="1">
      <alignment horizontal="left" vertical="center"/>
      <protection locked="0"/>
    </xf>
    <xf numFmtId="49" fontId="171"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1"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7"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9" fillId="0" borderId="3" xfId="0" applyFont="1" applyFill="1" applyBorder="1" applyAlignment="1" applyProtection="1">
      <alignment horizontal="center" vertical="center" wrapText="1"/>
      <protection locked="0"/>
    </xf>
    <xf numFmtId="0" fontId="169" fillId="0" borderId="5" xfId="0" applyFont="1" applyFill="1" applyBorder="1" applyAlignment="1" applyProtection="1">
      <alignment horizontal="center" vertical="center" wrapText="1"/>
      <protection locked="0"/>
    </xf>
    <xf numFmtId="0" fontId="169" fillId="0" borderId="23" xfId="0" applyFont="1" applyFill="1" applyBorder="1" applyAlignment="1" applyProtection="1">
      <alignment horizontal="center" vertical="center" wrapText="1"/>
      <protection locked="0"/>
    </xf>
    <xf numFmtId="0" fontId="169" fillId="0" borderId="24"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0" fontId="169" fillId="0" borderId="61" xfId="0" applyFont="1" applyFill="1" applyBorder="1" applyAlignment="1" applyProtection="1">
      <alignment horizontal="center" vertical="center" wrapText="1"/>
      <protection locked="0"/>
    </xf>
    <xf numFmtId="0" fontId="169" fillId="0" borderId="22" xfId="0" applyFont="1" applyFill="1" applyBorder="1" applyAlignment="1" applyProtection="1">
      <alignment horizontal="center" vertical="center" wrapText="1"/>
      <protection locked="0"/>
    </xf>
    <xf numFmtId="0" fontId="16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169" fillId="0" borderId="23" xfId="0" applyNumberFormat="1" applyFont="1" applyFill="1" applyBorder="1" applyAlignment="1" applyProtection="1">
      <alignment horizontal="center" vertical="center" wrapText="1"/>
      <protection locked="0"/>
    </xf>
    <xf numFmtId="0" fontId="169" fillId="0" borderId="24" xfId="0" applyNumberFormat="1" applyFont="1" applyFill="1" applyBorder="1" applyAlignment="1" applyProtection="1">
      <alignment horizontal="center" vertical="center" wrapText="1"/>
      <protection locked="0"/>
    </xf>
    <xf numFmtId="185" fontId="54" fillId="6" borderId="1" xfId="0" applyNumberFormat="1" applyFont="1" applyFill="1" applyBorder="1" applyAlignment="1" applyProtection="1">
      <alignment horizontal="center" vertical="center"/>
    </xf>
    <xf numFmtId="185"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2" fillId="6" borderId="13" xfId="0" applyNumberFormat="1" applyFont="1" applyFill="1" applyBorder="1" applyAlignment="1" applyProtection="1">
      <alignment horizontal="left" vertical="center"/>
    </xf>
    <xf numFmtId="0" fontId="102" fillId="6" borderId="15" xfId="0" applyNumberFormat="1" applyFont="1" applyFill="1" applyBorder="1" applyAlignment="1" applyProtection="1">
      <alignment horizontal="left" vertical="center"/>
    </xf>
    <xf numFmtId="0" fontId="102" fillId="6" borderId="2" xfId="0"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83"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5" fillId="6" borderId="0" xfId="0" applyNumberFormat="1" applyFont="1" applyFill="1" applyAlignment="1" applyProtection="1">
      <alignment horizontal="left" vertical="center"/>
    </xf>
    <xf numFmtId="0" fontId="102" fillId="6" borderId="1" xfId="0" applyNumberFormat="1" applyFont="1" applyFill="1" applyBorder="1" applyAlignment="1" applyProtection="1">
      <alignment horizontal="left"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7" xfId="0" applyNumberFormat="1" applyFont="1" applyFill="1" applyBorder="1" applyAlignment="1" applyProtection="1">
      <alignment horizontal="left" vertical="center"/>
    </xf>
    <xf numFmtId="0" fontId="110" fillId="6" borderId="15" xfId="0" applyNumberFormat="1" applyFont="1" applyFill="1" applyBorder="1" applyAlignment="1" applyProtection="1">
      <alignment horizontal="left" vertical="center"/>
    </xf>
    <xf numFmtId="0" fontId="110" fillId="6" borderId="74" xfId="0" applyNumberFormat="1" applyFont="1" applyFill="1" applyBorder="1" applyAlignment="1" applyProtection="1">
      <alignment horizontal="left" vertical="center"/>
    </xf>
    <xf numFmtId="0" fontId="110" fillId="6" borderId="40" xfId="0" applyNumberFormat="1" applyFont="1" applyFill="1" applyBorder="1" applyAlignment="1" applyProtection="1">
      <alignment horizontal="left" vertical="center"/>
    </xf>
    <xf numFmtId="0" fontId="110" fillId="6" borderId="14" xfId="0" applyNumberFormat="1" applyFont="1" applyFill="1" applyBorder="1" applyAlignment="1" applyProtection="1">
      <alignment horizontal="left" vertical="center"/>
    </xf>
    <xf numFmtId="0" fontId="110" fillId="6" borderId="12" xfId="0" applyNumberFormat="1" applyFont="1" applyFill="1" applyBorder="1" applyAlignment="1" applyProtection="1">
      <alignment horizontal="left" vertical="center"/>
    </xf>
    <xf numFmtId="0" fontId="110" fillId="6" borderId="13" xfId="0" applyNumberFormat="1" applyFont="1" applyFill="1" applyBorder="1" applyAlignment="1" applyProtection="1">
      <alignment horizontal="left" vertical="center"/>
    </xf>
    <xf numFmtId="0" fontId="110" fillId="6" borderId="6" xfId="0" applyNumberFormat="1" applyFont="1" applyFill="1" applyBorder="1" applyAlignment="1" applyProtection="1">
      <alignment horizontal="left" vertical="center"/>
    </xf>
    <xf numFmtId="0" fontId="110" fillId="6" borderId="23" xfId="0" applyNumberFormat="1" applyFont="1" applyFill="1" applyBorder="1" applyAlignment="1" applyProtection="1">
      <alignment horizontal="left" vertical="center"/>
    </xf>
    <xf numFmtId="0" fontId="110" fillId="6" borderId="25" xfId="0" applyNumberFormat="1" applyFont="1" applyFill="1" applyBorder="1" applyAlignment="1" applyProtection="1">
      <alignment horizontal="left" vertical="center"/>
    </xf>
    <xf numFmtId="0" fontId="110" fillId="6" borderId="2"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left" vertical="center"/>
    </xf>
    <xf numFmtId="0" fontId="257" fillId="6" borderId="6"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center" vertical="center"/>
    </xf>
    <xf numFmtId="0" fontId="257" fillId="6" borderId="56" xfId="0" applyNumberFormat="1" applyFont="1" applyFill="1" applyBorder="1" applyAlignment="1" applyProtection="1">
      <alignment horizontal="center" vertical="center"/>
    </xf>
    <xf numFmtId="0" fontId="124" fillId="6" borderId="0" xfId="0" applyFont="1" applyFill="1" applyAlignment="1" applyProtection="1">
      <alignment horizontal="left" vertical="center"/>
    </xf>
    <xf numFmtId="0" fontId="266" fillId="0" borderId="0" xfId="0" applyNumberFormat="1" applyFont="1" applyFill="1" applyAlignment="1">
      <alignment horizontal="center" vertical="center"/>
    </xf>
    <xf numFmtId="0" fontId="266" fillId="0" borderId="35" xfId="0" applyNumberFormat="1" applyFont="1" applyFill="1" applyBorder="1" applyAlignment="1">
      <alignment horizontal="center" vertical="center"/>
    </xf>
    <xf numFmtId="0" fontId="139" fillId="0" borderId="0" xfId="9" applyNumberFormat="1" applyFont="1" applyAlignment="1" applyProtection="1">
      <alignment horizontal="left" vertical="center"/>
    </xf>
    <xf numFmtId="0" fontId="105" fillId="0" borderId="0" xfId="9" applyNumberFormat="1" applyFont="1" applyAlignment="1" applyProtection="1">
      <alignment horizontal="left"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3" xfId="9" applyFont="1" applyFill="1" applyBorder="1" applyAlignment="1" applyProtection="1">
      <alignment horizontal="left" vertical="center" wrapText="1"/>
    </xf>
    <xf numFmtId="0" fontId="207" fillId="6" borderId="5" xfId="0" applyFont="1" applyFill="1" applyBorder="1" applyAlignment="1">
      <alignment horizontal="center" vertical="center"/>
    </xf>
    <xf numFmtId="0" fontId="207" fillId="6" borderId="3" xfId="0" applyFont="1" applyFill="1" applyBorder="1" applyAlignment="1">
      <alignment horizontal="center" vertical="center"/>
    </xf>
    <xf numFmtId="58" fontId="50" fillId="12" borderId="0" xfId="0" applyNumberFormat="1" applyFont="1" applyFill="1" applyAlignment="1" applyProtection="1">
      <alignment vertical="center"/>
      <protection locked="0"/>
    </xf>
    <xf numFmtId="43" fontId="110" fillId="0" borderId="0" xfId="24" applyNumberFormat="1" applyFont="1" applyAlignment="1">
      <alignment horizontal="center" vertical="center"/>
    </xf>
    <xf numFmtId="0" fontId="1" fillId="0" borderId="0" xfId="24" applyFont="1">
      <alignment vertical="center"/>
    </xf>
    <xf numFmtId="0" fontId="295" fillId="0" borderId="0" xfId="36" applyNumberFormat="1"/>
    <xf numFmtId="14" fontId="295" fillId="0" borderId="0" xfId="36" applyNumberFormat="1"/>
    <xf numFmtId="0" fontId="295" fillId="5" borderId="0" xfId="36" applyNumberFormat="1" applyFill="1"/>
    <xf numFmtId="14" fontId="295" fillId="5" borderId="0" xfId="36" applyNumberFormat="1" applyFill="1"/>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33334" cy="3361905"/>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361905"/>
        </a:xfrm>
        <a:prstGeom prst="rect">
          <a:avLst/>
        </a:prstGeom>
      </xdr:spPr>
    </xdr:pic>
    <xdr:clientData/>
  </xdr:oneCellAnchor>
  <xdr:oneCellAnchor>
    <xdr:from>
      <xdr:col>0</xdr:col>
      <xdr:colOff>0</xdr:colOff>
      <xdr:row>20</xdr:row>
      <xdr:rowOff>0</xdr:rowOff>
    </xdr:from>
    <xdr:ext cx="5914286" cy="2619048"/>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914286" cy="2619048"/>
        </a:xfrm>
        <a:prstGeom prst="rect">
          <a:avLst/>
        </a:prstGeom>
      </xdr:spPr>
    </xdr:pic>
    <xdr:clientData/>
  </xdr:oneCellAnchor>
  <xdr:oneCellAnchor>
    <xdr:from>
      <xdr:col>0</xdr:col>
      <xdr:colOff>0</xdr:colOff>
      <xdr:row>36</xdr:row>
      <xdr:rowOff>0</xdr:rowOff>
    </xdr:from>
    <xdr:ext cx="6619048" cy="2200000"/>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19048" cy="2200000"/>
        </a:xfrm>
        <a:prstGeom prst="rect">
          <a:avLst/>
        </a:prstGeom>
      </xdr:spPr>
    </xdr:pic>
    <xdr:clientData/>
  </xdr:oneCellAnchor>
  <xdr:oneCellAnchor>
    <xdr:from>
      <xdr:col>9</xdr:col>
      <xdr:colOff>628650</xdr:colOff>
      <xdr:row>21</xdr:row>
      <xdr:rowOff>133350</xdr:rowOff>
    </xdr:from>
    <xdr:ext cx="3133334" cy="2628572"/>
    <xdr:pic>
      <xdr:nvPicPr>
        <xdr:cNvPr id="5" name="图片 4"/>
        <xdr:cNvPicPr>
          <a:picLocks noChangeAspect="1"/>
        </xdr:cNvPicPr>
      </xdr:nvPicPr>
      <xdr:blipFill>
        <a:blip xmlns:r="http://schemas.openxmlformats.org/officeDocument/2006/relationships" r:embed="rId4"/>
        <a:stretch>
          <a:fillRect/>
        </a:stretch>
      </xdr:blipFill>
      <xdr:spPr>
        <a:xfrm>
          <a:off x="6800850" y="3733800"/>
          <a:ext cx="3133334" cy="2628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90476" cy="4514286"/>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52381" cy="5704762"/>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23810" cy="5714286"/>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4419048" cy="1876191"/>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6172200"/>
          <a:ext cx="4247619" cy="4171429"/>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4209524" cy="3076191"/>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0458450"/>
          <a:ext cx="4647619" cy="3476191"/>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4628572" cy="2895238"/>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4809524" cy="2428572"/>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14230350"/>
          <a:ext cx="4742857" cy="3028572"/>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01200" y="14230350"/>
          <a:ext cx="4590477" cy="2438095"/>
        </a:xfrm>
        <a:prstGeom prst="rect">
          <a:avLst/>
        </a:prstGeom>
      </xdr:spPr>
    </xdr:pic>
    <xdr:clientData/>
  </xdr:twoCellAnchor>
  <xdr:twoCellAnchor editAs="oneCell">
    <xdr:from>
      <xdr:col>15</xdr:col>
      <xdr:colOff>0</xdr:colOff>
      <xdr:row>0</xdr:row>
      <xdr:rowOff>0</xdr:rowOff>
    </xdr:from>
    <xdr:to>
      <xdr:col>19</xdr:col>
      <xdr:colOff>666324</xdr:colOff>
      <xdr:row>24</xdr:row>
      <xdr:rowOff>56629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0"/>
          <a:ext cx="3409524"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1">
          <cell r="A61" t="str">
            <v>交易情况</v>
          </cell>
          <cell r="C61" t="str">
            <v>正常</v>
          </cell>
          <cell r="D61" t="str">
            <v>报价</v>
          </cell>
        </row>
        <row r="63">
          <cell r="B63" t="str">
            <v>用途</v>
          </cell>
          <cell r="C63" t="str">
            <v>商业</v>
          </cell>
          <cell r="D63" t="str">
            <v>办公</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小</v>
          </cell>
          <cell r="G90" t="str">
            <v>较小</v>
          </cell>
        </row>
        <row r="92">
          <cell r="B92" t="str">
            <v>楼层</v>
          </cell>
          <cell r="C92" t="str">
            <v>1层</v>
          </cell>
          <cell r="D92" t="str">
            <v>1-2层</v>
          </cell>
          <cell r="E92" t="str">
            <v>2层</v>
          </cell>
          <cell r="F92" t="str">
            <v>3层</v>
          </cell>
        </row>
        <row r="100">
          <cell r="B100" t="str">
            <v>商业类型</v>
          </cell>
          <cell r="C100" t="str">
            <v>5星</v>
          </cell>
          <cell r="D100" t="str">
            <v>4星</v>
          </cell>
          <cell r="E100" t="str">
            <v>无</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办公</v>
          </cell>
          <cell r="D114" t="str">
            <v>酒店</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cell r="D61" t="str">
            <v>报价</v>
          </cell>
        </row>
        <row r="63">
          <cell r="B63" t="str">
            <v>用途</v>
          </cell>
          <cell r="C63">
            <v>0</v>
          </cell>
        </row>
        <row r="86">
          <cell r="B86" t="str">
            <v>楼层-1</v>
          </cell>
          <cell r="C86" t="str">
            <v>高区</v>
          </cell>
          <cell r="D86" t="str">
            <v>中区</v>
          </cell>
          <cell r="E86" t="str">
            <v>低区</v>
          </cell>
        </row>
        <row r="88">
          <cell r="B88" t="str">
            <v>朝向</v>
          </cell>
          <cell r="C88" t="str">
            <v>南北</v>
          </cell>
          <cell r="D88" t="str">
            <v>东南</v>
          </cell>
          <cell r="E88" t="str">
            <v>西南</v>
          </cell>
          <cell r="F88" t="str">
            <v>南</v>
          </cell>
          <cell r="G88" t="str">
            <v>东西</v>
          </cell>
          <cell r="H88" t="str">
            <v>东</v>
          </cell>
          <cell r="I88" t="str">
            <v>东北</v>
          </cell>
          <cell r="J88" t="str">
            <v>西</v>
          </cell>
          <cell r="K88" t="str">
            <v>西北</v>
          </cell>
          <cell r="L88" t="str">
            <v>北</v>
          </cell>
        </row>
        <row r="100">
          <cell r="B100" t="str">
            <v>建筑类型</v>
          </cell>
          <cell r="C100" t="str">
            <v>独栋</v>
          </cell>
          <cell r="D100" t="str">
            <v>双拼</v>
          </cell>
          <cell r="E100" t="str">
            <v>联排</v>
          </cell>
          <cell r="F100" t="str">
            <v>叠拼</v>
          </cell>
          <cell r="G100" t="str">
            <v>洋房</v>
          </cell>
          <cell r="H100" t="str">
            <v>小高层</v>
          </cell>
          <cell r="I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cell r="C118" t="str">
            <v>五居室</v>
          </cell>
          <cell r="D118" t="str">
            <v>四居室</v>
          </cell>
          <cell r="E118" t="str">
            <v>三居室</v>
          </cell>
          <cell r="F118" t="str">
            <v>二居室</v>
          </cell>
          <cell r="G118" t="str">
            <v>一居室</v>
          </cell>
          <cell r="H118" t="str">
            <v>开间</v>
          </cell>
        </row>
        <row r="122">
          <cell r="B122" t="str">
            <v>内部装修</v>
          </cell>
          <cell r="C122" t="str">
            <v>精装修</v>
          </cell>
          <cell r="D122" t="str">
            <v>普通装修</v>
          </cell>
          <cell r="E122" t="str">
            <v>简单装修</v>
          </cell>
          <cell r="F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2">
          <cell r="A72" t="str">
            <v>交易情况</v>
          </cell>
          <cell r="C72" t="str">
            <v>正常</v>
          </cell>
        </row>
        <row r="74">
          <cell r="B74" t="str">
            <v>用途</v>
          </cell>
          <cell r="C74" t="str">
            <v>商办</v>
          </cell>
          <cell r="D74" t="str">
            <v>F3</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北京市昌平区回龙观东大街318号院1号楼-1至5层房地产房地产市场价值预评估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受贵公司委托，我公司对北京市昌平区回龙观东大街318号院1号楼-1至5层房地产房地产市场价值进行了预评估。</v>
      </c>
    </row>
    <row r="7" spans="1:2" s="1201" customFormat="1">
      <c r="A7" s="1199" t="s">
        <v>566</v>
      </c>
      <c r="B7" s="1200" t="str">
        <f>'预评函-1'!A7</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2023年8月25日（评估专业人员实地查勘之日）</v>
      </c>
    </row>
    <row r="13" spans="1:2" s="1201" customFormat="1">
      <c r="A13" s="1199" t="s">
        <v>529</v>
      </c>
      <c r="B13" s="120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65329</v>
      </c>
    </row>
    <row r="21" spans="1:2" s="1201" customFormat="1">
      <c r="A21" s="1199" t="s">
        <v>537</v>
      </c>
      <c r="B21" s="1200">
        <f ca="1">'预评函-2'!D7</f>
        <v>25377</v>
      </c>
    </row>
    <row r="22" spans="1:2" s="1201" customFormat="1">
      <c r="A22" s="1199" t="s">
        <v>538</v>
      </c>
      <c r="B22" s="1200" t="str">
        <f ca="1">'预评函-2'!D6</f>
        <v>陆亿伍仟叁佰贰拾玖万元整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65329</v>
      </c>
    </row>
    <row r="31" spans="1:2" s="1201" customFormat="1">
      <c r="A31" s="1199" t="s">
        <v>576</v>
      </c>
      <c r="B31" s="1200">
        <f ca="1">'预评函-2'!D15</f>
        <v>25377</v>
      </c>
    </row>
    <row r="32" spans="1:2" s="1201" customFormat="1">
      <c r="A32" s="1199" t="s">
        <v>543</v>
      </c>
      <c r="B32" s="1200" t="str">
        <f ca="1">'预评函-2'!D14</f>
        <v>陆亿伍仟叁佰贰拾玖万元整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北京市昌平区回龙观东大街318号院1号楼-1至5层房地产房地产</v>
      </c>
    </row>
    <row r="42" spans="1:2" s="1201" customFormat="1">
      <c r="A42" s="1199" t="s">
        <v>590</v>
      </c>
      <c r="B42" s="1200" t="str">
        <f>'预评函-3'!B2</f>
        <v>建筑面积</v>
      </c>
    </row>
    <row r="43" spans="1:2" s="1201" customFormat="1">
      <c r="A43" s="1199" t="s">
        <v>591</v>
      </c>
      <c r="B43" s="1200">
        <f>'预评函-3'!B4</f>
        <v>25743.170000000006</v>
      </c>
    </row>
    <row r="44" spans="1:2" s="1201" customFormat="1">
      <c r="A44" s="1199" t="s">
        <v>575</v>
      </c>
      <c r="B44" s="1200" t="str">
        <f>'预评函-3'!C2</f>
        <v>(分摊)土地面积</v>
      </c>
    </row>
    <row r="45" spans="1:2" s="1201" customFormat="1">
      <c r="A45" s="1199" t="s">
        <v>547</v>
      </c>
      <c r="B45" s="1200">
        <f>'预评函-3'!C4</f>
        <v>26199.81</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2569</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2570</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2281</v>
      </c>
      <c r="C17" s="1545"/>
    </row>
    <row r="18" spans="1:3">
      <c r="A18" s="1544" t="s">
        <v>1046</v>
      </c>
      <c r="B18" s="1544" t="s">
        <v>2425</v>
      </c>
      <c r="C18" s="1545"/>
    </row>
    <row r="19" spans="1:3">
      <c r="A19" s="1544" t="s">
        <v>1047</v>
      </c>
      <c r="B19" s="1544" t="s">
        <v>3516</v>
      </c>
      <c r="C19" s="1545"/>
    </row>
    <row r="20" spans="1:3">
      <c r="A20" s="1544" t="s">
        <v>1048</v>
      </c>
      <c r="B20" s="1544" t="s">
        <v>3518</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2" t="s">
        <v>385</v>
      </c>
      <c r="C54" s="1549" t="s">
        <v>583</v>
      </c>
    </row>
    <row r="55" spans="1:4">
      <c r="A55" s="3591"/>
      <c r="B55" s="1552" t="s">
        <v>386</v>
      </c>
      <c r="C55" s="1549" t="s">
        <v>584</v>
      </c>
    </row>
    <row r="56" spans="1:4">
      <c r="A56" s="3591"/>
      <c r="B56" s="1552" t="s">
        <v>387</v>
      </c>
      <c r="C56" s="1549" t="s">
        <v>588</v>
      </c>
    </row>
    <row r="57" spans="1:4">
      <c r="A57" s="35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92" t="s">
        <v>2572</v>
      </c>
      <c r="J2" s="3592"/>
      <c r="K2" s="3592"/>
      <c r="L2" s="3592"/>
      <c r="M2" s="3592"/>
      <c r="N2" s="3592"/>
      <c r="O2" s="3592"/>
      <c r="P2" s="3592"/>
      <c r="Q2" s="3592"/>
      <c r="R2" s="3592"/>
    </row>
    <row r="3" spans="1:18">
      <c r="A3" s="3014" t="s">
        <v>2493</v>
      </c>
      <c r="B3" s="3015">
        <f>项目基本情况!D3</f>
        <v>45163</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13.32</v>
      </c>
      <c r="D6" s="3019">
        <f>IF(ISERROR(ROUND(POWER(1+E6,A6-C6)*(POWER(1+E6,C6)-1)/(POWER(1+E6,A6)-1),3)),0,ROUND(POWER(1+E6,A6-C6)*(POWER(1+E6,C6)-1)/(POWER(1+E6,A6)-1),4))</f>
        <v>0.47360000000000002</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33.340000000000003</v>
      </c>
      <c r="D7" s="3019">
        <f>IF(ISERROR(ROUND(POWER(1+E7,A7-C7)*(POWER(1+E7,C7)-1)/(POWER(1+E7,A7)-1),3)),0,ROUND(POWER(1+E7,A7-C7)*(POWER(1+E7,C7)-1)/(POWER(1+E7,A7)-1),4))</f>
        <v>0.77959999999999996</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70</v>
      </c>
      <c r="C11" s="3017" t="s">
        <v>2502</v>
      </c>
      <c r="D11" s="3023">
        <v>4.4999999999999998E-2</v>
      </c>
      <c r="E11" s="3017" t="s">
        <v>2503</v>
      </c>
      <c r="F11" s="3024">
        <f>ROUND(1-(1/(POWER(1+D11,B11))),4)</f>
        <v>0.95409999999999995</v>
      </c>
    </row>
    <row r="12" spans="1:18">
      <c r="A12" s="3014" t="s">
        <v>2504</v>
      </c>
      <c r="B12" s="3022">
        <v>40</v>
      </c>
      <c r="C12" s="3017" t="s">
        <v>2505</v>
      </c>
      <c r="D12" s="3023">
        <v>4.4999999999999998E-2</v>
      </c>
      <c r="E12" s="3017" t="s">
        <v>2506</v>
      </c>
      <c r="F12" s="3024">
        <f>ROUND(1-(1/(POWER(1+D12,B12))),4)</f>
        <v>0.82809999999999995</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4339.6899999999996</v>
      </c>
      <c r="C15" s="3017">
        <f>ROUND(F12/F11,4)</f>
        <v>0.8679</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5541.87</v>
      </c>
      <c r="C18" s="3026">
        <f>ROUND(F11/F12,4)</f>
        <v>1.1521999999999999</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2167</v>
      </c>
      <c r="B1" s="3593"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594"/>
      <c r="D1" s="3594"/>
      <c r="E1" s="3594"/>
      <c r="F1" s="3594"/>
      <c r="G1" s="3594"/>
      <c r="H1" s="3594"/>
      <c r="I1" s="3595"/>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1743"/>
      <c r="U1" s="1743"/>
      <c r="V1" s="1743"/>
      <c r="W1" s="1743"/>
      <c r="X1" s="1743"/>
      <c r="Y1" s="1743"/>
      <c r="Z1" s="1743"/>
      <c r="AA1" s="1743"/>
      <c r="AB1" s="1743"/>
    </row>
    <row r="2" spans="1:30">
      <c r="A2" s="2363" t="s">
        <v>2168</v>
      </c>
      <c r="B2" s="2367"/>
      <c r="C2" s="2368"/>
      <c r="D2" s="2664"/>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北京市昌平区回龙观东大街318号院1号楼-1至5层房地产房地产</v>
      </c>
      <c r="T2" s="1743"/>
      <c r="U2" s="1743"/>
      <c r="V2" s="1743"/>
      <c r="W2" s="1743"/>
      <c r="X2" s="1743"/>
      <c r="Y2" s="1743"/>
      <c r="Z2" s="1743"/>
      <c r="AA2" s="1743"/>
      <c r="AB2" s="1743"/>
    </row>
    <row r="3" spans="1:30">
      <c r="A3" s="302" t="s">
        <v>2169</v>
      </c>
      <c r="B3" s="2369">
        <v>45163</v>
      </c>
      <c r="C3" s="2370" t="s">
        <v>2170</v>
      </c>
      <c r="D3" s="2369">
        <f>B3</f>
        <v>45163</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2171</v>
      </c>
      <c r="B4" s="2371" t="s">
        <v>3368</v>
      </c>
      <c r="C4" s="2372">
        <f ca="1">SUMIF(注册房地产估价师,B4,估价师及机构信息!B3:B24)</f>
        <v>1120070131</v>
      </c>
      <c r="D4" s="2371" t="s">
        <v>3369</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2172</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2173</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2174</v>
      </c>
      <c r="B7" s="2383"/>
      <c r="C7" s="2381"/>
      <c r="D7" s="2382"/>
      <c r="E7" s="2656"/>
      <c r="F7" s="2658"/>
      <c r="G7" s="2658"/>
      <c r="H7" s="2658"/>
      <c r="I7" s="2658"/>
      <c r="J7" s="2434"/>
      <c r="K7" s="2610"/>
      <c r="L7" s="2607"/>
      <c r="M7" s="2607"/>
      <c r="N7" s="2434"/>
      <c r="O7" s="2445"/>
      <c r="P7" s="2434"/>
      <c r="Q7" s="2434"/>
      <c r="R7" s="2434"/>
    </row>
    <row r="8" spans="1:30">
      <c r="A8" s="2384" t="s">
        <v>2175</v>
      </c>
      <c r="B8" s="2385" t="s">
        <v>3370</v>
      </c>
      <c r="C8" s="2386"/>
      <c r="D8" s="3596" t="s">
        <v>2176</v>
      </c>
      <c r="E8" s="2387" t="s">
        <v>3371</v>
      </c>
      <c r="F8" s="2388"/>
      <c r="G8" s="2657"/>
      <c r="H8" s="2657"/>
      <c r="I8" s="2657"/>
      <c r="J8" s="2434"/>
      <c r="K8" s="2608"/>
      <c r="L8" s="2607"/>
      <c r="M8" s="2607"/>
      <c r="N8" s="2434"/>
      <c r="O8" s="2445"/>
      <c r="P8" s="2434"/>
      <c r="Q8" s="2434"/>
      <c r="R8" s="2434"/>
    </row>
    <row r="9" spans="1:30" ht="13.5" thickBot="1">
      <c r="A9" s="2389" t="s">
        <v>2177</v>
      </c>
      <c r="B9" s="2390" t="s">
        <v>3372</v>
      </c>
      <c r="C9" s="2391"/>
      <c r="D9" s="3597"/>
      <c r="E9" s="2390" t="s">
        <v>43</v>
      </c>
      <c r="F9" s="2392"/>
      <c r="G9" s="2659"/>
      <c r="H9" s="2659"/>
      <c r="I9" s="2659"/>
      <c r="J9" s="2434"/>
      <c r="K9" s="2610"/>
      <c r="L9" s="2607"/>
      <c r="M9" s="2607"/>
      <c r="N9" s="2434"/>
      <c r="O9" s="2445"/>
      <c r="P9" s="2434"/>
      <c r="Q9" s="2434"/>
      <c r="R9" s="2434"/>
    </row>
    <row r="10" spans="1:30" ht="13.5" thickTop="1">
      <c r="A10" s="2393" t="s">
        <v>2178</v>
      </c>
      <c r="B10" s="2394" t="s">
        <v>3373</v>
      </c>
      <c r="C10" s="2395"/>
      <c r="D10" s="2378"/>
      <c r="E10" s="2396" t="s">
        <v>2179</v>
      </c>
      <c r="F10" s="2660" t="s">
        <v>3506</v>
      </c>
      <c r="G10" s="2661"/>
      <c r="H10" s="2662"/>
      <c r="I10" s="2663"/>
      <c r="J10" s="2434"/>
      <c r="K10" s="2610"/>
      <c r="L10" s="2607"/>
      <c r="M10" s="2607"/>
      <c r="N10" s="2434"/>
      <c r="O10" s="2445"/>
      <c r="P10" s="2434"/>
      <c r="Q10" s="2434"/>
      <c r="R10" s="2434"/>
    </row>
    <row r="11" spans="1:30" ht="24">
      <c r="A11" s="2397" t="s">
        <v>2180</v>
      </c>
      <c r="B11" s="2398" t="s">
        <v>3374</v>
      </c>
      <c r="C11" s="3467" t="s">
        <v>3507</v>
      </c>
      <c r="D11" s="2399"/>
      <c r="E11" s="2366"/>
      <c r="F11" s="2366"/>
      <c r="G11" s="2366"/>
      <c r="H11" s="2366"/>
      <c r="I11" s="2366"/>
      <c r="J11" s="3055"/>
      <c r="K11" s="3054"/>
      <c r="L11" s="2607"/>
      <c r="M11" s="2607"/>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53" t="s">
        <v>2568</v>
      </c>
      <c r="J12" s="3056"/>
      <c r="K12" s="2607"/>
      <c r="L12" s="2607"/>
      <c r="M12" s="2434"/>
      <c r="N12" s="2445"/>
      <c r="O12" s="2434"/>
      <c r="P12" s="2434"/>
      <c r="Q12" s="2434"/>
      <c r="AD12" s="1743"/>
    </row>
    <row r="13" spans="1:30">
      <c r="A13" s="3417" t="s">
        <v>3326</v>
      </c>
      <c r="B13" s="2402" t="s">
        <v>2189</v>
      </c>
      <c r="C13" s="855"/>
      <c r="D13" s="855">
        <v>54546</v>
      </c>
      <c r="E13" s="855">
        <v>58198</v>
      </c>
      <c r="F13" s="855">
        <f>E13</f>
        <v>58198</v>
      </c>
      <c r="G13" s="855"/>
      <c r="H13" s="855"/>
      <c r="I13" s="855"/>
      <c r="J13" s="3056"/>
      <c r="K13" s="2607"/>
      <c r="L13" s="2607"/>
      <c r="M13" s="2434"/>
      <c r="N13" s="2445"/>
      <c r="O13" s="2434"/>
      <c r="P13" s="2434"/>
      <c r="Q13" s="2434"/>
      <c r="AD13" s="1743"/>
    </row>
    <row r="14" spans="1:30">
      <c r="A14" s="1080"/>
      <c r="B14" s="2402" t="s">
        <v>2190</v>
      </c>
      <c r="C14" s="2403">
        <v>70</v>
      </c>
      <c r="D14" s="2403">
        <v>40</v>
      </c>
      <c r="E14" s="2403">
        <v>50</v>
      </c>
      <c r="F14" s="2403">
        <v>50</v>
      </c>
      <c r="G14" s="2403">
        <v>50</v>
      </c>
      <c r="H14" s="2403">
        <v>50</v>
      </c>
      <c r="I14" s="2403">
        <v>50</v>
      </c>
      <c r="J14" s="3057"/>
      <c r="K14" s="2607"/>
      <c r="L14" s="2607"/>
      <c r="M14" s="2434"/>
      <c r="N14" s="2445"/>
      <c r="O14" s="2434"/>
      <c r="P14" s="2434"/>
      <c r="Q14" s="2434"/>
      <c r="AD14" s="1743"/>
    </row>
    <row r="15" spans="1:30">
      <c r="A15" s="320"/>
      <c r="B15" s="2404" t="s">
        <v>2191</v>
      </c>
      <c r="C15" s="2405" t="str">
        <f>IF(A13="出让",IF(C13="","",ROUNDDOWN(MIN((C13-$D$3)/365,C14),2)),C14)</f>
        <v/>
      </c>
      <c r="D15" s="2405">
        <f>IF(A13="出让",IF(D13="","",ROUNDDOWN(MIN((D13-$D$3)/365,D14),2)),D14)</f>
        <v>25.7</v>
      </c>
      <c r="E15" s="2405">
        <f>IF(A13="出让",IF(E13="","",ROUNDDOWN(MIN((E13-$D$3)/365,E14),2)),E14)</f>
        <v>35.71</v>
      </c>
      <c r="F15" s="2405">
        <f>IF(A13="出让",IF(F13="","",ROUNDDOWN(MIN((F13-$D$3)/365,F14),2)),F14)</f>
        <v>35.71</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3"/>
    </row>
    <row r="16" spans="1:30">
      <c r="A16" s="2396" t="s">
        <v>2192</v>
      </c>
      <c r="B16" s="3603"/>
      <c r="C16" s="3604"/>
      <c r="D16" s="3605"/>
      <c r="E16" s="2408" t="s">
        <v>2193</v>
      </c>
      <c r="F16" s="3606"/>
      <c r="G16" s="3607"/>
      <c r="H16" s="3607"/>
      <c r="I16" s="3608"/>
      <c r="J16" s="2434"/>
      <c r="K16" s="2611"/>
      <c r="L16" s="2446"/>
      <c r="M16" s="2446"/>
      <c r="N16" s="2503"/>
      <c r="O16" s="2446"/>
      <c r="P16" s="2503"/>
      <c r="Q16" s="2434"/>
      <c r="R16" s="2434"/>
    </row>
    <row r="17" spans="1:28">
      <c r="A17" s="313" t="s">
        <v>2194</v>
      </c>
      <c r="B17" s="302" t="s">
        <v>2195</v>
      </c>
      <c r="C17" s="8">
        <f>'数据-汇总表'!E3</f>
        <v>25743.170000000006</v>
      </c>
      <c r="D17" s="2318" t="s">
        <v>2196</v>
      </c>
      <c r="E17" s="3609" t="s">
        <v>2197</v>
      </c>
      <c r="F17" s="3610"/>
      <c r="G17" s="3610"/>
      <c r="H17" s="3610"/>
      <c r="I17" s="3611"/>
      <c r="J17" s="2434"/>
      <c r="K17" s="2612"/>
      <c r="L17" s="2446"/>
      <c r="M17" s="2446"/>
      <c r="N17" s="2503"/>
      <c r="O17" s="2446"/>
      <c r="P17" s="2503"/>
      <c r="Q17" s="2434"/>
      <c r="R17" s="2434"/>
      <c r="S17" s="2434"/>
      <c r="T17" s="2434"/>
      <c r="U17" s="2434"/>
      <c r="V17" s="2434"/>
    </row>
    <row r="18" spans="1:28" ht="24.75" thickBot="1">
      <c r="A18" s="2409" t="s">
        <v>2198</v>
      </c>
      <c r="B18" s="1089" t="s">
        <v>2199</v>
      </c>
      <c r="C18" s="2410">
        <f>'数据-汇总表'!D3</f>
        <v>26199.81</v>
      </c>
      <c r="D18" s="1091" t="s">
        <v>2200</v>
      </c>
      <c r="E18" s="3612" t="s">
        <v>2201</v>
      </c>
      <c r="F18" s="3613"/>
      <c r="G18" s="3613"/>
      <c r="H18" s="3613"/>
      <c r="I18" s="3614"/>
      <c r="J18" s="2434"/>
      <c r="K18" s="2612"/>
      <c r="L18" s="2446"/>
      <c r="M18" s="2446"/>
      <c r="N18" s="2503"/>
      <c r="O18" s="2446"/>
      <c r="P18" s="2503"/>
      <c r="Q18" s="2434"/>
      <c r="R18" s="2434"/>
      <c r="S18" s="2434"/>
      <c r="T18" s="2434"/>
      <c r="U18" s="2434"/>
      <c r="V18" s="2434"/>
    </row>
    <row r="19" spans="1:28" ht="37.5" thickTop="1" thickBot="1">
      <c r="A19" s="327" t="s">
        <v>1055</v>
      </c>
      <c r="B19" s="307" t="s">
        <v>2202</v>
      </c>
      <c r="C19" s="1561"/>
      <c r="D19" s="1562" t="s">
        <v>2203</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2204</v>
      </c>
      <c r="B20" s="3599" t="s">
        <v>2205</v>
      </c>
      <c r="C20" s="3600"/>
      <c r="D20" s="3601" t="s">
        <v>2206</v>
      </c>
      <c r="E20" s="3602"/>
      <c r="F20" s="2641" t="s">
        <v>1056</v>
      </c>
      <c r="G20" s="2658"/>
      <c r="H20" s="2658"/>
      <c r="I20" s="2658"/>
      <c r="J20" s="2434"/>
      <c r="K20" s="3598" t="s">
        <v>2207</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3508</v>
      </c>
      <c r="D21" s="1566"/>
      <c r="E21" s="2629"/>
      <c r="F21" s="2642"/>
      <c r="G21" s="2658"/>
      <c r="H21" s="2658"/>
      <c r="I21" s="2658"/>
      <c r="J21" s="2434"/>
      <c r="K21" s="359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2208</v>
      </c>
      <c r="C22" s="2628" t="s">
        <v>1057</v>
      </c>
      <c r="D22" s="2657"/>
      <c r="E22" s="2657"/>
      <c r="F22" s="2657"/>
      <c r="G22" s="2658"/>
      <c r="H22" s="2658"/>
      <c r="I22" s="2658"/>
      <c r="J22" s="2434"/>
      <c r="K22" s="359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2209</v>
      </c>
      <c r="B23" s="2496" t="s">
        <v>2210</v>
      </c>
      <c r="C23" s="2632"/>
      <c r="D23" s="2633" t="s">
        <v>2210</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616" t="s">
        <v>2211</v>
      </c>
      <c r="B27" s="320" t="s">
        <v>2212</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616"/>
      <c r="B28" s="302" t="s">
        <v>2213</v>
      </c>
      <c r="C28" s="2413" t="s">
        <v>3375</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616"/>
      <c r="B29" s="302" t="s">
        <v>2214</v>
      </c>
      <c r="C29" s="2415" t="s">
        <v>3376</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617"/>
      <c r="B30" s="302" t="s">
        <v>2215</v>
      </c>
      <c r="C30" s="3618"/>
      <c r="D30" s="3619"/>
      <c r="E30" s="2658"/>
      <c r="F30" s="2658"/>
      <c r="G30" s="2658"/>
      <c r="H30" s="2658"/>
      <c r="I30" s="2658"/>
      <c r="J30" s="2434"/>
      <c r="K30" s="2610"/>
      <c r="L30" s="2607"/>
      <c r="M30" s="2607"/>
      <c r="N30" s="2434"/>
      <c r="O30" s="2445"/>
      <c r="P30" s="2434"/>
      <c r="Q30" s="2434"/>
      <c r="R30" s="2434"/>
      <c r="S30" s="2434"/>
      <c r="T30" s="2434"/>
      <c r="U30" s="2434"/>
      <c r="V30" s="2434"/>
    </row>
    <row r="31" spans="1:28">
      <c r="A31" s="3620" t="s">
        <v>2216</v>
      </c>
      <c r="B31" s="2417" t="s">
        <v>3377</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621"/>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621"/>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2217</v>
      </c>
      <c r="B34" s="2022" t="s">
        <v>3378</v>
      </c>
      <c r="C34" s="2022" t="s">
        <v>3379</v>
      </c>
      <c r="D34" s="2022" t="s">
        <v>3380</v>
      </c>
      <c r="E34" s="2022" t="s">
        <v>3381</v>
      </c>
      <c r="F34" s="2022" t="s">
        <v>3382</v>
      </c>
      <c r="G34" s="2022" t="s">
        <v>3383</v>
      </c>
      <c r="H34" s="2022"/>
      <c r="I34" s="2658"/>
      <c r="J34" s="2434"/>
      <c r="K34" s="2422">
        <f>COUNTIF(B34:H34,"——")</f>
        <v>0</v>
      </c>
      <c r="L34" s="323" t="s">
        <v>2218</v>
      </c>
      <c r="M34" s="323" t="s">
        <v>2219</v>
      </c>
      <c r="N34" s="323" t="s">
        <v>2220</v>
      </c>
      <c r="O34" s="323" t="s">
        <v>2221</v>
      </c>
      <c r="P34" s="323" t="s">
        <v>2222</v>
      </c>
      <c r="Q34" s="323" t="s">
        <v>2223</v>
      </c>
      <c r="R34" s="323" t="s">
        <v>2224</v>
      </c>
      <c r="S34" s="3615" t="s">
        <v>2225</v>
      </c>
      <c r="T34" s="2423" t="str">
        <f>NUMBERSTRING(7-K34,1)&amp;"通"</f>
        <v>七通</v>
      </c>
      <c r="U34" s="2434"/>
      <c r="V34" s="2434"/>
    </row>
    <row r="35" spans="1:30">
      <c r="A35" s="2424"/>
      <c r="B35" s="3622" t="s">
        <v>2226</v>
      </c>
      <c r="C35" s="3622"/>
      <c r="D35" s="3622"/>
      <c r="E35" s="3622"/>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15"/>
      <c r="T35" s="329" t="str">
        <f>IF(T34="一通",L35,IF(T34="二通",M35,IF(T34="三通",N35,IF(T34="四通",O35,IF(T34="五通",P35,IF(T34="六通",Q35,R35))))))</f>
        <v>通路、通电、通讯、通上水、通下水、平整、</v>
      </c>
      <c r="U35" s="2434"/>
      <c r="V35" s="2434"/>
    </row>
    <row r="36" spans="1:30">
      <c r="A36" s="2425"/>
      <c r="B36" s="663" t="s">
        <v>2184</v>
      </c>
      <c r="C36" s="663" t="s">
        <v>2185</v>
      </c>
      <c r="D36" s="663" t="s">
        <v>2183</v>
      </c>
      <c r="E36" s="663" t="s">
        <v>2188</v>
      </c>
      <c r="F36" s="3059" t="s">
        <v>2571</v>
      </c>
      <c r="G36" s="2658"/>
      <c r="H36" s="2658"/>
      <c r="I36" s="2658"/>
      <c r="J36" s="2434"/>
      <c r="K36" s="2610"/>
      <c r="L36" s="2607"/>
      <c r="M36" s="2607"/>
      <c r="N36" s="2434"/>
      <c r="O36" s="2445"/>
      <c r="P36" s="2434"/>
      <c r="Q36" s="2434"/>
      <c r="R36" s="2434"/>
      <c r="S36" s="2434"/>
      <c r="T36" s="2434"/>
      <c r="U36" s="2434"/>
      <c r="V36" s="2434"/>
    </row>
    <row r="37" spans="1:30">
      <c r="A37" s="2624" t="s">
        <v>2227</v>
      </c>
      <c r="B37" s="2426" t="s">
        <v>29</v>
      </c>
      <c r="C37" s="2426" t="s">
        <v>29</v>
      </c>
      <c r="D37" s="2426" t="s">
        <v>29</v>
      </c>
      <c r="E37" s="2426" t="s">
        <v>29</v>
      </c>
      <c r="F37" s="2426" t="s">
        <v>29</v>
      </c>
      <c r="G37" s="2658"/>
      <c r="H37" s="2658"/>
      <c r="I37" s="2658"/>
      <c r="J37" s="2434"/>
      <c r="K37" s="2610"/>
      <c r="L37" s="2607"/>
      <c r="M37" s="2607"/>
      <c r="N37" s="2434"/>
      <c r="O37" s="2445"/>
      <c r="P37" s="2434"/>
      <c r="Q37" s="2434"/>
      <c r="R37" s="2434"/>
      <c r="S37" s="2434"/>
      <c r="T37" s="2434"/>
      <c r="U37" s="2434"/>
      <c r="V37" s="2434"/>
    </row>
    <row r="38" spans="1:30" ht="13.5" thickBot="1">
      <c r="A38" s="2625" t="s">
        <v>2228</v>
      </c>
      <c r="B38" s="2427" t="s">
        <v>300</v>
      </c>
      <c r="C38" s="2427" t="s">
        <v>300</v>
      </c>
      <c r="D38" s="2427" t="s">
        <v>300</v>
      </c>
      <c r="E38" s="2427" t="s">
        <v>300</v>
      </c>
      <c r="F38" s="2427" t="s">
        <v>300</v>
      </c>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2230</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26199.81</v>
      </c>
      <c r="B3" s="11">
        <f>IF(C3="否",G5-AT5,G5)</f>
        <v>25743.170000000006</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25743.170000000006</v>
      </c>
      <c r="H5" s="13">
        <f t="shared" ref="H5:AT5" si="0">SUM(H13:H656)</f>
        <v>25743.170000000006</v>
      </c>
      <c r="I5" s="13">
        <f t="shared" si="0"/>
        <v>23065.670000000006</v>
      </c>
      <c r="J5" s="13">
        <f t="shared" si="0"/>
        <v>0</v>
      </c>
      <c r="K5" s="13">
        <f t="shared" si="0"/>
        <v>2677.4999999999986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25743.170000000006</v>
      </c>
      <c r="BA5" s="15">
        <f t="shared" si="1"/>
        <v>25743.170000000006</v>
      </c>
      <c r="BB5" s="15">
        <f t="shared" si="1"/>
        <v>23065.670000000006</v>
      </c>
      <c r="BC5" s="15">
        <f t="shared" si="1"/>
        <v>2677.4999999999986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26199.809999999998</v>
      </c>
      <c r="F6" s="13" t="s">
        <v>0</v>
      </c>
      <c r="G6" s="13" t="s">
        <v>1</v>
      </c>
      <c r="H6" s="17">
        <f>SUMIF(I$12:AB$12,"总值",I6:AB6)</f>
        <v>26199.809999999998</v>
      </c>
      <c r="I6" s="13">
        <f t="shared" ref="I6:AB6" si="2">ROUND($A$3*I5/$B$3,2)</f>
        <v>23474.82</v>
      </c>
      <c r="J6" s="13">
        <f t="shared" si="2"/>
        <v>0</v>
      </c>
      <c r="K6" s="13">
        <f t="shared" si="2"/>
        <v>2724.99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26199.81</v>
      </c>
      <c r="AZ6" s="13" t="s">
        <v>2</v>
      </c>
      <c r="BA6" s="13">
        <f>ROUND($AY$6*BA5/$AZ$5,2)</f>
        <v>26199.81</v>
      </c>
      <c r="BB6" s="13">
        <f>ROUND($AY$6*BB5/$AZ$5,2)</f>
        <v>23474.82</v>
      </c>
      <c r="BC6" s="13">
        <f t="shared" ref="BC6:BH6" si="4">ROUND($AY$6*BC5/$AZ$5,2)</f>
        <v>2724.99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3509</v>
      </c>
      <c r="J9" s="808"/>
      <c r="K9" s="1601" t="s">
        <v>3511</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3327</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3510</v>
      </c>
      <c r="J11" s="1613"/>
      <c r="K11" s="1612" t="s">
        <v>3327</v>
      </c>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3384</v>
      </c>
      <c r="E13" s="13">
        <f>IF($C$3="是",ROUND($A$3*G13/$B$3,2),ROUND($A$3*(G13-AT13)/$B$3,2))</f>
        <v>26199.81</v>
      </c>
      <c r="F13" s="29"/>
      <c r="G13" s="30">
        <f>H13+AC13+AT13</f>
        <v>25743.170000000006</v>
      </c>
      <c r="H13" s="17">
        <f>SUMIF(I$12:AB$12,"总值",I13:AB13)</f>
        <v>25743.170000000006</v>
      </c>
      <c r="I13" s="1624">
        <f>面积清单!D65</f>
        <v>23065.670000000006</v>
      </c>
      <c r="J13" s="1624"/>
      <c r="K13" s="1624">
        <f>面积清单!H78</f>
        <v>2677.4999999999986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26199.81</v>
      </c>
      <c r="AZ13" s="13">
        <f>BA13+BL13</f>
        <v>25743.170000000006</v>
      </c>
      <c r="BA13" s="13">
        <f>SUM(BB13:BK13)</f>
        <v>25743.170000000006</v>
      </c>
      <c r="BB13" s="13">
        <f>IF($D13="是",I13-J13,0)</f>
        <v>23065.670000000006</v>
      </c>
      <c r="BC13" s="13">
        <f>IF($D13="是",K13-L13,0)</f>
        <v>2677.4999999999986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workbookViewId="0">
      <selection activeCell="L17" sqref="L17"/>
    </sheetView>
  </sheetViews>
  <sheetFormatPr defaultRowHeight="13.5"/>
  <cols>
    <col min="2" max="2" width="9" style="3476"/>
  </cols>
  <sheetData>
    <row r="1" spans="1:12">
      <c r="A1" s="3474" t="s">
        <v>3550</v>
      </c>
      <c r="B1" s="3475" t="s">
        <v>3551</v>
      </c>
      <c r="C1" s="3474" t="s">
        <v>3552</v>
      </c>
      <c r="D1" s="3474" t="s">
        <v>3553</v>
      </c>
      <c r="F1" s="3474" t="s">
        <v>3550</v>
      </c>
    </row>
    <row r="2" spans="1:12">
      <c r="B2" s="3476">
        <v>1</v>
      </c>
      <c r="C2">
        <v>107</v>
      </c>
      <c r="D2">
        <v>175.02</v>
      </c>
      <c r="F2">
        <v>1</v>
      </c>
      <c r="G2">
        <v>1001</v>
      </c>
      <c r="H2">
        <v>35.700000000000003</v>
      </c>
    </row>
    <row r="3" spans="1:12">
      <c r="B3" s="3476">
        <v>1</v>
      </c>
      <c r="C3">
        <v>109</v>
      </c>
      <c r="D3">
        <v>185.12</v>
      </c>
      <c r="F3">
        <v>2</v>
      </c>
      <c r="G3">
        <v>1002</v>
      </c>
      <c r="H3">
        <v>35.700000000000003</v>
      </c>
    </row>
    <row r="4" spans="1:12">
      <c r="B4" s="3476">
        <v>1</v>
      </c>
      <c r="C4">
        <v>110</v>
      </c>
      <c r="D4">
        <v>164.82</v>
      </c>
      <c r="F4">
        <v>3</v>
      </c>
      <c r="G4">
        <v>1003</v>
      </c>
      <c r="H4">
        <v>35.700000000000003</v>
      </c>
    </row>
    <row r="5" spans="1:12">
      <c r="B5" s="3476">
        <v>1</v>
      </c>
      <c r="C5">
        <v>115</v>
      </c>
      <c r="D5">
        <v>162.44</v>
      </c>
      <c r="F5">
        <v>4</v>
      </c>
      <c r="G5">
        <v>1004</v>
      </c>
      <c r="H5">
        <v>35.700000000000003</v>
      </c>
    </row>
    <row r="6" spans="1:12">
      <c r="B6" s="3476">
        <v>1</v>
      </c>
      <c r="C6">
        <v>118</v>
      </c>
      <c r="D6">
        <v>204.62</v>
      </c>
      <c r="F6">
        <v>5</v>
      </c>
      <c r="G6">
        <v>1005</v>
      </c>
      <c r="H6">
        <v>35.700000000000003</v>
      </c>
    </row>
    <row r="7" spans="1:12">
      <c r="B7" s="3476">
        <v>1</v>
      </c>
      <c r="C7">
        <v>121</v>
      </c>
      <c r="D7">
        <v>240.72</v>
      </c>
      <c r="F7">
        <v>6</v>
      </c>
      <c r="G7">
        <v>1006</v>
      </c>
      <c r="H7">
        <v>35.700000000000003</v>
      </c>
    </row>
    <row r="8" spans="1:12">
      <c r="B8" s="3475" t="s">
        <v>3554</v>
      </c>
      <c r="C8">
        <v>124</v>
      </c>
      <c r="D8">
        <v>133.81</v>
      </c>
      <c r="F8">
        <v>7</v>
      </c>
      <c r="G8">
        <v>1007</v>
      </c>
      <c r="H8">
        <v>35.700000000000003</v>
      </c>
    </row>
    <row r="9" spans="1:12">
      <c r="B9" s="3475" t="s">
        <v>3556</v>
      </c>
      <c r="C9">
        <v>101</v>
      </c>
      <c r="D9">
        <v>564.66</v>
      </c>
      <c r="F9">
        <v>8</v>
      </c>
      <c r="G9">
        <v>1008</v>
      </c>
      <c r="H9">
        <v>35.700000000000003</v>
      </c>
    </row>
    <row r="10" spans="1:12">
      <c r="B10" s="3475" t="s">
        <v>3557</v>
      </c>
      <c r="C10">
        <v>102</v>
      </c>
      <c r="D10">
        <v>487.37</v>
      </c>
      <c r="F10">
        <v>9</v>
      </c>
      <c r="G10">
        <v>1009</v>
      </c>
      <c r="H10">
        <v>35.700000000000003</v>
      </c>
    </row>
    <row r="11" spans="1:12">
      <c r="B11" s="3475" t="s">
        <v>3555</v>
      </c>
      <c r="C11">
        <v>104</v>
      </c>
      <c r="D11">
        <v>489.38</v>
      </c>
      <c r="F11">
        <v>10</v>
      </c>
      <c r="G11">
        <v>1010</v>
      </c>
      <c r="H11">
        <v>35.700000000000003</v>
      </c>
    </row>
    <row r="12" spans="1:12">
      <c r="B12" s="3475" t="s">
        <v>3557</v>
      </c>
      <c r="C12">
        <v>105</v>
      </c>
      <c r="D12">
        <v>440.2</v>
      </c>
      <c r="F12">
        <v>11</v>
      </c>
      <c r="G12">
        <v>1011</v>
      </c>
      <c r="H12">
        <v>35.700000000000003</v>
      </c>
      <c r="K12" s="3474" t="s">
        <v>3772</v>
      </c>
      <c r="L12">
        <f>SUM(D2:D7)</f>
        <v>1132.74</v>
      </c>
    </row>
    <row r="13" spans="1:12">
      <c r="B13" s="3475" t="s">
        <v>3555</v>
      </c>
      <c r="C13">
        <v>106</v>
      </c>
      <c r="D13">
        <v>413.67</v>
      </c>
      <c r="F13">
        <v>12</v>
      </c>
      <c r="G13">
        <v>1012</v>
      </c>
      <c r="H13">
        <v>35.700000000000003</v>
      </c>
      <c r="K13" s="3474" t="s">
        <v>3773</v>
      </c>
      <c r="L13">
        <f>SUM(D8:D28)</f>
        <v>9161.09</v>
      </c>
    </row>
    <row r="14" spans="1:12">
      <c r="B14" s="3475" t="s">
        <v>3557</v>
      </c>
      <c r="C14">
        <v>108</v>
      </c>
      <c r="D14">
        <v>520.91999999999996</v>
      </c>
      <c r="F14">
        <v>13</v>
      </c>
      <c r="G14">
        <v>1013</v>
      </c>
      <c r="H14">
        <v>35.700000000000003</v>
      </c>
      <c r="K14" s="3474" t="s">
        <v>3774</v>
      </c>
      <c r="L14">
        <f>SUM(D29:D40)</f>
        <v>4257.28</v>
      </c>
    </row>
    <row r="15" spans="1:12">
      <c r="B15" s="3475" t="s">
        <v>3555</v>
      </c>
      <c r="C15">
        <v>111</v>
      </c>
      <c r="D15">
        <v>462.43</v>
      </c>
      <c r="F15">
        <v>14</v>
      </c>
      <c r="G15">
        <v>1014</v>
      </c>
      <c r="H15">
        <v>35.700000000000003</v>
      </c>
      <c r="K15" s="3474" t="s">
        <v>3775</v>
      </c>
      <c r="L15">
        <f>SUM(D41:D52)</f>
        <v>4257.28</v>
      </c>
    </row>
    <row r="16" spans="1:12">
      <c r="B16" s="3475" t="s">
        <v>3557</v>
      </c>
      <c r="C16">
        <v>112</v>
      </c>
      <c r="D16">
        <v>402.24</v>
      </c>
      <c r="F16">
        <v>15</v>
      </c>
      <c r="G16">
        <v>1015</v>
      </c>
      <c r="H16">
        <v>35.700000000000003</v>
      </c>
      <c r="K16" s="3474" t="s">
        <v>3776</v>
      </c>
      <c r="L16">
        <f>SUM(D53:D64)</f>
        <v>4257.28</v>
      </c>
    </row>
    <row r="17" spans="2:8">
      <c r="B17" s="3475" t="s">
        <v>3555</v>
      </c>
      <c r="C17">
        <v>113</v>
      </c>
      <c r="D17">
        <v>507.89</v>
      </c>
      <c r="F17">
        <v>16</v>
      </c>
      <c r="G17">
        <v>1016</v>
      </c>
      <c r="H17">
        <v>35.700000000000003</v>
      </c>
    </row>
    <row r="18" spans="2:8">
      <c r="B18" s="3475" t="s">
        <v>3557</v>
      </c>
      <c r="C18">
        <v>114</v>
      </c>
      <c r="D18">
        <v>407.77</v>
      </c>
      <c r="F18">
        <v>17</v>
      </c>
      <c r="G18">
        <v>1017</v>
      </c>
      <c r="H18">
        <v>35.700000000000003</v>
      </c>
    </row>
    <row r="19" spans="2:8">
      <c r="B19" s="3475" t="s">
        <v>3555</v>
      </c>
      <c r="C19">
        <v>116</v>
      </c>
      <c r="D19">
        <v>543.46</v>
      </c>
      <c r="F19">
        <v>18</v>
      </c>
      <c r="G19">
        <v>1018</v>
      </c>
      <c r="H19">
        <v>35.700000000000003</v>
      </c>
    </row>
    <row r="20" spans="2:8">
      <c r="B20" s="3475" t="s">
        <v>3557</v>
      </c>
      <c r="C20">
        <v>117</v>
      </c>
      <c r="D20">
        <v>411.15</v>
      </c>
      <c r="F20">
        <v>19</v>
      </c>
      <c r="G20">
        <v>1019</v>
      </c>
      <c r="H20">
        <v>35.700000000000003</v>
      </c>
    </row>
    <row r="21" spans="2:8">
      <c r="B21" s="3475" t="s">
        <v>3555</v>
      </c>
      <c r="C21">
        <v>119</v>
      </c>
      <c r="D21">
        <v>450.21</v>
      </c>
      <c r="F21">
        <v>20</v>
      </c>
      <c r="G21">
        <v>1020</v>
      </c>
      <c r="H21">
        <v>35.700000000000003</v>
      </c>
    </row>
    <row r="22" spans="2:8">
      <c r="B22" s="3475" t="s">
        <v>3557</v>
      </c>
      <c r="C22">
        <v>120</v>
      </c>
      <c r="D22">
        <v>395.69</v>
      </c>
      <c r="F22">
        <v>21</v>
      </c>
      <c r="G22">
        <v>1021</v>
      </c>
      <c r="H22">
        <v>35.700000000000003</v>
      </c>
    </row>
    <row r="23" spans="2:8">
      <c r="B23" s="3475" t="s">
        <v>3555</v>
      </c>
      <c r="C23">
        <v>122</v>
      </c>
      <c r="D23">
        <v>503.92</v>
      </c>
      <c r="F23">
        <v>22</v>
      </c>
      <c r="G23">
        <v>1022</v>
      </c>
      <c r="H23">
        <v>35.700000000000003</v>
      </c>
    </row>
    <row r="24" spans="2:8">
      <c r="B24" s="3475" t="s">
        <v>3557</v>
      </c>
      <c r="C24">
        <v>123</v>
      </c>
      <c r="D24">
        <v>505.68</v>
      </c>
      <c r="F24">
        <v>23</v>
      </c>
      <c r="G24">
        <v>1023</v>
      </c>
      <c r="H24">
        <v>35.700000000000003</v>
      </c>
    </row>
    <row r="25" spans="2:8">
      <c r="B25" s="3475" t="s">
        <v>3555</v>
      </c>
      <c r="C25">
        <v>125</v>
      </c>
      <c r="D25">
        <v>289.5</v>
      </c>
      <c r="F25">
        <v>24</v>
      </c>
      <c r="G25">
        <v>1024</v>
      </c>
      <c r="H25">
        <v>35.700000000000003</v>
      </c>
    </row>
    <row r="26" spans="2:8">
      <c r="B26" s="3475" t="s">
        <v>3557</v>
      </c>
      <c r="C26">
        <v>126</v>
      </c>
      <c r="D26">
        <v>400.58</v>
      </c>
      <c r="F26">
        <v>25</v>
      </c>
      <c r="G26">
        <v>1025</v>
      </c>
      <c r="H26">
        <v>35.700000000000003</v>
      </c>
    </row>
    <row r="27" spans="2:8">
      <c r="B27" s="3475" t="s">
        <v>3555</v>
      </c>
      <c r="C27">
        <v>127</v>
      </c>
      <c r="D27">
        <v>381.88</v>
      </c>
      <c r="F27">
        <v>26</v>
      </c>
      <c r="G27">
        <v>1026</v>
      </c>
      <c r="H27">
        <v>35.700000000000003</v>
      </c>
    </row>
    <row r="28" spans="2:8">
      <c r="B28" s="3475" t="s">
        <v>3555</v>
      </c>
      <c r="C28">
        <v>128</v>
      </c>
      <c r="D28">
        <v>448.68</v>
      </c>
      <c r="F28">
        <v>27</v>
      </c>
      <c r="G28">
        <v>1027</v>
      </c>
      <c r="H28">
        <v>35.700000000000003</v>
      </c>
    </row>
    <row r="29" spans="2:8">
      <c r="B29" s="3475" t="s">
        <v>3559</v>
      </c>
      <c r="C29">
        <v>301</v>
      </c>
      <c r="D29">
        <v>271.58999999999997</v>
      </c>
      <c r="F29">
        <v>28</v>
      </c>
      <c r="G29">
        <v>1028</v>
      </c>
      <c r="H29">
        <v>35.700000000000003</v>
      </c>
    </row>
    <row r="30" spans="2:8">
      <c r="B30" s="3475" t="s">
        <v>3558</v>
      </c>
      <c r="C30">
        <v>302</v>
      </c>
      <c r="D30">
        <v>423.87</v>
      </c>
      <c r="F30">
        <v>29</v>
      </c>
      <c r="G30">
        <v>1029</v>
      </c>
      <c r="H30">
        <v>35.700000000000003</v>
      </c>
    </row>
    <row r="31" spans="2:8">
      <c r="B31" s="3475" t="s">
        <v>3558</v>
      </c>
      <c r="C31">
        <v>303</v>
      </c>
      <c r="D31">
        <v>412.45</v>
      </c>
      <c r="F31">
        <v>30</v>
      </c>
      <c r="G31">
        <v>1030</v>
      </c>
      <c r="H31">
        <v>35.700000000000003</v>
      </c>
    </row>
    <row r="32" spans="2:8">
      <c r="B32" s="3475" t="s">
        <v>3558</v>
      </c>
      <c r="C32">
        <v>304</v>
      </c>
      <c r="D32">
        <v>241.84</v>
      </c>
      <c r="F32">
        <v>31</v>
      </c>
      <c r="G32">
        <v>1031</v>
      </c>
      <c r="H32">
        <v>35.700000000000003</v>
      </c>
    </row>
    <row r="33" spans="2:8">
      <c r="B33" s="3475" t="s">
        <v>3558</v>
      </c>
      <c r="C33">
        <v>305</v>
      </c>
      <c r="D33">
        <v>339.57</v>
      </c>
      <c r="F33">
        <v>32</v>
      </c>
      <c r="G33">
        <v>1032</v>
      </c>
      <c r="H33">
        <v>35.700000000000003</v>
      </c>
    </row>
    <row r="34" spans="2:8">
      <c r="B34" s="3475" t="s">
        <v>3558</v>
      </c>
      <c r="C34">
        <v>306</v>
      </c>
      <c r="D34">
        <v>431.18</v>
      </c>
      <c r="F34">
        <v>33</v>
      </c>
      <c r="G34">
        <v>1033</v>
      </c>
      <c r="H34">
        <v>35.700000000000003</v>
      </c>
    </row>
    <row r="35" spans="2:8">
      <c r="B35" s="3475" t="s">
        <v>3558</v>
      </c>
      <c r="C35">
        <v>307</v>
      </c>
      <c r="D35">
        <v>325.16000000000003</v>
      </c>
      <c r="F35">
        <v>34</v>
      </c>
      <c r="G35">
        <v>1034</v>
      </c>
      <c r="H35">
        <v>35.700000000000003</v>
      </c>
    </row>
    <row r="36" spans="2:8">
      <c r="B36" s="3475" t="s">
        <v>3558</v>
      </c>
      <c r="C36">
        <v>308</v>
      </c>
      <c r="D36">
        <v>409.15</v>
      </c>
      <c r="F36">
        <v>35</v>
      </c>
      <c r="G36">
        <v>1035</v>
      </c>
      <c r="H36">
        <v>35.700000000000003</v>
      </c>
    </row>
    <row r="37" spans="2:8">
      <c r="B37" s="3475" t="s">
        <v>3558</v>
      </c>
      <c r="C37">
        <v>309</v>
      </c>
      <c r="D37">
        <v>233.42</v>
      </c>
      <c r="F37">
        <v>36</v>
      </c>
      <c r="G37">
        <v>1036</v>
      </c>
      <c r="H37">
        <v>35.700000000000003</v>
      </c>
    </row>
    <row r="38" spans="2:8">
      <c r="B38" s="3475" t="s">
        <v>3558</v>
      </c>
      <c r="C38">
        <v>310</v>
      </c>
      <c r="D38">
        <v>412.88</v>
      </c>
      <c r="F38">
        <v>37</v>
      </c>
      <c r="G38">
        <v>1037</v>
      </c>
      <c r="H38">
        <v>35.700000000000003</v>
      </c>
    </row>
    <row r="39" spans="2:8">
      <c r="B39" s="3475" t="s">
        <v>3558</v>
      </c>
      <c r="C39">
        <v>311</v>
      </c>
      <c r="D39">
        <v>400.45</v>
      </c>
      <c r="F39">
        <v>38</v>
      </c>
      <c r="G39">
        <v>1038</v>
      </c>
      <c r="H39">
        <v>35.700000000000003</v>
      </c>
    </row>
    <row r="40" spans="2:8">
      <c r="B40" s="3475" t="s">
        <v>3558</v>
      </c>
      <c r="C40">
        <v>312</v>
      </c>
      <c r="D40">
        <v>355.72</v>
      </c>
      <c r="F40">
        <v>39</v>
      </c>
      <c r="G40">
        <v>1039</v>
      </c>
      <c r="H40">
        <v>35.700000000000003</v>
      </c>
    </row>
    <row r="41" spans="2:8">
      <c r="B41" s="3475" t="s">
        <v>3561</v>
      </c>
      <c r="C41">
        <v>401</v>
      </c>
      <c r="D41">
        <v>271.58999999999997</v>
      </c>
      <c r="F41">
        <v>40</v>
      </c>
      <c r="G41">
        <v>1040</v>
      </c>
      <c r="H41">
        <v>35.700000000000003</v>
      </c>
    </row>
    <row r="42" spans="2:8">
      <c r="B42" s="3475" t="s">
        <v>3560</v>
      </c>
      <c r="C42">
        <v>402</v>
      </c>
      <c r="D42">
        <v>423.87</v>
      </c>
      <c r="F42">
        <v>41</v>
      </c>
      <c r="G42">
        <v>1041</v>
      </c>
      <c r="H42">
        <v>35.700000000000003</v>
      </c>
    </row>
    <row r="43" spans="2:8">
      <c r="B43" s="3475" t="s">
        <v>3560</v>
      </c>
      <c r="C43">
        <v>403</v>
      </c>
      <c r="D43">
        <v>412.45</v>
      </c>
      <c r="F43">
        <v>42</v>
      </c>
      <c r="G43">
        <v>1042</v>
      </c>
      <c r="H43">
        <v>35.700000000000003</v>
      </c>
    </row>
    <row r="44" spans="2:8">
      <c r="B44" s="3475" t="s">
        <v>3560</v>
      </c>
      <c r="C44">
        <v>404</v>
      </c>
      <c r="D44">
        <v>241.84</v>
      </c>
      <c r="F44">
        <v>43</v>
      </c>
      <c r="G44">
        <v>1043</v>
      </c>
      <c r="H44">
        <v>35.700000000000003</v>
      </c>
    </row>
    <row r="45" spans="2:8">
      <c r="B45" s="3475" t="s">
        <v>3560</v>
      </c>
      <c r="C45">
        <v>405</v>
      </c>
      <c r="D45">
        <v>339.57</v>
      </c>
      <c r="F45">
        <v>44</v>
      </c>
      <c r="G45">
        <v>1044</v>
      </c>
      <c r="H45">
        <v>35.700000000000003</v>
      </c>
    </row>
    <row r="46" spans="2:8">
      <c r="B46" s="3475" t="s">
        <v>3560</v>
      </c>
      <c r="C46">
        <v>406</v>
      </c>
      <c r="D46">
        <v>431.18</v>
      </c>
      <c r="F46">
        <v>45</v>
      </c>
      <c r="G46">
        <v>1045</v>
      </c>
      <c r="H46">
        <v>35.700000000000003</v>
      </c>
    </row>
    <row r="47" spans="2:8" ht="14.25" customHeight="1">
      <c r="B47" s="3475" t="s">
        <v>3560</v>
      </c>
      <c r="C47">
        <v>407</v>
      </c>
      <c r="D47">
        <v>325.16000000000003</v>
      </c>
      <c r="F47">
        <v>46</v>
      </c>
      <c r="G47">
        <v>1046</v>
      </c>
      <c r="H47">
        <v>35.700000000000003</v>
      </c>
    </row>
    <row r="48" spans="2:8">
      <c r="B48" s="3475" t="s">
        <v>3560</v>
      </c>
      <c r="C48">
        <v>408</v>
      </c>
      <c r="D48">
        <v>409.15</v>
      </c>
      <c r="F48">
        <v>47</v>
      </c>
      <c r="G48">
        <v>1047</v>
      </c>
      <c r="H48">
        <v>35.700000000000003</v>
      </c>
    </row>
    <row r="49" spans="2:8">
      <c r="B49" s="3475" t="s">
        <v>3560</v>
      </c>
      <c r="C49">
        <v>409</v>
      </c>
      <c r="D49">
        <v>233.42</v>
      </c>
      <c r="F49">
        <v>48</v>
      </c>
      <c r="G49">
        <v>1048</v>
      </c>
      <c r="H49">
        <v>35.700000000000003</v>
      </c>
    </row>
    <row r="50" spans="2:8" ht="14.25" customHeight="1">
      <c r="B50" s="3475" t="s">
        <v>3560</v>
      </c>
      <c r="C50">
        <v>410</v>
      </c>
      <c r="D50">
        <v>412.88</v>
      </c>
      <c r="F50">
        <v>49</v>
      </c>
      <c r="G50">
        <v>1049</v>
      </c>
      <c r="H50">
        <v>35.700000000000003</v>
      </c>
    </row>
    <row r="51" spans="2:8" ht="14.25" customHeight="1">
      <c r="B51" s="3475" t="s">
        <v>3723</v>
      </c>
      <c r="C51">
        <v>411</v>
      </c>
      <c r="D51">
        <v>400.45</v>
      </c>
    </row>
    <row r="52" spans="2:8">
      <c r="B52" s="3475" t="s">
        <v>3560</v>
      </c>
      <c r="C52">
        <v>412</v>
      </c>
      <c r="D52">
        <v>355.72</v>
      </c>
      <c r="F52">
        <v>50</v>
      </c>
      <c r="G52">
        <v>1050</v>
      </c>
      <c r="H52">
        <v>35.700000000000003</v>
      </c>
    </row>
    <row r="53" spans="2:8">
      <c r="B53" s="3475" t="s">
        <v>3725</v>
      </c>
      <c r="C53">
        <v>501</v>
      </c>
      <c r="D53">
        <v>271.58999999999997</v>
      </c>
      <c r="F53">
        <v>51</v>
      </c>
      <c r="G53">
        <v>1051</v>
      </c>
      <c r="H53">
        <v>35.700000000000003</v>
      </c>
    </row>
    <row r="54" spans="2:8">
      <c r="B54" s="3475" t="s">
        <v>3725</v>
      </c>
      <c r="C54">
        <v>502</v>
      </c>
      <c r="D54">
        <v>423.87</v>
      </c>
      <c r="F54">
        <v>52</v>
      </c>
      <c r="G54">
        <v>1052</v>
      </c>
      <c r="H54">
        <v>35.700000000000003</v>
      </c>
    </row>
    <row r="55" spans="2:8">
      <c r="B55" s="3475" t="s">
        <v>3724</v>
      </c>
      <c r="C55">
        <v>503</v>
      </c>
      <c r="D55">
        <v>412.45</v>
      </c>
      <c r="F55">
        <v>53</v>
      </c>
      <c r="G55">
        <v>1053</v>
      </c>
      <c r="H55">
        <v>35.700000000000003</v>
      </c>
    </row>
    <row r="56" spans="2:8">
      <c r="B56" s="3475" t="s">
        <v>3724</v>
      </c>
      <c r="C56">
        <v>504</v>
      </c>
      <c r="D56">
        <v>241.84</v>
      </c>
      <c r="F56">
        <v>54</v>
      </c>
      <c r="G56">
        <v>1054</v>
      </c>
      <c r="H56">
        <v>35.700000000000003</v>
      </c>
    </row>
    <row r="57" spans="2:8">
      <c r="B57" s="3475" t="s">
        <v>3724</v>
      </c>
      <c r="C57">
        <v>505</v>
      </c>
      <c r="D57">
        <v>339.57</v>
      </c>
      <c r="F57">
        <v>55</v>
      </c>
      <c r="G57">
        <v>1055</v>
      </c>
      <c r="H57">
        <v>35.700000000000003</v>
      </c>
    </row>
    <row r="58" spans="2:8">
      <c r="B58" s="3475" t="s">
        <v>3724</v>
      </c>
      <c r="C58">
        <v>506</v>
      </c>
      <c r="D58">
        <v>431.18</v>
      </c>
      <c r="F58">
        <v>56</v>
      </c>
      <c r="G58">
        <v>1056</v>
      </c>
      <c r="H58">
        <v>35.700000000000003</v>
      </c>
    </row>
    <row r="59" spans="2:8">
      <c r="B59" s="3475" t="s">
        <v>3724</v>
      </c>
      <c r="C59">
        <v>507</v>
      </c>
      <c r="D59">
        <v>325.16000000000003</v>
      </c>
      <c r="F59">
        <v>57</v>
      </c>
      <c r="G59">
        <v>1057</v>
      </c>
      <c r="H59">
        <v>35.700000000000003</v>
      </c>
    </row>
    <row r="60" spans="2:8">
      <c r="B60" s="3475" t="s">
        <v>3724</v>
      </c>
      <c r="C60">
        <v>508</v>
      </c>
      <c r="D60">
        <v>409.15</v>
      </c>
      <c r="F60">
        <v>58</v>
      </c>
      <c r="G60">
        <v>1058</v>
      </c>
      <c r="H60">
        <v>35.700000000000003</v>
      </c>
    </row>
    <row r="61" spans="2:8">
      <c r="B61" s="3475" t="s">
        <v>3724</v>
      </c>
      <c r="C61">
        <v>509</v>
      </c>
      <c r="D61">
        <v>233.42</v>
      </c>
      <c r="F61">
        <v>59</v>
      </c>
      <c r="G61">
        <v>1059</v>
      </c>
      <c r="H61">
        <v>35.700000000000003</v>
      </c>
    </row>
    <row r="62" spans="2:8">
      <c r="B62" s="3475" t="s">
        <v>3724</v>
      </c>
      <c r="C62">
        <v>510</v>
      </c>
      <c r="D62">
        <v>412.88</v>
      </c>
      <c r="F62">
        <v>60</v>
      </c>
      <c r="G62">
        <v>1060</v>
      </c>
      <c r="H62">
        <v>35.700000000000003</v>
      </c>
    </row>
    <row r="63" spans="2:8">
      <c r="B63" s="3475" t="s">
        <v>3724</v>
      </c>
      <c r="C63">
        <v>511</v>
      </c>
      <c r="D63">
        <v>400.45</v>
      </c>
      <c r="F63">
        <v>61</v>
      </c>
      <c r="G63">
        <v>1061</v>
      </c>
      <c r="H63">
        <v>35.700000000000003</v>
      </c>
    </row>
    <row r="64" spans="2:8">
      <c r="B64" s="3475" t="s">
        <v>3724</v>
      </c>
      <c r="C64">
        <v>512</v>
      </c>
      <c r="D64">
        <v>355.72</v>
      </c>
      <c r="F64">
        <v>62</v>
      </c>
      <c r="G64">
        <v>1062</v>
      </c>
      <c r="H64">
        <v>35.700000000000003</v>
      </c>
    </row>
    <row r="65" spans="3:8">
      <c r="D65">
        <f>SUM(D2:D64)</f>
        <v>23065.670000000006</v>
      </c>
      <c r="F65">
        <v>63</v>
      </c>
      <c r="G65">
        <v>1063</v>
      </c>
      <c r="H65">
        <v>35.700000000000003</v>
      </c>
    </row>
    <row r="66" spans="3:8">
      <c r="F66">
        <v>64</v>
      </c>
      <c r="G66">
        <v>1064</v>
      </c>
      <c r="H66">
        <v>35.700000000000003</v>
      </c>
    </row>
    <row r="67" spans="3:8">
      <c r="F67">
        <v>65</v>
      </c>
      <c r="G67">
        <v>1065</v>
      </c>
      <c r="H67">
        <v>35.700000000000003</v>
      </c>
    </row>
    <row r="68" spans="3:8">
      <c r="C68" s="3474" t="s">
        <v>3726</v>
      </c>
      <c r="F68">
        <v>66</v>
      </c>
      <c r="G68">
        <v>1066</v>
      </c>
      <c r="H68">
        <v>35.700000000000003</v>
      </c>
    </row>
    <row r="69" spans="3:8">
      <c r="F69">
        <v>67</v>
      </c>
      <c r="G69">
        <v>1067</v>
      </c>
      <c r="H69">
        <v>35.700000000000003</v>
      </c>
    </row>
    <row r="70" spans="3:8">
      <c r="F70">
        <v>68</v>
      </c>
      <c r="G70">
        <v>1068</v>
      </c>
      <c r="H70">
        <v>35.700000000000003</v>
      </c>
    </row>
    <row r="71" spans="3:8">
      <c r="F71">
        <v>69</v>
      </c>
      <c r="G71">
        <v>1069</v>
      </c>
      <c r="H71">
        <v>35.700000000000003</v>
      </c>
    </row>
    <row r="72" spans="3:8">
      <c r="F72">
        <v>70</v>
      </c>
      <c r="G72">
        <v>1070</v>
      </c>
      <c r="H72">
        <v>35.700000000000003</v>
      </c>
    </row>
    <row r="73" spans="3:8">
      <c r="F73">
        <v>71</v>
      </c>
      <c r="G73">
        <v>1071</v>
      </c>
      <c r="H73">
        <v>35.700000000000003</v>
      </c>
    </row>
    <row r="74" spans="3:8">
      <c r="F74">
        <v>72</v>
      </c>
      <c r="G74">
        <v>1072</v>
      </c>
      <c r="H74">
        <v>35.700000000000003</v>
      </c>
    </row>
    <row r="75" spans="3:8">
      <c r="F75">
        <v>73</v>
      </c>
      <c r="G75">
        <v>1073</v>
      </c>
      <c r="H75">
        <v>35.700000000000003</v>
      </c>
    </row>
    <row r="76" spans="3:8">
      <c r="F76">
        <v>74</v>
      </c>
      <c r="G76">
        <v>1074</v>
      </c>
      <c r="H76">
        <v>35.700000000000003</v>
      </c>
    </row>
    <row r="77" spans="3:8">
      <c r="F77">
        <v>75</v>
      </c>
      <c r="G77">
        <v>1075</v>
      </c>
      <c r="H77">
        <v>35.700000000000003</v>
      </c>
    </row>
    <row r="78" spans="3:8">
      <c r="H78">
        <f>SUM(H2:H77)</f>
        <v>2677.4999999999986</v>
      </c>
    </row>
  </sheetData>
  <phoneticPr fontId="137"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L10"/>
  <sheetViews>
    <sheetView workbookViewId="0">
      <selection activeCell="R35" sqref="R35"/>
    </sheetView>
  </sheetViews>
  <sheetFormatPr defaultRowHeight="13.5"/>
  <cols>
    <col min="1" max="16384" width="9" style="3465"/>
  </cols>
  <sheetData>
    <row r="3" spans="11:12">
      <c r="L3" s="3465">
        <f>SUM(L4:L9)</f>
        <v>23065.67</v>
      </c>
    </row>
    <row r="4" spans="11:12">
      <c r="K4" s="3465" t="s">
        <v>3499</v>
      </c>
      <c r="L4" s="3465">
        <v>1266.55</v>
      </c>
    </row>
    <row r="5" spans="11:12">
      <c r="K5" s="3466" t="s">
        <v>3500</v>
      </c>
      <c r="L5" s="3465">
        <f>L7-L4</f>
        <v>2990.7299999999996</v>
      </c>
    </row>
    <row r="6" spans="11:12">
      <c r="K6" s="3465" t="s">
        <v>3501</v>
      </c>
      <c r="L6" s="3465">
        <f>9027.28-L5</f>
        <v>6036.5500000000011</v>
      </c>
    </row>
    <row r="7" spans="11:12">
      <c r="K7" s="3465" t="s">
        <v>3502</v>
      </c>
      <c r="L7" s="3465">
        <v>4257.28</v>
      </c>
    </row>
    <row r="8" spans="11:12">
      <c r="K8" s="3465" t="s">
        <v>3503</v>
      </c>
      <c r="L8" s="3465">
        <v>4257.28</v>
      </c>
    </row>
    <row r="9" spans="11:12">
      <c r="K9" s="3465" t="s">
        <v>3504</v>
      </c>
      <c r="L9" s="3465">
        <v>4257.28</v>
      </c>
    </row>
    <row r="10" spans="11:12">
      <c r="K10" s="3465" t="s">
        <v>3505</v>
      </c>
      <c r="L10" s="3465">
        <v>2677.5</v>
      </c>
    </row>
  </sheetData>
  <phoneticPr fontId="13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8" sqref="I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632" t="s">
        <v>1130</v>
      </c>
      <c r="B2" s="3632"/>
      <c r="C2" s="3632"/>
      <c r="D2" s="795" t="s">
        <v>1106</v>
      </c>
      <c r="E2" s="1637" t="s">
        <v>1107</v>
      </c>
      <c r="F2" s="2653"/>
      <c r="G2" s="2644"/>
      <c r="H2" s="2645"/>
      <c r="I2" s="2321" t="s">
        <v>1131</v>
      </c>
      <c r="J2" s="2653"/>
      <c r="K2" s="2653"/>
      <c r="L2" s="2653"/>
      <c r="M2" s="2653"/>
      <c r="N2" s="2655"/>
      <c r="O2" s="2653"/>
      <c r="P2" s="2653"/>
    </row>
    <row r="3" spans="1:16" ht="15.75" thickBot="1">
      <c r="A3" s="3633" t="s">
        <v>1104</v>
      </c>
      <c r="B3" s="3633"/>
      <c r="C3" s="3633"/>
      <c r="D3" s="43">
        <f>'数据-基础表'!AY6</f>
        <v>26199.81</v>
      </c>
      <c r="E3" s="43">
        <f>'数据-基础表'!AZ5</f>
        <v>25743.170000000006</v>
      </c>
      <c r="F3" s="2653"/>
      <c r="G3" s="1144"/>
      <c r="H3" s="1025" t="s">
        <v>1105</v>
      </c>
      <c r="I3" s="854">
        <f>ROUND('数据-基础表'!B3/'数据-基础表'!A3,2)</f>
        <v>0.98</v>
      </c>
      <c r="J3" s="2653"/>
      <c r="K3" s="2653"/>
      <c r="L3" s="2653"/>
      <c r="M3" s="2653"/>
      <c r="N3" s="2655"/>
      <c r="O3" s="2653"/>
      <c r="P3" s="2653"/>
    </row>
    <row r="4" spans="1:16" ht="15">
      <c r="A4" s="3634"/>
      <c r="B4" s="3635"/>
      <c r="C4" s="3636"/>
      <c r="D4" s="1639" t="s">
        <v>1106</v>
      </c>
      <c r="E4" s="1640" t="s">
        <v>1107</v>
      </c>
      <c r="F4" s="2653"/>
      <c r="G4" s="2646" t="s">
        <v>1132</v>
      </c>
      <c r="H4" s="1025" t="s">
        <v>1112</v>
      </c>
      <c r="I4" s="854">
        <f>ROUND(SUMIF('数据-基础表'!I9:AS9,"地上",'数据-基础表'!I5:AS5)/'数据-基础表'!A3,2)</f>
        <v>0.88</v>
      </c>
      <c r="J4" s="2653"/>
      <c r="K4" s="2653"/>
      <c r="L4" s="2653"/>
      <c r="M4" s="2653"/>
      <c r="N4" s="2655"/>
      <c r="O4" s="2653"/>
      <c r="P4" s="2653"/>
    </row>
    <row r="5" spans="1:16">
      <c r="A5" s="44" t="s">
        <v>1108</v>
      </c>
      <c r="B5" s="3637" t="s">
        <v>1109</v>
      </c>
      <c r="C5" s="3637"/>
      <c r="D5" s="45">
        <f>ROUND($D$3*E5/$E$3,2)</f>
        <v>0</v>
      </c>
      <c r="E5" s="46">
        <f>SUMIF('数据-基础表'!$11:$11,"住宅",'数据-基础表'!$5:$5)</f>
        <v>0</v>
      </c>
      <c r="F5" s="2653"/>
      <c r="G5" s="1144"/>
      <c r="H5" s="1025" t="s">
        <v>1105</v>
      </c>
      <c r="I5" s="854">
        <f>ROUND(E31/D31,2)</f>
        <v>0.98</v>
      </c>
      <c r="J5" s="2653"/>
      <c r="K5" s="2653"/>
      <c r="L5" s="2653"/>
      <c r="M5" s="2653"/>
      <c r="N5" s="2653"/>
      <c r="O5" s="2653"/>
      <c r="P5" s="2653"/>
    </row>
    <row r="6" spans="1:16" ht="15" thickBot="1">
      <c r="A6" s="1642"/>
      <c r="B6" s="3637" t="s">
        <v>1110</v>
      </c>
      <c r="C6" s="3637"/>
      <c r="D6" s="45">
        <f>ROUND($D$3*E6/$E$3,2)</f>
        <v>26199.81</v>
      </c>
      <c r="E6" s="46">
        <f>E3-E5</f>
        <v>25743.170000000006</v>
      </c>
      <c r="F6" s="2653"/>
      <c r="G6" s="2647" t="s">
        <v>1111</v>
      </c>
      <c r="H6" s="1145" t="s">
        <v>1112</v>
      </c>
      <c r="I6" s="2648">
        <f>ROUND(F31/D31,2)</f>
        <v>0.88</v>
      </c>
      <c r="J6" s="2653"/>
      <c r="K6" s="2653"/>
      <c r="L6" s="2653"/>
      <c r="M6" s="2653"/>
      <c r="N6" s="2653"/>
      <c r="O6" s="2653"/>
      <c r="P6" s="2653"/>
    </row>
    <row r="7" spans="1:16" ht="15.75" thickBot="1">
      <c r="A7" s="3629"/>
      <c r="B7" s="3630"/>
      <c r="C7" s="3631"/>
      <c r="D7" s="1639" t="s">
        <v>1106</v>
      </c>
      <c r="E7" s="1643" t="s">
        <v>1113</v>
      </c>
      <c r="F7" s="2653"/>
      <c r="G7" s="2649" t="s">
        <v>1114</v>
      </c>
      <c r="H7" s="2650"/>
      <c r="I7" s="2651">
        <v>1</v>
      </c>
      <c r="J7" s="2653"/>
      <c r="K7" s="2653"/>
      <c r="L7" s="2653"/>
      <c r="M7" s="2653"/>
      <c r="N7" s="2653"/>
      <c r="O7" s="2653"/>
      <c r="P7" s="2653"/>
    </row>
    <row r="8" spans="1:16">
      <c r="A8" s="44" t="s">
        <v>1115</v>
      </c>
      <c r="B8" s="47" t="s">
        <v>1116</v>
      </c>
      <c r="C8" s="45" t="s">
        <v>1117</v>
      </c>
      <c r="D8" s="45">
        <f t="shared" ref="D8:D15" si="0">ROUND($D$3*E8/$E$3,2)</f>
        <v>23474.82</v>
      </c>
      <c r="E8" s="48">
        <f>SUMIF('数据-基础表'!BB10:BK10,"地上",'数据-基础表'!BB5:BK5)</f>
        <v>23065.670000000006</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2724.99</v>
      </c>
      <c r="E13" s="48">
        <f>SUMPRODUCT(('数据-基础表'!BB10:BK10="地下")*('数据-基础表'!BB11:BK11="车库")*('数据-基础表'!BB5:BK5))</f>
        <v>2677.4999999999986</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26199.809999999998</v>
      </c>
      <c r="E16" s="50">
        <f>SUM(E8:E15)</f>
        <v>25743.170000000006</v>
      </c>
      <c r="F16" s="2653"/>
      <c r="G16" s="2654"/>
      <c r="H16" s="1646" t="s">
        <v>1134</v>
      </c>
      <c r="I16" s="1647"/>
      <c r="J16" s="1138"/>
      <c r="K16" s="3626" t="s">
        <v>1134</v>
      </c>
      <c r="L16" s="3627"/>
      <c r="M16" s="3627"/>
      <c r="N16" s="3627"/>
      <c r="O16" s="3627"/>
      <c r="P16" s="3628"/>
    </row>
    <row r="17" spans="1:19" ht="15">
      <c r="A17" s="1648" t="s">
        <v>1135</v>
      </c>
      <c r="B17" s="1649" t="s">
        <v>1136</v>
      </c>
      <c r="C17" s="1650" t="s">
        <v>1137</v>
      </c>
      <c r="D17" s="1651" t="s">
        <v>1125</v>
      </c>
      <c r="E17" s="1652" t="s">
        <v>1126</v>
      </c>
      <c r="F17" s="1653"/>
      <c r="G17" s="1654"/>
      <c r="H17" s="1655" t="s">
        <v>1138</v>
      </c>
      <c r="I17" s="1656" t="s">
        <v>1123</v>
      </c>
      <c r="J17" s="1138"/>
      <c r="K17" s="3623" t="s">
        <v>1139</v>
      </c>
      <c r="L17" s="3624"/>
      <c r="M17" s="3625"/>
      <c r="N17" s="3623" t="s">
        <v>1140</v>
      </c>
      <c r="O17" s="3624"/>
      <c r="P17" s="3625"/>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1" t="s">
        <v>3513</v>
      </c>
      <c r="D19" s="45">
        <f>ROUND($D$3*E19/$E$3,2)</f>
        <v>23474.82</v>
      </c>
      <c r="E19" s="53">
        <f t="shared" ref="E19:E26" si="1">SUM(F19:G19)</f>
        <v>23065.670000000006</v>
      </c>
      <c r="F19" s="2789">
        <f>'数据-基础表'!I5</f>
        <v>23065.670000000006</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23474.82</v>
      </c>
      <c r="S19" s="1026">
        <f t="shared" si="5"/>
        <v>23065.670000000006</v>
      </c>
    </row>
    <row r="20" spans="1:19">
      <c r="A20" s="1668"/>
      <c r="B20" s="47" t="s">
        <v>1152</v>
      </c>
      <c r="C20" s="3411" t="s">
        <v>3514</v>
      </c>
      <c r="D20" s="45">
        <f t="shared" ref="D20:D26" si="6">ROUND($D$3*E20/$E$3,2)</f>
        <v>2724.99</v>
      </c>
      <c r="E20" s="53">
        <f t="shared" si="1"/>
        <v>2677.4999999999986</v>
      </c>
      <c r="F20" s="2789"/>
      <c r="G20" s="2790">
        <f>'数据-基础表'!K5</f>
        <v>2677.4999999999986</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2724.99</v>
      </c>
      <c r="S20" s="1026">
        <f t="shared" si="5"/>
        <v>2677.4999999999986</v>
      </c>
    </row>
    <row r="21" spans="1:19">
      <c r="A21" s="1668"/>
      <c r="B21" s="47" t="s">
        <v>1152</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26199.809999999998</v>
      </c>
      <c r="E27" s="1140">
        <f>IF(SUM(E19:E26)='数据-基础表'!BA5,SUM(E19:E26),IF(F27="地上面积有误","面积有误","地下面积有误"))</f>
        <v>25743.170000000006</v>
      </c>
      <c r="F27" s="1139">
        <f>IF(SUM(F19:F26)=E8,SUM(F19:F26),"地上面积有误")</f>
        <v>23065.670000000006</v>
      </c>
      <c r="G27" s="1141">
        <f>SUM(G19:G26)</f>
        <v>2677.4999999999986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26199.809999999998</v>
      </c>
      <c r="S27" s="1025">
        <f>IF(SUM(S19:S26)=$E$3,SUM(S19:S26),SUM(S19:S26)&amp;"误差"&amp;ROUND(SUM(S19:S26)-E3,2))</f>
        <v>25743.170000000006</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26199.809999999998</v>
      </c>
      <c r="E31" s="675">
        <f>E27+E30</f>
        <v>25743.170000000006</v>
      </c>
      <c r="F31" s="676">
        <f>F27+F30</f>
        <v>23065.670000000006</v>
      </c>
      <c r="G31" s="677">
        <f>G27+G30</f>
        <v>2677.4999999999986</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24"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1160</v>
      </c>
      <c r="B2" s="1044">
        <f>项目基本情况!D3</f>
        <v>45163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3389</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文化娱乐</v>
      </c>
      <c r="B6" s="1711" t="str">
        <f>IF(A6=0,"","经营性")</f>
        <v>经营性</v>
      </c>
      <c r="C6" s="1712" t="s">
        <v>673</v>
      </c>
      <c r="D6" s="857">
        <f>SUMIF(项目基本情况!C$12:I$12,C6,项目基本情况!C$14:I$14)</f>
        <v>40</v>
      </c>
      <c r="E6" s="856">
        <f>IF(B6="","",SUMIF(项目基本情况!C$12:I$12,C6,项目基本情况!C$13:I$13))</f>
        <v>54546</v>
      </c>
      <c r="F6" s="64">
        <f>SUMIF(项目基本情况!C$12:I$12,C6,项目基本情况!C$15:I$15)</f>
        <v>25.7</v>
      </c>
      <c r="G6" s="65">
        <f>IF(ISERROR(ROUND(POWER(1+H6,D6-F6)*(POWER(1+H6,F6)-1)/(POWER(1+H6,D6)-1),3)),0,ROUND(POWER(1+H6,D6-F6)*(POWER(1+H6,F6)-1)/(POWER(1+H6,D6)-1),3))</f>
        <v>0.83299999999999996</v>
      </c>
      <c r="H6" s="731">
        <v>0.05</v>
      </c>
      <c r="I6" s="731">
        <v>5.5E-2</v>
      </c>
      <c r="J6" s="66">
        <v>7.0000000000000007E-2</v>
      </c>
      <c r="K6" s="1029">
        <f>SUMIF('数据-汇总表'!C$19:C$33,A6,'数据-汇总表'!E$19:E$33)</f>
        <v>23065.670000000006</v>
      </c>
      <c r="L6" s="732">
        <v>5500</v>
      </c>
      <c r="M6" s="67">
        <f t="shared" ref="M6:M14" si="0">ROUND(K6*L6/10000,0)</f>
        <v>12686</v>
      </c>
      <c r="N6" s="730">
        <f>N18</f>
        <v>0.92</v>
      </c>
      <c r="O6" s="67" t="str">
        <f>IF($N$5="成新度","——",ROUND(M6*N6,0))</f>
        <v>——</v>
      </c>
      <c r="P6" s="68" t="str">
        <f>IF($N$5="成新度","——",M6-O6)</f>
        <v>——</v>
      </c>
      <c r="Q6" s="733">
        <v>0.2</v>
      </c>
      <c r="R6" s="69">
        <f ca="1">SUMIF('数据-汇总表'!C$19:C$33,A6,'数据-汇总表'!R$19:R$27)</f>
        <v>23474.82</v>
      </c>
      <c r="S6" s="51">
        <f>IF('数据-汇总表'!$I$17="按面积比例",SUMIF('数据-汇总表'!C$19:C$33,A6,'数据-汇总表'!K$19:K$33),SUMIF('数据-汇总表'!C$19:C$33,A6,'数据-汇总表'!N$19:N$33))</f>
        <v>0</v>
      </c>
      <c r="T6" s="1171">
        <f>ROUND($L$14*S6/10000,0)</f>
        <v>0</v>
      </c>
      <c r="U6" s="3422">
        <v>5</v>
      </c>
      <c r="V6" s="70">
        <v>0.03</v>
      </c>
      <c r="W6" s="70">
        <v>0.1</v>
      </c>
      <c r="X6" s="1039"/>
      <c r="Y6" s="71">
        <f>N6</f>
        <v>0.92</v>
      </c>
      <c r="Z6" s="72"/>
      <c r="AA6" s="66"/>
      <c r="AB6" s="66"/>
      <c r="AC6" s="1039"/>
      <c r="AD6" s="73"/>
      <c r="AE6" s="1040">
        <f ca="1">IF(AN6="",0,SUMIF(INDIRECT("'"&amp;AN6&amp;"'"&amp;"!E:E"),$AE$5,INDIRECT("'"&amp;AN6&amp;"'"&amp;"!F:F")))</f>
        <v>25.7</v>
      </c>
      <c r="AF6" s="1346"/>
      <c r="AG6" s="138">
        <f>IF(AF6="",0,AE6-AF6)</f>
        <v>0</v>
      </c>
      <c r="AH6" s="74"/>
      <c r="AI6" s="76">
        <v>365</v>
      </c>
      <c r="AJ6" s="77"/>
      <c r="AK6" s="78">
        <v>0.01</v>
      </c>
      <c r="AL6" s="79">
        <v>1.5E-3</v>
      </c>
      <c r="AM6" s="80">
        <v>0.01</v>
      </c>
      <c r="AN6" s="1713" t="s">
        <v>3515</v>
      </c>
      <c r="AO6" s="52">
        <f ca="1">SUMIF(INDIRECT("'"&amp;AN6&amp;"'"&amp;"!A:A"),"总价",INDIRECT("'"&amp;AN6&amp;"'"&amp;"!B:B"))</f>
        <v>54906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3327</v>
      </c>
      <c r="D7" s="857">
        <f>SUMIF(项目基本情况!C$12:I$12,C7,项目基本情况!C$14:I$14)</f>
        <v>50</v>
      </c>
      <c r="E7" s="856">
        <f>IF(B7="","",SUMIF(项目基本情况!C$12:I$12,C7,项目基本情况!C$13:I$13))</f>
        <v>58198</v>
      </c>
      <c r="F7" s="64">
        <f>SUMIF(项目基本情况!C$12:I$12,C7,项目基本情况!C$15:I$15)</f>
        <v>35.71</v>
      </c>
      <c r="G7" s="65">
        <f t="shared" ref="G7:G11" si="2">IF(ISERROR(ROUND(POWER(1+H7,D7-F7)*(POWER(1+H7,F7)-1)/(POWER(1+H7,D7)-1),3)),0,ROUND(POWER(1+H7,D7-F7)*(POWER(1+H7,F7)-1)/(POWER(1+H7,D7)-1),3))</f>
        <v>0.89100000000000001</v>
      </c>
      <c r="H7" s="731">
        <v>4.4999999999999998E-2</v>
      </c>
      <c r="I7" s="731">
        <v>0.05</v>
      </c>
      <c r="J7" s="66">
        <f>J6</f>
        <v>7.0000000000000007E-2</v>
      </c>
      <c r="K7" s="1029">
        <f>SUMIF('数据-汇总表'!C$19:C$33,A7,'数据-汇总表'!E$19:E$33)</f>
        <v>2677.4999999999986</v>
      </c>
      <c r="L7" s="732">
        <v>4500</v>
      </c>
      <c r="M7" s="67">
        <f t="shared" si="0"/>
        <v>1205</v>
      </c>
      <c r="N7" s="730">
        <f>N6</f>
        <v>0.92</v>
      </c>
      <c r="O7" s="67" t="str">
        <f t="shared" ref="O7:O14" si="3">IF($N$5="成新度","——",ROUND(M7*N7,0))</f>
        <v>——</v>
      </c>
      <c r="P7" s="68" t="str">
        <f t="shared" ref="P7:P14" si="4">IF($N$5="成新度","——",M7-O7)</f>
        <v>——</v>
      </c>
      <c r="Q7" s="733">
        <v>0.05</v>
      </c>
      <c r="R7" s="69">
        <f ca="1">SUMIF('数据-汇总表'!C$19:C$33,A7,'数据-汇总表'!R$19:R$27)</f>
        <v>2724.99</v>
      </c>
      <c r="S7" s="51">
        <f>IF('数据-汇总表'!$I$17="按面积比例",SUMIF('数据-汇总表'!C$19:C$33,A7,'数据-汇总表'!K$19:K$33),SUMIF('数据-汇总表'!C$19:C$33,A7,'数据-汇总表'!N$19:N$33))</f>
        <v>0</v>
      </c>
      <c r="T7" s="1171">
        <f t="shared" ref="T7:T13" si="5">ROUND($L$14*S7/10000,0)</f>
        <v>0</v>
      </c>
      <c r="U7" s="3422">
        <v>600</v>
      </c>
      <c r="V7" s="70">
        <v>2.5000000000000001E-2</v>
      </c>
      <c r="W7" s="70">
        <f>W6</f>
        <v>0.1</v>
      </c>
      <c r="X7" s="1039"/>
      <c r="Y7" s="71">
        <f>Y6</f>
        <v>0.92</v>
      </c>
      <c r="Z7" s="72"/>
      <c r="AA7" s="66"/>
      <c r="AB7" s="66"/>
      <c r="AC7" s="1039"/>
      <c r="AD7" s="73"/>
      <c r="AE7" s="1040">
        <f t="shared" ref="AE7:AE13" ca="1" si="6">IF(AN7="",0,SUMIF(INDIRECT("'"&amp;AN7&amp;"'"&amp;"!E:E"),$AE$5,INDIRECT("'"&amp;AN7&amp;"'"&amp;"!F:F")))</f>
        <v>35.71</v>
      </c>
      <c r="AF7" s="1346"/>
      <c r="AG7" s="138">
        <f t="shared" ref="AG7:AG13" si="7">IF(AF7="",0,AE7-AF7)</f>
        <v>0</v>
      </c>
      <c r="AH7" s="74">
        <v>75</v>
      </c>
      <c r="AI7" s="76">
        <v>12</v>
      </c>
      <c r="AJ7" s="77"/>
      <c r="AK7" s="78">
        <v>5.0000000000000001E-3</v>
      </c>
      <c r="AL7" s="78">
        <v>1E-3</v>
      </c>
      <c r="AM7" s="78">
        <v>5.0000000000000001E-3</v>
      </c>
      <c r="AN7" s="1713" t="s">
        <v>3517</v>
      </c>
      <c r="AO7" s="52">
        <f t="shared" ref="AO7:AO13" ca="1" si="8">SUMIF(INDIRECT("'"&amp;AN7&amp;"'"&amp;"!A:A"),"总价",INDIRECT("'"&amp;AN7&amp;"'"&amp;"!B:B"))</f>
        <v>764</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0.83899999999999997</v>
      </c>
      <c r="H16" s="90">
        <f>ROUND(SUMPRODUCT(H6:H13,K6:K13)/SUMPRODUCT((H6:H13&gt;0)*(K6:K13)),3)</f>
        <v>4.9000000000000002E-2</v>
      </c>
      <c r="I16" s="91"/>
      <c r="J16" s="91"/>
      <c r="K16" s="92">
        <f>SUM(K6:K15)</f>
        <v>25743.170000000006</v>
      </c>
      <c r="L16" s="93">
        <f>ROUND(M16*10000/SUM(K6:K14),0)</f>
        <v>5396</v>
      </c>
      <c r="M16" s="93">
        <f>SUM(M6:M14)</f>
        <v>13891</v>
      </c>
      <c r="N16" s="94">
        <f>ROUND(SUMPRODUCT(M6:M14,N6:N14)/M16,3)</f>
        <v>0.92</v>
      </c>
      <c r="O16" s="93">
        <f>SUM(O6:O14)</f>
        <v>0</v>
      </c>
      <c r="P16" s="93">
        <f>SUM(P6:P14)</f>
        <v>0</v>
      </c>
      <c r="Q16" s="95">
        <f>ROUND(SUMPRODUCT(Q6:Q13,K6:K13)/SUMPRODUCT((Q6:Q13&gt;0)*(K6:K13)),2)</f>
        <v>0.18</v>
      </c>
      <c r="R16" s="1033">
        <f ca="1">SUM(R6:R13)</f>
        <v>26199.809999999998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3385</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4" t="s">
        <v>3386</v>
      </c>
      <c r="N18" s="2665">
        <f>ROUND(1-(1-0%)*(2023-N17)/60,2)</f>
        <v>0.92</v>
      </c>
      <c r="O18" s="2665"/>
      <c r="P18" s="2665"/>
      <c r="Q18" s="2665"/>
      <c r="R18" s="2665"/>
      <c r="S18" s="2665"/>
      <c r="T18" s="2665"/>
      <c r="U18" s="2665"/>
      <c r="V18" s="2665"/>
      <c r="W18" s="3444" t="s">
        <v>3521</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1210</v>
      </c>
      <c r="B19" s="103">
        <v>0</v>
      </c>
      <c r="C19" s="2793" t="s">
        <v>2293</v>
      </c>
      <c r="D19" s="2670"/>
      <c r="E19" s="2667"/>
      <c r="F19" s="2667"/>
      <c r="G19" s="2667"/>
      <c r="H19" s="2667"/>
      <c r="I19" s="2667"/>
      <c r="J19" s="2667"/>
      <c r="K19" s="2666"/>
      <c r="L19" s="2666"/>
      <c r="M19" s="3444" t="s">
        <v>3387</v>
      </c>
      <c r="N19" s="2665"/>
      <c r="O19" s="2665"/>
      <c r="P19" s="2665"/>
      <c r="Q19" s="2665"/>
      <c r="R19" s="2665"/>
      <c r="S19" s="2665"/>
      <c r="T19" s="2665"/>
      <c r="U19" s="2665">
        <v>1</v>
      </c>
      <c r="V19" s="2665">
        <f>面积清单!L12</f>
        <v>1132.74</v>
      </c>
      <c r="W19" s="2665">
        <v>1</v>
      </c>
      <c r="X19" s="2665">
        <v>6.5</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1211</v>
      </c>
      <c r="B20" s="104">
        <v>2</v>
      </c>
      <c r="C20" s="2794" t="s">
        <v>2291</v>
      </c>
      <c r="D20" s="2670"/>
      <c r="E20" s="2667"/>
      <c r="F20" s="2667"/>
      <c r="G20" s="2667"/>
      <c r="H20" s="2667"/>
      <c r="I20" s="2667"/>
      <c r="J20" s="2667"/>
      <c r="K20" s="2666"/>
      <c r="L20" s="2666"/>
      <c r="M20" s="3444" t="s">
        <v>3388</v>
      </c>
      <c r="N20" s="2665">
        <f>ROUND((N18+N19)/2,2)</f>
        <v>0.46</v>
      </c>
      <c r="O20" s="2665"/>
      <c r="P20" s="2665"/>
      <c r="Q20" s="2665"/>
      <c r="R20" s="2665"/>
      <c r="S20" s="2665"/>
      <c r="T20" s="2665"/>
      <c r="U20" s="3892" t="s">
        <v>3771</v>
      </c>
      <c r="V20" s="2665">
        <f>面积清单!L13</f>
        <v>9161.09</v>
      </c>
      <c r="W20" s="2665">
        <v>0.85</v>
      </c>
      <c r="X20" s="2665">
        <f>X19*W20</f>
        <v>5.5249999999999995</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1212</v>
      </c>
      <c r="B21" s="104">
        <f>B20</f>
        <v>2</v>
      </c>
      <c r="C21" s="2667"/>
      <c r="D21" s="2670"/>
      <c r="E21" s="2667"/>
      <c r="F21" s="2667"/>
      <c r="G21" s="2667"/>
      <c r="H21" s="2667"/>
      <c r="I21" s="2667"/>
      <c r="J21" s="2667"/>
      <c r="K21" s="2666"/>
      <c r="L21" s="2666"/>
      <c r="M21" s="2665"/>
      <c r="N21" s="2665"/>
      <c r="O21" s="2665"/>
      <c r="P21" s="2665"/>
      <c r="Q21" s="2665"/>
      <c r="R21" s="2665"/>
      <c r="S21" s="2665"/>
      <c r="T21" s="2665"/>
      <c r="U21" s="2665">
        <v>3</v>
      </c>
      <c r="V21" s="2665">
        <f>面积清单!L14</f>
        <v>4257.28</v>
      </c>
      <c r="W21" s="2665"/>
      <c r="X21" s="2665">
        <v>4</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v>4</v>
      </c>
      <c r="V22" s="2665">
        <f>面积清单!L15</f>
        <v>4257.28</v>
      </c>
      <c r="W22" s="2665"/>
      <c r="X22" s="2665">
        <f>X21</f>
        <v>4</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v>5</v>
      </c>
      <c r="V23" s="2665">
        <f>面积清单!L16</f>
        <v>4257.28</v>
      </c>
      <c r="W23" s="2665"/>
      <c r="X23" s="2665">
        <f>X22</f>
        <v>4</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f>SUM(V19:V23)</f>
        <v>23065.67</v>
      </c>
      <c r="W24" s="2665"/>
      <c r="X24" s="2665">
        <f>ROUND((X19*V19+X20*V20+X21*V21+X22*V22+X23*V23)/V24,1)</f>
        <v>4.7</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1216</v>
      </c>
      <c r="B26" s="1724"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1219</v>
      </c>
      <c r="B27" s="107">
        <v>160</v>
      </c>
      <c r="C27" s="2795" t="s">
        <v>2295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515</v>
      </c>
      <c r="C29" s="2796" t="s">
        <v>2282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0.05</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180</v>
      </c>
      <c r="C35" s="2797" t="s">
        <v>2285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1229</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1230</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2302</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1235</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1236</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1237</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1238</v>
      </c>
      <c r="B47" s="120">
        <v>0</v>
      </c>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1239</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1240</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1244</v>
      </c>
      <c r="B53" s="1736" t="s">
        <v>29</v>
      </c>
      <c r="C53" s="2655" t="s">
        <v>1245</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638" t="s">
        <v>2274</v>
      </c>
      <c r="B1" s="3639"/>
      <c r="C1" s="3639"/>
      <c r="D1" s="3639"/>
      <c r="E1" s="3639"/>
      <c r="F1" s="3639"/>
      <c r="G1" s="363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2271</v>
      </c>
      <c r="D2" s="2456"/>
      <c r="E2" s="2453"/>
      <c r="F2" s="2457"/>
      <c r="G2" s="2455" t="s">
        <v>2272</v>
      </c>
      <c r="H2" s="798"/>
      <c r="I2" s="798"/>
      <c r="J2" s="798"/>
      <c r="K2" s="798"/>
      <c r="L2" s="798"/>
      <c r="M2" s="798"/>
      <c r="N2" s="798"/>
      <c r="O2" s="798"/>
      <c r="P2" s="798"/>
      <c r="Q2" s="798"/>
      <c r="R2" s="798"/>
    </row>
    <row r="3" spans="1:29" ht="24">
      <c r="A3" s="2436" t="s">
        <v>2273</v>
      </c>
      <c r="B3" s="2458" t="s">
        <v>2249</v>
      </c>
      <c r="C3" s="2459" t="s">
        <v>3392</v>
      </c>
      <c r="D3" s="2460"/>
      <c r="E3" s="2437" t="s">
        <v>2273</v>
      </c>
      <c r="F3" s="2461" t="s">
        <v>2250</v>
      </c>
      <c r="G3" s="2462" t="s">
        <v>3392</v>
      </c>
      <c r="H3" s="798"/>
      <c r="I3" s="798"/>
      <c r="J3" s="798"/>
      <c r="K3" s="798"/>
      <c r="L3" s="798"/>
      <c r="M3" s="798"/>
      <c r="N3" s="798"/>
      <c r="O3" s="798"/>
      <c r="P3" s="798"/>
      <c r="Q3" s="798"/>
      <c r="R3" s="798"/>
    </row>
    <row r="4" spans="1:29">
      <c r="A4" s="2437"/>
      <c r="B4" s="323" t="s">
        <v>2251</v>
      </c>
      <c r="C4" s="3472" t="s">
        <v>3549</v>
      </c>
      <c r="D4" s="2460"/>
      <c r="E4" s="2463"/>
      <c r="F4" s="1371" t="s">
        <v>2252</v>
      </c>
      <c r="G4" s="2464" t="s">
        <v>3392</v>
      </c>
      <c r="H4" s="798"/>
      <c r="I4" s="798"/>
      <c r="J4" s="798"/>
      <c r="K4" s="798"/>
      <c r="L4" s="798"/>
      <c r="M4" s="798"/>
      <c r="N4" s="798"/>
      <c r="O4" s="798"/>
      <c r="P4" s="798"/>
      <c r="Q4" s="798"/>
      <c r="R4" s="798"/>
    </row>
    <row r="5" spans="1:29">
      <c r="A5" s="2437"/>
      <c r="B5" s="323" t="s">
        <v>2253</v>
      </c>
      <c r="C5" s="3472" t="s">
        <v>3549</v>
      </c>
      <c r="D5" s="2460"/>
      <c r="E5" s="2463"/>
      <c r="F5" s="323" t="s">
        <v>2254</v>
      </c>
      <c r="G5" s="2464" t="s">
        <v>3392</v>
      </c>
      <c r="H5" s="798"/>
      <c r="I5" s="798"/>
      <c r="J5" s="798"/>
      <c r="K5" s="798"/>
      <c r="L5" s="798"/>
      <c r="M5" s="798"/>
      <c r="N5" s="798"/>
      <c r="O5" s="798"/>
      <c r="P5" s="798"/>
      <c r="Q5" s="798"/>
      <c r="R5" s="798"/>
    </row>
    <row r="6" spans="1:29">
      <c r="A6" s="2437"/>
      <c r="B6" s="323" t="s">
        <v>2255</v>
      </c>
      <c r="C6" s="3473" t="s">
        <v>3549</v>
      </c>
      <c r="D6" s="2460"/>
      <c r="E6" s="2463"/>
      <c r="F6" s="323" t="s">
        <v>2256</v>
      </c>
      <c r="G6" s="2464" t="s">
        <v>3393</v>
      </c>
      <c r="H6" s="798"/>
      <c r="I6" s="798"/>
      <c r="J6" s="798"/>
      <c r="K6" s="798"/>
      <c r="L6" s="798"/>
      <c r="M6" s="798"/>
      <c r="N6" s="798"/>
      <c r="O6" s="798"/>
      <c r="P6" s="798"/>
      <c r="Q6" s="798"/>
      <c r="R6" s="798"/>
    </row>
    <row r="7" spans="1:29" ht="15" thickBot="1">
      <c r="A7" s="2437"/>
      <c r="B7" s="323" t="s">
        <v>2254</v>
      </c>
      <c r="C7" s="2464" t="s">
        <v>3392</v>
      </c>
      <c r="D7" s="2465"/>
      <c r="E7" s="2466"/>
      <c r="F7" s="2467" t="s">
        <v>2257</v>
      </c>
      <c r="G7" s="2468" t="s">
        <v>3392</v>
      </c>
      <c r="H7" s="798"/>
      <c r="I7" s="798"/>
      <c r="J7" s="798"/>
      <c r="K7" s="798"/>
      <c r="L7" s="798"/>
      <c r="M7" s="798"/>
      <c r="N7" s="798"/>
      <c r="O7" s="798"/>
      <c r="P7" s="798"/>
      <c r="Q7" s="798"/>
      <c r="R7" s="798"/>
    </row>
    <row r="8" spans="1:29">
      <c r="A8" s="2437"/>
      <c r="B8" s="323" t="s">
        <v>2256</v>
      </c>
      <c r="C8" s="2464" t="s">
        <v>3393</v>
      </c>
      <c r="D8" s="2465"/>
      <c r="E8" s="2465"/>
      <c r="F8" s="2469"/>
      <c r="G8" s="2469"/>
      <c r="H8" s="798"/>
      <c r="I8" s="798"/>
      <c r="J8" s="798"/>
      <c r="K8" s="798"/>
      <c r="L8" s="798"/>
      <c r="M8" s="798"/>
      <c r="N8" s="798"/>
      <c r="O8" s="798"/>
      <c r="P8" s="798"/>
      <c r="Q8" s="798"/>
      <c r="R8" s="798"/>
    </row>
    <row r="9" spans="1:29">
      <c r="A9" s="2437"/>
      <c r="B9" s="323" t="s">
        <v>2258</v>
      </c>
      <c r="C9" s="3472" t="s">
        <v>3549</v>
      </c>
      <c r="D9" s="2460"/>
      <c r="E9" s="2465"/>
      <c r="F9" s="2469"/>
      <c r="G9" s="2469"/>
      <c r="H9" s="798"/>
      <c r="I9" s="798"/>
      <c r="J9" s="798"/>
      <c r="K9" s="798"/>
      <c r="L9" s="798"/>
      <c r="M9" s="798"/>
      <c r="N9" s="798"/>
      <c r="O9" s="798"/>
      <c r="P9" s="798"/>
      <c r="Q9" s="798"/>
      <c r="R9" s="798"/>
    </row>
    <row r="10" spans="1:29" s="2475" customFormat="1" ht="15" thickBot="1">
      <c r="A10" s="2438"/>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2275</v>
      </c>
      <c r="B13" s="2478"/>
      <c r="C13" s="2478"/>
      <c r="D13" s="2476"/>
      <c r="E13" s="2478"/>
      <c r="F13" s="2478"/>
      <c r="G13" s="2478"/>
    </row>
    <row r="14" spans="1:29" ht="15" thickBot="1">
      <c r="A14" s="2488"/>
      <c r="B14" s="2488"/>
      <c r="C14" s="2489" t="s">
        <v>2260</v>
      </c>
      <c r="D14" s="2460"/>
      <c r="E14" s="2490"/>
      <c r="F14" s="2490"/>
      <c r="G14" s="2455" t="s">
        <v>2261</v>
      </c>
    </row>
    <row r="15" spans="1:29" ht="24">
      <c r="A15" s="2439" t="s">
        <v>2262</v>
      </c>
      <c r="B15" s="2491" t="s">
        <v>2249</v>
      </c>
      <c r="C15" s="2492" t="str">
        <f>C3</f>
        <v>较好</v>
      </c>
      <c r="D15" s="2460"/>
      <c r="E15" s="2440" t="s">
        <v>2263</v>
      </c>
      <c r="F15" s="2491" t="s">
        <v>2264</v>
      </c>
      <c r="G15" s="2493" t="str">
        <f>G3</f>
        <v>较好</v>
      </c>
    </row>
    <row r="16" spans="1:29">
      <c r="A16" s="2441"/>
      <c r="B16" s="2494" t="s">
        <v>2251</v>
      </c>
      <c r="C16" s="2495" t="str">
        <f>C4</f>
        <v>一般</v>
      </c>
      <c r="D16" s="2460"/>
      <c r="E16" s="2442"/>
      <c r="F16" s="2496" t="s">
        <v>2252</v>
      </c>
      <c r="G16" s="2497" t="str">
        <f>G4</f>
        <v>较好</v>
      </c>
    </row>
    <row r="17" spans="1:18">
      <c r="A17" s="2441"/>
      <c r="B17" s="2494" t="s">
        <v>2253</v>
      </c>
      <c r="C17" s="2495" t="str">
        <f>C5</f>
        <v>一般</v>
      </c>
      <c r="D17" s="2465"/>
      <c r="E17" s="2442"/>
      <c r="F17" s="2496" t="s">
        <v>2265</v>
      </c>
      <c r="G17" s="3445" t="s">
        <v>3394</v>
      </c>
    </row>
    <row r="18" spans="1:18">
      <c r="A18" s="2441"/>
      <c r="B18" s="2496" t="s">
        <v>2255</v>
      </c>
      <c r="C18" s="2497" t="str">
        <f>C6</f>
        <v>一般</v>
      </c>
      <c r="D18" s="2465"/>
      <c r="E18" s="2442"/>
      <c r="F18" s="2496" t="s">
        <v>2257</v>
      </c>
      <c r="G18" s="2497" t="str">
        <f>G7</f>
        <v>较好</v>
      </c>
    </row>
    <row r="19" spans="1:18">
      <c r="A19" s="2441"/>
      <c r="B19" s="2496" t="s">
        <v>2266</v>
      </c>
      <c r="C19" s="3445" t="s">
        <v>3394</v>
      </c>
      <c r="D19" s="2460"/>
      <c r="E19" s="2442"/>
      <c r="F19" s="323" t="s">
        <v>2254</v>
      </c>
      <c r="G19" s="2497" t="str">
        <f>G5</f>
        <v>较好</v>
      </c>
    </row>
    <row r="20" spans="1:18">
      <c r="A20" s="2441"/>
      <c r="B20" s="2496" t="s">
        <v>2267</v>
      </c>
      <c r="C20" s="2495" t="str">
        <f>C9</f>
        <v>一般</v>
      </c>
      <c r="D20" s="2465"/>
      <c r="E20" s="2442"/>
      <c r="F20" s="323" t="s">
        <v>2256</v>
      </c>
      <c r="G20" s="2497" t="str">
        <f>G6</f>
        <v>七通</v>
      </c>
    </row>
    <row r="21" spans="1:18">
      <c r="A21" s="2441"/>
      <c r="B21" s="323" t="s">
        <v>2254</v>
      </c>
      <c r="C21" s="2497" t="str">
        <f>C7</f>
        <v>较好</v>
      </c>
      <c r="D21" s="2460"/>
      <c r="E21" s="2442"/>
      <c r="F21" s="2496" t="s">
        <v>2268</v>
      </c>
      <c r="G21" s="2499"/>
    </row>
    <row r="22" spans="1:18" ht="13.5" customHeight="1">
      <c r="A22" s="2441"/>
      <c r="B22" s="323" t="s">
        <v>2256</v>
      </c>
      <c r="C22" s="2497" t="str">
        <f>C8</f>
        <v>七通</v>
      </c>
      <c r="D22" s="2460"/>
      <c r="E22" s="2442"/>
      <c r="F22" s="2496" t="s">
        <v>2259</v>
      </c>
      <c r="G22" s="2498"/>
    </row>
    <row r="23" spans="1:18" s="798" customFormat="1" ht="15" thickBot="1">
      <c r="A23" s="2441"/>
      <c r="B23" s="2496" t="s">
        <v>2268</v>
      </c>
      <c r="C23" s="2499"/>
      <c r="D23" s="1739"/>
      <c r="E23" s="2443"/>
      <c r="F23" s="2500" t="s">
        <v>2269</v>
      </c>
      <c r="G23" s="2501"/>
      <c r="H23" s="2485"/>
      <c r="I23" s="2486"/>
      <c r="J23" s="2485"/>
      <c r="K23" s="2485"/>
      <c r="L23" s="2486"/>
      <c r="M23" s="2485"/>
      <c r="N23" s="2485"/>
      <c r="O23" s="2486"/>
      <c r="P23" s="2485"/>
      <c r="Q23" s="2485"/>
      <c r="R23" s="2487"/>
    </row>
    <row r="24" spans="1:18" s="798" customFormat="1" ht="15" thickBot="1">
      <c r="A24" s="2444"/>
      <c r="B24" s="2500" t="s">
        <v>2270</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6" sqref="N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25743.170000000006</v>
      </c>
      <c r="C1" s="2680"/>
      <c r="D1" s="2680"/>
      <c r="E1" s="2680"/>
      <c r="F1" s="2680"/>
      <c r="G1" s="2681"/>
      <c r="H1" s="2682"/>
      <c r="I1" s="2682"/>
      <c r="J1" s="2682"/>
      <c r="K1" s="2682"/>
    </row>
    <row r="2" spans="1:11" ht="16.5">
      <c r="A2" s="2506" t="s">
        <v>653</v>
      </c>
      <c r="B2" s="2506">
        <f>SUM(C14:C23)</f>
        <v>26199.81</v>
      </c>
      <c r="C2" s="2680"/>
      <c r="D2" s="2680"/>
      <c r="E2" s="2680"/>
      <c r="F2" s="2680"/>
      <c r="G2" s="2681"/>
      <c r="H2" s="2682"/>
      <c r="I2" s="2682"/>
      <c r="J2" s="2682"/>
      <c r="K2" s="2682"/>
    </row>
    <row r="3" spans="1:11" ht="16.5">
      <c r="A3" s="2506" t="s">
        <v>662</v>
      </c>
      <c r="B3" s="2508">
        <f>项目基本情况!D3</f>
        <v>45163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65329</v>
      </c>
      <c r="C5" s="2506">
        <f ca="1">IF(B5=D14,结果表!H102,ROUND(B5*10000/$B$1,0))</f>
        <v>25377</v>
      </c>
      <c r="D5" s="2506">
        <f ca="1">ROUND(B5*10000/$B$2,0)</f>
        <v>24935</v>
      </c>
      <c r="E5" s="2680"/>
      <c r="F5" s="2681"/>
      <c r="G5" s="2681"/>
      <c r="H5" s="2682"/>
      <c r="I5" s="2682"/>
      <c r="J5" s="2682"/>
      <c r="K5" s="2682"/>
    </row>
    <row r="6" spans="1:11" ht="16.5">
      <c r="A6" s="2506" t="s">
        <v>656</v>
      </c>
      <c r="B6" s="2506">
        <f ca="1">SUM(G14:G23)</f>
        <v>65329</v>
      </c>
      <c r="C6" s="2506">
        <f ca="1">IF(B6=G14,结果表!H108,ROUND(B6*10000/$B$1,0))</f>
        <v>25377</v>
      </c>
      <c r="D6" s="2506">
        <f ca="1">ROUND(B6*10000/$B$2,0)</f>
        <v>24935</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3350</v>
      </c>
      <c r="D10" s="2506" t="s">
        <v>3351</v>
      </c>
      <c r="E10" s="3435"/>
      <c r="F10" s="3439" t="s">
        <v>3352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25743.170000000006</v>
      </c>
      <c r="C14" s="2512">
        <f>结果表!C118</f>
        <v>26199.81</v>
      </c>
      <c r="D14" s="2512">
        <f ca="1">结果表!H101</f>
        <v>65329</v>
      </c>
      <c r="E14" s="2512">
        <f ca="1">ROUND(D14*10000/B14,0)</f>
        <v>25377</v>
      </c>
      <c r="F14" s="2512">
        <f ca="1">ROUND(D14*10000/C14,0)</f>
        <v>24935</v>
      </c>
      <c r="G14" s="2512">
        <f ca="1">结果表!H107</f>
        <v>65329</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0" t="str">
        <f>项目基本情况!B1</f>
        <v>北京市昌平区回龙观东大街318号院1号楼-1至5层房地产房地产市场价值预评估</v>
      </c>
      <c r="C37" s="3520"/>
      <c r="D37" s="3520"/>
      <c r="E37" s="3520"/>
      <c r="F37" s="3520"/>
      <c r="G37" s="3520"/>
      <c r="H37" s="3520"/>
      <c r="I37" s="3520"/>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3377</v>
      </c>
      <c r="H1" s="1748" t="str">
        <f>IF(G1="现房","——","估价对象范围")</f>
        <v>——</v>
      </c>
      <c r="I1" s="1749" t="s">
        <v>3395</v>
      </c>
    </row>
    <row r="2" spans="1:12" ht="21.75" customHeight="1" thickBot="1">
      <c r="A2" s="3707" t="str">
        <f>项目基本情况!S2</f>
        <v>北京市昌平区回龙观东大街318号院1号楼-1至5层房地产房地产</v>
      </c>
      <c r="B2" s="3708"/>
      <c r="C2" s="3708"/>
      <c r="D2" s="3708"/>
      <c r="E2" s="3708"/>
      <c r="F2" s="3708"/>
      <c r="G2" s="3708"/>
      <c r="H2" s="3708"/>
      <c r="I2" s="3709"/>
    </row>
    <row r="3" spans="1:12" ht="12.75">
      <c r="A3" s="3711" t="s">
        <v>1263</v>
      </c>
      <c r="B3" s="3712"/>
      <c r="C3" s="3712"/>
      <c r="D3" s="3712"/>
      <c r="E3" s="3712"/>
      <c r="F3" s="3712"/>
      <c r="G3" s="3712"/>
      <c r="H3" s="3712"/>
      <c r="I3" s="3712"/>
    </row>
    <row r="4" spans="1:12" ht="14.25">
      <c r="A4" s="1752" t="s">
        <v>1264</v>
      </c>
      <c r="B4" s="1753" t="s">
        <v>1265</v>
      </c>
      <c r="C4" s="1754" t="s">
        <v>3390</v>
      </c>
      <c r="D4" s="1754" t="s">
        <v>3519</v>
      </c>
      <c r="E4" s="3716" t="s">
        <v>1266</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5" t="s">
        <v>1267</v>
      </c>
      <c r="B5" s="3710">
        <v>25</v>
      </c>
      <c r="C5" s="3713"/>
      <c r="D5" s="3701"/>
      <c r="E5" s="131" t="s">
        <v>1268</v>
      </c>
      <c r="F5" s="1755"/>
      <c r="G5" s="1755"/>
      <c r="H5" s="1755"/>
      <c r="I5" s="1371"/>
    </row>
    <row r="6" spans="1:12" ht="12.75">
      <c r="A6" s="3655"/>
      <c r="B6" s="3710"/>
      <c r="C6" s="3715"/>
      <c r="D6" s="3701"/>
      <c r="E6" s="131" t="s">
        <v>1269</v>
      </c>
      <c r="F6" s="1755"/>
      <c r="G6" s="1755"/>
      <c r="H6" s="1755"/>
      <c r="I6" s="1371"/>
    </row>
    <row r="7" spans="1:12" ht="12.75">
      <c r="A7" s="3655"/>
      <c r="B7" s="3710"/>
      <c r="C7" s="3714"/>
      <c r="D7" s="3701"/>
      <c r="E7" s="131" t="s">
        <v>1270</v>
      </c>
      <c r="F7" s="1755"/>
      <c r="G7" s="1755"/>
      <c r="H7" s="1755"/>
      <c r="I7" s="1371"/>
    </row>
    <row r="8" spans="1:12" ht="12.75">
      <c r="A8" s="3655" t="s">
        <v>1271</v>
      </c>
      <c r="B8" s="3710">
        <v>15</v>
      </c>
      <c r="C8" s="3713"/>
      <c r="D8" s="3701"/>
      <c r="E8" s="131" t="s">
        <v>1272</v>
      </c>
      <c r="F8" s="1755"/>
      <c r="G8" s="1755"/>
      <c r="H8" s="1755"/>
      <c r="I8" s="1371"/>
    </row>
    <row r="9" spans="1:12" ht="12.75">
      <c r="A9" s="3655"/>
      <c r="B9" s="3710"/>
      <c r="C9" s="3714"/>
      <c r="D9" s="3701"/>
      <c r="E9" s="131" t="s">
        <v>1273</v>
      </c>
      <c r="F9" s="1755"/>
      <c r="G9" s="1755"/>
      <c r="H9" s="1755"/>
      <c r="I9" s="1371"/>
    </row>
    <row r="10" spans="1:12" ht="12.75">
      <c r="A10" s="3655" t="s">
        <v>1274</v>
      </c>
      <c r="B10" s="3710">
        <v>15</v>
      </c>
      <c r="C10" s="3713"/>
      <c r="D10" s="3701"/>
      <c r="E10" s="131" t="s">
        <v>1275</v>
      </c>
      <c r="F10" s="1755"/>
      <c r="G10" s="1755"/>
      <c r="H10" s="1755"/>
      <c r="I10" s="1371"/>
    </row>
    <row r="11" spans="1:12" ht="12.75">
      <c r="A11" s="3655"/>
      <c r="B11" s="3710"/>
      <c r="C11" s="3714"/>
      <c r="D11" s="3701"/>
      <c r="E11" s="131" t="s">
        <v>1276</v>
      </c>
      <c r="F11" s="1755"/>
      <c r="G11" s="1755"/>
      <c r="H11" s="1755"/>
      <c r="I11" s="1371"/>
    </row>
    <row r="12" spans="1:12" ht="12.75">
      <c r="A12" s="3655" t="s">
        <v>1277</v>
      </c>
      <c r="B12" s="3710">
        <v>15</v>
      </c>
      <c r="C12" s="3713"/>
      <c r="D12" s="3701"/>
      <c r="E12" s="131" t="s">
        <v>1278</v>
      </c>
      <c r="F12" s="1755"/>
      <c r="G12" s="1755"/>
      <c r="H12" s="1755"/>
      <c r="I12" s="1371"/>
    </row>
    <row r="13" spans="1:12" ht="12.75">
      <c r="A13" s="3655"/>
      <c r="B13" s="3710"/>
      <c r="C13" s="3714"/>
      <c r="D13" s="3701"/>
      <c r="E13" s="131" t="s">
        <v>1279</v>
      </c>
      <c r="F13" s="1755"/>
      <c r="G13" s="1755"/>
      <c r="H13" s="1755"/>
      <c r="I13" s="1371"/>
    </row>
    <row r="14" spans="1:12" ht="12.75">
      <c r="A14" s="3655" t="s">
        <v>1280</v>
      </c>
      <c r="B14" s="3710">
        <v>30</v>
      </c>
      <c r="C14" s="3713">
        <v>4</v>
      </c>
      <c r="D14" s="3701">
        <f>10-C14</f>
        <v>6</v>
      </c>
      <c r="E14" s="131" t="s">
        <v>1281</v>
      </c>
      <c r="F14" s="1755"/>
      <c r="G14" s="1755"/>
      <c r="H14" s="1755"/>
      <c r="I14" s="1371"/>
    </row>
    <row r="15" spans="1:12" ht="12.75">
      <c r="A15" s="3655"/>
      <c r="B15" s="3710"/>
      <c r="C15" s="3715"/>
      <c r="D15" s="3701"/>
      <c r="E15" s="131" t="s">
        <v>1282</v>
      </c>
      <c r="F15" s="1755"/>
      <c r="G15" s="1755"/>
      <c r="H15" s="1755"/>
      <c r="I15" s="1371"/>
    </row>
    <row r="16" spans="1:12" ht="12.75">
      <c r="A16" s="3655"/>
      <c r="B16" s="3710"/>
      <c r="C16" s="3714"/>
      <c r="D16" s="3701"/>
      <c r="E16" s="131" t="s">
        <v>1283</v>
      </c>
      <c r="F16" s="1755"/>
      <c r="G16" s="1755"/>
      <c r="H16" s="1755"/>
      <c r="I16" s="1371"/>
    </row>
    <row r="17" spans="1:36" ht="15">
      <c r="A17" s="1756" t="s">
        <v>1284</v>
      </c>
      <c r="B17" s="56"/>
      <c r="C17" s="132">
        <f>SUM(C5:C16)</f>
        <v>4</v>
      </c>
      <c r="D17" s="132">
        <f>SUM(D5:D16)</f>
        <v>6</v>
      </c>
      <c r="E17" s="129"/>
      <c r="F17" s="129"/>
      <c r="G17" s="129"/>
      <c r="H17" s="129"/>
      <c r="I17" s="129"/>
      <c r="K17" s="302"/>
      <c r="L17" s="302" t="s">
        <v>1285</v>
      </c>
      <c r="M17" s="302" t="s">
        <v>1286</v>
      </c>
    </row>
    <row r="18" spans="1:36" ht="31.9" customHeight="1" thickBot="1">
      <c r="A18" s="1757" t="s">
        <v>1287</v>
      </c>
      <c r="B18" s="1758"/>
      <c r="C18" s="133">
        <f>ROUND(C17/SUM(C17:D17),2)</f>
        <v>0.4</v>
      </c>
      <c r="D18" s="133">
        <f>1-C18</f>
        <v>0.6</v>
      </c>
      <c r="E18" s="3732" t="s">
        <v>2130</v>
      </c>
      <c r="F18" s="3733"/>
      <c r="G18" s="3733"/>
      <c r="H18" s="3733"/>
      <c r="I18" s="3733"/>
      <c r="K18" s="302" t="s">
        <v>1288</v>
      </c>
      <c r="L18" s="302">
        <f>IF(C1="",'数据-汇总表'!E3,SUMIF(项目类型,C1,'数据-汇总表'!E17:E26)+SUMIF(项目类型,C1,'数据-汇总表'!I17:I26))</f>
        <v>25743.170000000006</v>
      </c>
      <c r="M18" s="302">
        <f>IF(C1="",'数据-汇总表'!E3,SUMIF(项目类型,C1,'数据-汇总表'!E17:E26))</f>
        <v>25743.170000000006</v>
      </c>
    </row>
    <row r="19" spans="1:36" ht="15">
      <c r="A19" s="1759" t="s">
        <v>1289</v>
      </c>
      <c r="B19" s="1760" t="s">
        <v>1290</v>
      </c>
      <c r="C19" s="134">
        <f ca="1">SUMIF(INDIRECT("'"&amp;C4&amp;"'"&amp;"!A:A"),结果表!B19,INDIRECT("'"&amp;C4&amp;"'"&amp;"!B:B"))</f>
        <v>79817</v>
      </c>
      <c r="D19" s="135">
        <f ca="1">SUMIF(INDIRECT("'"&amp;D4&amp;"'"&amp;"!A:A"),结果表!B19,INDIRECT("'"&amp;D4&amp;"'"&amp;"!B:B"))</f>
        <v>55670</v>
      </c>
      <c r="E19" s="1759" t="s">
        <v>1291</v>
      </c>
      <c r="F19" s="1760" t="s">
        <v>1290</v>
      </c>
      <c r="G19" s="136">
        <f ca="1">ROUND(C19*$C$18+D19*$D$18,0)</f>
        <v>65329</v>
      </c>
      <c r="H19" s="1761" t="s">
        <v>1292</v>
      </c>
      <c r="I19" s="129"/>
      <c r="K19" s="302" t="s">
        <v>1293</v>
      </c>
      <c r="L19" s="302">
        <f>IF(C1="",'数据-汇总表'!D3,SUMIF(项目类型,C1,'数据-汇总表'!D17:D26)+SUMIF(项目类型,C1,'数据-汇总表'!H17:H27))</f>
        <v>26199.81</v>
      </c>
      <c r="M19" s="302">
        <f>IF(C1="",'数据-汇总表'!D3,SUMIF(项目类型,C1,'数据-汇总表'!D17:D26))</f>
        <v>26199.81</v>
      </c>
    </row>
    <row r="20" spans="1:36" ht="15">
      <c r="A20" s="1762"/>
      <c r="B20" s="1025" t="s">
        <v>1294</v>
      </c>
      <c r="C20" s="137">
        <f ca="1">SUMIF(INDIRECT("'"&amp;C4&amp;"'"&amp;"!A:A"),结果表!B20,INDIRECT("'"&amp;C4&amp;"'"&amp;"!B:B"))</f>
        <v>31005</v>
      </c>
      <c r="D20" s="138">
        <f ca="1">SUMIF(INDIRECT("'"&amp;D4&amp;"'"&amp;"!A:A"),结果表!B20,INDIRECT("'"&amp;D4&amp;"'"&amp;"!B:B"))</f>
        <v>21625</v>
      </c>
      <c r="E20" s="1762"/>
      <c r="F20" s="1025" t="s">
        <v>1294</v>
      </c>
      <c r="G20" s="139">
        <f ca="1">ROUND(C20*$C$18+D20*$D$18,0)</f>
        <v>25377</v>
      </c>
      <c r="H20" s="807" t="s">
        <v>1295</v>
      </c>
      <c r="I20" s="129"/>
    </row>
    <row r="21" spans="1:36" ht="15" customHeight="1" thickBot="1">
      <c r="A21" s="827"/>
      <c r="B21" s="1763" t="s">
        <v>1296</v>
      </c>
      <c r="C21" s="718">
        <f ca="1">ROUND(C19*10000/L19,0)</f>
        <v>30465</v>
      </c>
      <c r="D21" s="719">
        <f ca="1">ROUND(D19*10000/L19,0)</f>
        <v>21248</v>
      </c>
      <c r="E21" s="827"/>
      <c r="F21" s="1763" t="s">
        <v>1296</v>
      </c>
      <c r="G21" s="140">
        <f ca="1">ROUND(G19*10000/L19,0)</f>
        <v>24935</v>
      </c>
      <c r="H21" s="1764" t="s">
        <v>1295</v>
      </c>
      <c r="I21" s="129"/>
      <c r="K21" s="724" t="s">
        <v>3524</v>
      </c>
    </row>
    <row r="22" spans="1:36" ht="15" thickBot="1">
      <c r="A22" s="1686" t="s">
        <v>1297</v>
      </c>
      <c r="B22" s="1765"/>
      <c r="C22" s="1766"/>
      <c r="D22" s="720">
        <f ca="1">IF(C19&lt;D19,D19/C19-1,C19/D19-1)</f>
        <v>0.43375246991198124</v>
      </c>
      <c r="E22" s="129"/>
      <c r="F22" s="129"/>
      <c r="G22" s="129"/>
      <c r="H22" s="129"/>
      <c r="I22" s="129"/>
      <c r="K22" s="724">
        <v>65627</v>
      </c>
    </row>
    <row r="23" spans="1:36" ht="13.5" thickBot="1">
      <c r="A23" s="1745"/>
      <c r="B23" s="1745"/>
      <c r="C23" s="1745"/>
      <c r="D23" s="1745"/>
      <c r="E23" s="129"/>
      <c r="F23" s="129"/>
      <c r="G23" s="129"/>
      <c r="H23" s="129"/>
      <c r="I23" s="129"/>
    </row>
    <row r="24" spans="1:36" ht="14.25">
      <c r="A24" s="3725" t="s">
        <v>1298</v>
      </c>
      <c r="B24" s="1760" t="s">
        <v>1290</v>
      </c>
      <c r="C24" s="136">
        <f>IF(B30=0,0,D30)</f>
        <v>0</v>
      </c>
      <c r="D24" s="1767"/>
      <c r="E24" s="129"/>
      <c r="F24" s="129"/>
      <c r="G24" s="129"/>
      <c r="H24" s="129"/>
      <c r="I24" s="129"/>
    </row>
    <row r="25" spans="1:36" ht="14.25">
      <c r="A25" s="3726"/>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f ca="1">ROUND(G19*10000/'数据-汇总表'!F31,0)</f>
        <v>28323</v>
      </c>
      <c r="D27" s="143">
        <f ca="1">G19/'数据-汇总表'!F19*10000</f>
        <v>28323.044593978841</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65329</v>
      </c>
      <c r="D32" s="1773" t="s">
        <v>3396</v>
      </c>
      <c r="E32" s="129"/>
      <c r="F32" s="129"/>
      <c r="G32" s="129"/>
      <c r="H32" s="129"/>
      <c r="I32" s="129"/>
    </row>
    <row r="33" spans="1:15" ht="15">
      <c r="A33" s="785" t="s">
        <v>1305</v>
      </c>
      <c r="B33" s="1774"/>
      <c r="C33" s="1775" t="s">
        <v>3397</v>
      </c>
      <c r="D33" s="1776" t="s">
        <v>3391</v>
      </c>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8"/>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702" t="s">
        <v>1311</v>
      </c>
      <c r="B36" s="1785" t="s">
        <v>1312</v>
      </c>
      <c r="C36" s="145"/>
      <c r="D36" s="1786"/>
      <c r="E36" s="1787"/>
      <c r="F36" s="1788"/>
      <c r="G36" s="129"/>
      <c r="H36" s="129"/>
      <c r="I36" s="129"/>
    </row>
    <row r="37" spans="1:15" ht="15.75" thickBot="1">
      <c r="A37" s="3703"/>
      <c r="B37" s="1672" t="s">
        <v>1313</v>
      </c>
      <c r="C37" s="147"/>
      <c r="D37" s="1138"/>
      <c r="E37" s="1138"/>
      <c r="F37" s="1788"/>
      <c r="G37" s="129"/>
      <c r="H37" s="129"/>
      <c r="I37" s="129"/>
    </row>
    <row r="38" spans="1:15" ht="15.75" thickBot="1">
      <c r="A38" s="3704"/>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722" t="s">
        <v>1325</v>
      </c>
      <c r="B45" s="3723"/>
      <c r="C45" s="3724"/>
      <c r="D45" s="155">
        <f ca="1">ROUND(H101*F45,0)</f>
        <v>65329</v>
      </c>
      <c r="E45" s="156" t="s">
        <v>1326</v>
      </c>
      <c r="F45" s="157">
        <v>1</v>
      </c>
      <c r="G45" s="158" t="s">
        <v>1327</v>
      </c>
      <c r="H45" s="129"/>
      <c r="I45" s="129"/>
      <c r="J45" s="3642" t="s">
        <v>1328</v>
      </c>
      <c r="K45" s="3642"/>
      <c r="L45" s="3642"/>
      <c r="M45" s="3642"/>
      <c r="N45" s="3642"/>
      <c r="O45" s="3642"/>
    </row>
    <row r="46" spans="1:15" ht="14.25" customHeight="1">
      <c r="A46" s="3719" t="s">
        <v>1329</v>
      </c>
      <c r="B46" s="3720"/>
      <c r="C46" s="3720"/>
      <c r="D46" s="3720"/>
      <c r="E46" s="3720"/>
      <c r="F46" s="3720"/>
      <c r="G46" s="3721"/>
      <c r="H46" s="1804"/>
      <c r="I46" s="159"/>
      <c r="J46" s="2517">
        <v>1</v>
      </c>
      <c r="K46" s="3643" t="s">
        <v>1330</v>
      </c>
      <c r="L46" s="3643"/>
      <c r="M46" s="3644"/>
      <c r="N46" s="3644"/>
      <c r="O46" s="3644"/>
    </row>
    <row r="47" spans="1:15" ht="12" customHeight="1">
      <c r="A47" s="160" t="s">
        <v>1331</v>
      </c>
      <c r="B47" s="161"/>
      <c r="C47" s="162"/>
      <c r="D47" s="1086" t="s">
        <v>1332</v>
      </c>
      <c r="E47" s="302" t="s">
        <v>1333</v>
      </c>
      <c r="F47" s="163" t="s">
        <v>1334</v>
      </c>
      <c r="G47" s="2540" t="s">
        <v>1335</v>
      </c>
      <c r="H47" s="2541"/>
      <c r="I47" s="159"/>
      <c r="J47" s="2517">
        <v>2</v>
      </c>
      <c r="K47" s="3643" t="s">
        <v>1336</v>
      </c>
      <c r="L47" s="3643"/>
      <c r="M47" s="3645">
        <f>'数据-取费表'!B2</f>
        <v>45163</v>
      </c>
      <c r="N47" s="3645"/>
      <c r="O47" s="3645"/>
    </row>
    <row r="48" spans="1:15" ht="25.5">
      <c r="A48" s="3705" t="s">
        <v>1337</v>
      </c>
      <c r="B48" s="3706"/>
      <c r="C48" s="3706"/>
      <c r="D48" s="2320">
        <f ca="1">IF(H48="情况1",0,IF(H48="情况2",D52,IF(H48="情况3",D53,IF(H48="情况4",D54))))</f>
        <v>3422</v>
      </c>
      <c r="E48" s="2330" t="str">
        <f>IF(H48="情况4","(销售额-原购置价)×税（费）率","销售额×税（费）率")</f>
        <v>销售额×税（费）率</v>
      </c>
      <c r="F48" s="2542">
        <f>IF(H48="情况1","免征",'数据-取费表'!B41)</f>
        <v>5.5000000000000007E-2</v>
      </c>
      <c r="G48" s="2543" t="s">
        <v>1338</v>
      </c>
      <c r="H48" s="2544" t="s">
        <v>3398</v>
      </c>
      <c r="I48" s="1804"/>
      <c r="J48" s="2517">
        <v>3</v>
      </c>
      <c r="K48" s="3643" t="s">
        <v>1339</v>
      </c>
      <c r="L48" s="3643"/>
      <c r="M48" s="3646">
        <f ca="1">H101</f>
        <v>65329</v>
      </c>
      <c r="N48" s="3646"/>
      <c r="O48" s="3646"/>
    </row>
    <row r="49" spans="1:35" ht="25.5" customHeight="1">
      <c r="A49" s="2329" t="s">
        <v>1340</v>
      </c>
      <c r="B49" s="3691" t="s">
        <v>1341</v>
      </c>
      <c r="C49" s="3691"/>
      <c r="D49" s="1588">
        <v>0</v>
      </c>
      <c r="E49" s="324" t="s">
        <v>1342</v>
      </c>
      <c r="F49" s="2419" t="s">
        <v>28</v>
      </c>
      <c r="G49" s="3674"/>
      <c r="H49" s="2306" t="s">
        <v>2133</v>
      </c>
      <c r="I49" s="2307"/>
      <c r="J49" s="2517">
        <v>4</v>
      </c>
      <c r="K49" s="3643" t="str">
        <f>IF(项目基本情况!E8="房地产抵押价值","房地产抵押价值","抵押担保权已注销时的房地产抵押价值")</f>
        <v>房地产抵押价值</v>
      </c>
      <c r="L49" s="3643"/>
      <c r="M49" s="3646">
        <f ca="1">IF(项目基本情况!E8="房地产抵押价值",H107,H109)</f>
        <v>65329</v>
      </c>
      <c r="N49" s="3646"/>
      <c r="O49" s="3646"/>
    </row>
    <row r="50" spans="1:35" ht="25.5" customHeight="1">
      <c r="A50" s="2545"/>
      <c r="B50" s="3691" t="s">
        <v>1343</v>
      </c>
      <c r="C50" s="3691"/>
      <c r="D50" s="2546"/>
      <c r="E50" s="332"/>
      <c r="F50" s="2419"/>
      <c r="G50" s="3675"/>
      <c r="H50" s="2308" t="s">
        <v>2134</v>
      </c>
      <c r="I50" s="2307"/>
      <c r="J50" s="3642" t="s">
        <v>1344</v>
      </c>
      <c r="K50" s="3642"/>
      <c r="L50" s="3642"/>
      <c r="M50" s="3642"/>
      <c r="N50" s="3642"/>
      <c r="O50" s="3642"/>
    </row>
    <row r="51" spans="1:35" ht="20.45" customHeight="1">
      <c r="A51" s="2547"/>
      <c r="B51" s="3691" t="s">
        <v>1345</v>
      </c>
      <c r="C51" s="3691"/>
      <c r="D51" s="1086"/>
      <c r="E51" s="327"/>
      <c r="F51" s="2419"/>
      <c r="G51" s="3676"/>
      <c r="H51" s="2308" t="s">
        <v>2135</v>
      </c>
      <c r="I51" s="2307"/>
      <c r="J51" s="2518" t="s">
        <v>1346</v>
      </c>
      <c r="K51" s="3643" t="s">
        <v>1347</v>
      </c>
      <c r="L51" s="3643"/>
      <c r="M51" s="2518" t="s">
        <v>1348</v>
      </c>
      <c r="N51" s="2518" t="s">
        <v>1349</v>
      </c>
      <c r="O51" s="2518" t="s">
        <v>1350</v>
      </c>
    </row>
    <row r="52" spans="1:35" ht="24" customHeight="1">
      <c r="A52" s="2331" t="s">
        <v>1351</v>
      </c>
      <c r="B52" s="3691" t="s">
        <v>1352</v>
      </c>
      <c r="C52" s="3691"/>
      <c r="D52" s="1086">
        <f ca="1">ROUND(D45*'数据-取费表'!B41/(1+'数据-取费表'!C42),0)</f>
        <v>3422</v>
      </c>
      <c r="E52" s="2330" t="s">
        <v>1353</v>
      </c>
      <c r="F52" s="2548">
        <f>'数据-取费表'!B41</f>
        <v>5.5000000000000007E-2</v>
      </c>
      <c r="G52" s="2549"/>
      <c r="H52" s="2538"/>
      <c r="I52" s="1805"/>
      <c r="J52" s="2517">
        <v>1</v>
      </c>
      <c r="K52" s="3668" t="s">
        <v>1354</v>
      </c>
      <c r="L52" s="3668"/>
      <c r="M52" s="2519">
        <f ca="1">D48</f>
        <v>3422</v>
      </c>
      <c r="N52" s="2517" t="str">
        <f>E48</f>
        <v>销售额×税（费）率</v>
      </c>
      <c r="O52" s="2520">
        <f>F48</f>
        <v>5.5000000000000007E-2</v>
      </c>
    </row>
    <row r="53" spans="1:35" ht="12" customHeight="1">
      <c r="A53" s="2331" t="s">
        <v>1355</v>
      </c>
      <c r="B53" s="3692" t="s">
        <v>2279</v>
      </c>
      <c r="C53" s="3693"/>
      <c r="D53" s="1086">
        <f ca="1">ROUND(D45*'数据-取费表'!B41/(1+'数据-取费表'!C42),0)</f>
        <v>3422</v>
      </c>
      <c r="E53" s="2330" t="s">
        <v>1353</v>
      </c>
      <c r="F53" s="2548">
        <f>'数据-取费表'!B41</f>
        <v>5.5000000000000007E-2</v>
      </c>
      <c r="G53" s="2549"/>
      <c r="H53" s="2538"/>
      <c r="I53" s="1805"/>
      <c r="J53" s="2517">
        <v>2</v>
      </c>
      <c r="K53" s="3668" t="s">
        <v>1356</v>
      </c>
      <c r="L53" s="3668"/>
      <c r="M53" s="2519">
        <f t="shared" ref="M53:O54" ca="1" si="0">D55</f>
        <v>33</v>
      </c>
      <c r="N53" s="2517" t="str">
        <f t="shared" si="0"/>
        <v>销售额×税（费）率</v>
      </c>
      <c r="O53" s="2520">
        <f t="shared" si="0"/>
        <v>5.0000000000000001E-4</v>
      </c>
    </row>
    <row r="54" spans="1:35" ht="12" customHeight="1">
      <c r="A54" s="2331" t="s">
        <v>1357</v>
      </c>
      <c r="B54" s="3692" t="s">
        <v>2280</v>
      </c>
      <c r="C54" s="3693"/>
      <c r="D54" s="1086">
        <f ca="1">C68</f>
        <v>3422</v>
      </c>
      <c r="E54" s="327" t="s">
        <v>1358</v>
      </c>
      <c r="F54" s="2548">
        <f>'数据-取费表'!B41</f>
        <v>5.5000000000000007E-2</v>
      </c>
      <c r="G54" s="2549"/>
      <c r="H54" s="2550"/>
      <c r="I54" s="1805"/>
      <c r="J54" s="2517">
        <v>3</v>
      </c>
      <c r="K54" s="3668" t="s">
        <v>1359</v>
      </c>
      <c r="L54" s="3668"/>
      <c r="M54" s="2519">
        <f t="shared" ca="1" si="0"/>
        <v>37035</v>
      </c>
      <c r="N54" s="2517" t="str">
        <f t="shared" si="0"/>
        <v>增值额×税（费）率</v>
      </c>
      <c r="O54" s="2521" t="str">
        <f t="shared" si="0"/>
        <v>——</v>
      </c>
    </row>
    <row r="55" spans="1:35" ht="24" customHeight="1">
      <c r="A55" s="3728" t="s">
        <v>1360</v>
      </c>
      <c r="B55" s="3706"/>
      <c r="C55" s="3706"/>
      <c r="D55" s="2320">
        <f ca="1">IF(H55="个人住宅",0,ROUND(D45*I55,0))</f>
        <v>33</v>
      </c>
      <c r="E55" s="2330" t="s">
        <v>1361</v>
      </c>
      <c r="F55" s="2548">
        <f>IF(H55="正常",I55,"免征")</f>
        <v>5.0000000000000001E-4</v>
      </c>
      <c r="G55" s="2549"/>
      <c r="H55" s="2544" t="s">
        <v>3399</v>
      </c>
      <c r="I55" s="165">
        <f>'数据-取费表'!B49</f>
        <v>5.0000000000000001E-4</v>
      </c>
      <c r="J55" s="2517" t="str">
        <f>IF(H59="非个人房产","",4)</f>
        <v/>
      </c>
      <c r="K55" s="3668" t="str">
        <f>IF(H59="非个人房产","——","个人所得税")</f>
        <v>——</v>
      </c>
      <c r="L55" s="3668"/>
      <c r="M55" s="2522" t="str">
        <f>D59</f>
        <v>——</v>
      </c>
      <c r="N55" s="2036" t="str">
        <f>E59</f>
        <v>——</v>
      </c>
      <c r="O55" s="2523" t="str">
        <f>F59</f>
        <v>——</v>
      </c>
    </row>
    <row r="56" spans="1:35" ht="24.75">
      <c r="A56" s="3728" t="s">
        <v>1362</v>
      </c>
      <c r="B56" s="3706"/>
      <c r="C56" s="3706"/>
      <c r="D56" s="2320">
        <f ca="1">IF(H56="个人住宅",D57,D58)</f>
        <v>37035</v>
      </c>
      <c r="E56" s="2330" t="s">
        <v>1363</v>
      </c>
      <c r="F56" s="2548" t="str">
        <f>IF(H56="正常",F58,"免征")</f>
        <v>——</v>
      </c>
      <c r="G56" s="2551" t="s">
        <v>1364</v>
      </c>
      <c r="H56" s="2552" t="s">
        <v>3399</v>
      </c>
      <c r="I56" s="1806"/>
      <c r="J56" s="2517" t="str">
        <f>IF(项目基本情况!K6="上海银行",IF(J55="",4,J55+1),"")</f>
        <v/>
      </c>
      <c r="K56" s="3649" t="str">
        <f>IF(项目基本情况!K6="上海银行","其他处置费用","")</f>
        <v/>
      </c>
      <c r="L56" s="3650"/>
      <c r="M56" s="2519" t="str">
        <f>IF(项目基本情况!K6="上海银行",M69,"")</f>
        <v/>
      </c>
      <c r="N56" s="3649" t="str">
        <f>IF(项目基本情况!K6="上海银行","包含处置中涉及的律师、诉讼、拍卖、评估等费用","")</f>
        <v/>
      </c>
      <c r="O56" s="3652"/>
    </row>
    <row r="57" spans="1:35" ht="12.75">
      <c r="A57" s="2331" t="s">
        <v>1340</v>
      </c>
      <c r="B57" s="3692" t="s">
        <v>1365</v>
      </c>
      <c r="C57" s="3693"/>
      <c r="D57" s="1588">
        <v>0</v>
      </c>
      <c r="E57" s="324" t="s">
        <v>1342</v>
      </c>
      <c r="F57" s="302"/>
      <c r="G57" s="2549"/>
      <c r="H57" s="2553"/>
      <c r="I57" s="1806"/>
      <c r="J57" s="3668">
        <f>IF(AND(J55="",J56=""),4,IF(项目基本情况!K6="上海银行",结果表!J56+1,结果表!J55+1))</f>
        <v>4</v>
      </c>
      <c r="K57" s="3668" t="s">
        <v>1366</v>
      </c>
      <c r="L57" s="2524" t="s">
        <v>1367</v>
      </c>
      <c r="M57" s="2525"/>
      <c r="N57" s="2526">
        <f ca="1">SUMIF(M52:M56,"&lt;9e307")</f>
        <v>40490</v>
      </c>
      <c r="O57" s="2527"/>
      <c r="P57" s="2684">
        <f ca="1">N57/M49</f>
        <v>0.61978600621469793</v>
      </c>
    </row>
    <row r="58" spans="1:35" ht="24.75">
      <c r="A58" s="2331" t="s">
        <v>1351</v>
      </c>
      <c r="B58" s="3692" t="s">
        <v>1368</v>
      </c>
      <c r="C58" s="3691"/>
      <c r="D58" s="2320">
        <f ca="1">IF(H58="转让取得",C81,C97)</f>
        <v>37035</v>
      </c>
      <c r="E58" s="2330" t="s">
        <v>1363</v>
      </c>
      <c r="F58" s="302" t="s">
        <v>28</v>
      </c>
      <c r="G58" s="2549"/>
      <c r="H58" s="2552" t="s">
        <v>3400</v>
      </c>
      <c r="I58" s="1806"/>
      <c r="J58" s="3668"/>
      <c r="K58" s="3668"/>
      <c r="L58" s="2524" t="s">
        <v>1369</v>
      </c>
      <c r="M58" s="2528"/>
      <c r="N58" s="2529" t="str">
        <f ca="1">NUMBERSTRING(INT(N57*10000),2)&amp;"元整"</f>
        <v>肆亿零肆佰玖拾万元整</v>
      </c>
      <c r="O58" s="2530"/>
    </row>
    <row r="59" spans="1:35" ht="24.75" thickBot="1">
      <c r="A59" s="3672" t="s">
        <v>1370</v>
      </c>
      <c r="B59" s="3673"/>
      <c r="C59" s="3673"/>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3401</v>
      </c>
      <c r="I59" s="2309" t="s">
        <v>2136</v>
      </c>
      <c r="J59" s="3670">
        <f>J57+1</f>
        <v>5</v>
      </c>
      <c r="K59" s="3668" t="s">
        <v>1371</v>
      </c>
      <c r="L59" s="2517" t="s">
        <v>1367</v>
      </c>
      <c r="M59" s="2531"/>
      <c r="N59" s="2532">
        <f ca="1">M49-N57</f>
        <v>24839</v>
      </c>
      <c r="O59" s="2533"/>
    </row>
    <row r="60" spans="1:35" ht="12" customHeight="1">
      <c r="A60" s="1807"/>
      <c r="B60" s="1745"/>
      <c r="C60" s="1745"/>
      <c r="D60" s="1745"/>
      <c r="E60" s="1576"/>
      <c r="F60" s="1806"/>
      <c r="G60" s="1806"/>
      <c r="H60" s="1808"/>
      <c r="I60" s="129"/>
      <c r="J60" s="3671"/>
      <c r="K60" s="3668"/>
      <c r="L60" s="2524" t="s">
        <v>1369</v>
      </c>
      <c r="M60" s="2528"/>
      <c r="N60" s="2529" t="str">
        <f ca="1">NUMBERSTRING(INT(N59*10000),2)&amp;"元整"</f>
        <v>贰亿肆仟捌佰叁拾玖万元整</v>
      </c>
      <c r="O60" s="2530"/>
    </row>
    <row r="61" spans="1:35" ht="13.5" thickBot="1">
      <c r="A61" s="3727" t="s">
        <v>1372</v>
      </c>
      <c r="B61" s="3727"/>
      <c r="C61" s="3727"/>
      <c r="D61" s="3727"/>
      <c r="E61" s="3727"/>
      <c r="F61" s="1806"/>
      <c r="G61" s="1806"/>
      <c r="H61" s="1808"/>
      <c r="I61" s="129"/>
      <c r="J61" s="2517">
        <f>J59+1</f>
        <v>6</v>
      </c>
      <c r="K61" s="3668" t="s">
        <v>1373</v>
      </c>
      <c r="L61" s="3668"/>
      <c r="M61" s="2534"/>
      <c r="N61" s="2535">
        <f ca="1">ROUND(N59*10000/'数据-汇总表'!E3,0)</f>
        <v>9649</v>
      </c>
      <c r="O61" s="2536"/>
    </row>
    <row r="62" spans="1:35" ht="12.75">
      <c r="A62" s="3687" t="s">
        <v>1374</v>
      </c>
      <c r="B62" s="3688"/>
      <c r="C62" s="2017"/>
      <c r="D62" s="2017" t="s">
        <v>1375</v>
      </c>
      <c r="E62" s="166" t="s">
        <v>1376</v>
      </c>
      <c r="F62" s="1806"/>
      <c r="G62" s="1806"/>
      <c r="H62" s="1808"/>
      <c r="I62" s="129"/>
    </row>
    <row r="63" spans="1:35" ht="12.75">
      <c r="A63" s="173" t="s">
        <v>330</v>
      </c>
      <c r="B63" s="167" t="s">
        <v>1377</v>
      </c>
      <c r="C63" s="2558">
        <f ca="1">ROUND((C64+C65)/(1+'数据-取费表'!C42),0)</f>
        <v>62218</v>
      </c>
      <c r="D63" s="167"/>
      <c r="E63" s="168"/>
      <c r="F63" s="1806"/>
      <c r="G63" s="1806"/>
      <c r="H63" s="1808"/>
      <c r="I63" s="129"/>
      <c r="J63" s="3651" t="s">
        <v>1378</v>
      </c>
      <c r="K63" s="1330" t="s">
        <v>1379</v>
      </c>
      <c r="L63" s="1330">
        <f ca="1">IF(M49&gt;10000,M49*0.5%,IF(AND(M49&gt;1000,M49&lt;=10000),M49*1%,IF(AND(M49&gt;100,M49&lt;=1000),M49*3%,IF(AND(M49&gt;10,M49&lt;=100),M49*5%,M49*8%))))</f>
        <v>326.64499999999998</v>
      </c>
      <c r="M63" s="302">
        <f ca="1">ROUND(L63,1)</f>
        <v>326.60000000000002</v>
      </c>
      <c r="N63" s="2537"/>
      <c r="Z63" s="1750"/>
      <c r="AI63" s="1751"/>
    </row>
    <row r="64" spans="1:35" ht="14.25" customHeight="1">
      <c r="A64" s="169" t="s">
        <v>325</v>
      </c>
      <c r="B64" s="170" t="s">
        <v>1380</v>
      </c>
      <c r="C64" s="2559">
        <f ca="1">D45</f>
        <v>65329</v>
      </c>
      <c r="D64" s="170" t="s">
        <v>26</v>
      </c>
      <c r="E64" s="172"/>
      <c r="F64" s="1806"/>
      <c r="G64" s="1806"/>
      <c r="H64" s="1808"/>
      <c r="I64" s="129"/>
      <c r="J64" s="3651"/>
      <c r="K64" s="1330" t="s">
        <v>1381</v>
      </c>
      <c r="L64" s="1330">
        <f ca="1">IF(M49&gt;2000,M49*0.5%,IF(AND(M49&gt;1000,M49&lt;=2000),M49*0.6%,IF(AND(M49&gt;500,M49&lt;=1000),M49*0.7%,IF(AND(M49&gt;200,M49&lt;=500),M49*0.8%,IF(AND(M49&gt;100,M49&lt;=200),M49*0.9%,IF(AND(M49&gt;50,M49&lt;=100),M49*1%,IF(AND(M49&gt;20,M49&lt;=50),M49*1.5%,IF(AND(M49&gt;10,M49&lt;=20),M49*2%,IF(AND(M49&gt;1,M49&lt;=10),M49*2.5%)))))))))</f>
        <v>326.64499999999998</v>
      </c>
      <c r="M64" s="302">
        <f t="shared" ref="M64:M65" ca="1" si="1">ROUND(L64,1)</f>
        <v>326.60000000000002</v>
      </c>
      <c r="N64" s="2538" t="s">
        <v>1382</v>
      </c>
      <c r="Z64" s="1750"/>
      <c r="AI64" s="1751"/>
    </row>
    <row r="65" spans="1:35" ht="14.25" customHeight="1">
      <c r="A65" s="169" t="s">
        <v>326</v>
      </c>
      <c r="B65" s="170" t="s">
        <v>1383</v>
      </c>
      <c r="C65" s="2560"/>
      <c r="D65" s="170"/>
      <c r="E65" s="172"/>
      <c r="F65" s="1806"/>
      <c r="G65" s="1806"/>
      <c r="H65" s="1808"/>
      <c r="I65" s="129"/>
      <c r="J65" s="3651"/>
      <c r="K65" s="1330" t="s">
        <v>1384</v>
      </c>
      <c r="L65" s="1330">
        <f ca="1">IF(M49&gt;1000,M49*0.1%,IF(AND(M49&gt;500,M49&lt;=1000),M49*0.5%,IF(AND(M49&gt;50,M49&lt;=500),M49*1%,IF(AND(M49&gt;1,M49&lt;=50),M49*1.5%))))</f>
        <v>65.329000000000008</v>
      </c>
      <c r="M65" s="302">
        <f t="shared" ca="1" si="1"/>
        <v>65.3</v>
      </c>
      <c r="N65" s="2538" t="s">
        <v>1382</v>
      </c>
      <c r="Z65" s="1750"/>
      <c r="AI65" s="1751"/>
    </row>
    <row r="66" spans="1:35" ht="14.25" customHeight="1">
      <c r="A66" s="173" t="s">
        <v>327</v>
      </c>
      <c r="B66" s="174" t="s">
        <v>1385</v>
      </c>
      <c r="C66" s="2561">
        <f>C75/1.05</f>
        <v>0</v>
      </c>
      <c r="D66" s="174" t="s">
        <v>26</v>
      </c>
      <c r="E66" s="1336" t="s">
        <v>671</v>
      </c>
      <c r="F66" s="1806"/>
      <c r="G66" s="1806"/>
      <c r="H66" s="1808"/>
      <c r="I66" s="129"/>
      <c r="J66" s="3651"/>
      <c r="K66" s="1330" t="s">
        <v>1386</v>
      </c>
      <c r="L66" s="1330">
        <f ca="1">M49*0.5%</f>
        <v>326.64499999999998</v>
      </c>
      <c r="M66" s="302">
        <f ca="1">IF(L66&gt;0.5,0.5,ROUND(L66,0))</f>
        <v>0.5</v>
      </c>
      <c r="N66" s="2538" t="s">
        <v>1387</v>
      </c>
      <c r="Z66" s="1750"/>
      <c r="AI66" s="1751"/>
    </row>
    <row r="67" spans="1:35" ht="14.25" customHeight="1">
      <c r="A67" s="173" t="s">
        <v>328</v>
      </c>
      <c r="B67" s="174" t="s">
        <v>1388</v>
      </c>
      <c r="C67" s="2562">
        <f ca="1">C63-C66</f>
        <v>62218</v>
      </c>
      <c r="D67" s="170" t="s">
        <v>26</v>
      </c>
      <c r="E67" s="172"/>
      <c r="F67" s="1806"/>
      <c r="G67" s="1806"/>
      <c r="H67" s="1808"/>
      <c r="I67" s="129"/>
      <c r="J67" s="3651"/>
      <c r="K67" s="1330" t="s">
        <v>1389</v>
      </c>
      <c r="L67" s="1330">
        <f ca="1">IF(M49&gt;=10000,(8.25+(M49-10000)*0.01%),IF(AND(M49&gt;=8000,M49&lt;10000),(7.85+(M49-8000)*0.02%),IF(AND(M49&gt;=5000,M49&lt;8000),(6.65+(M49-5000)*0.04%),IF(AND(M49&gt;=2000,M49&lt;5000),(4.25+(PM49-2000)*0.08%),IF(AND(M49&gt;=1000,M49&lt;2000),(2.75+(M49-1000)*0.15%),IF(AND(M49&gt;=100,M49&lt;1000),(0.5+(M49-100)*0.25%),IF(AND(M49&gt;0,M49&lt;100),M49*0.5%)))))))</f>
        <v>13.782900000000001</v>
      </c>
      <c r="M67" s="302">
        <f ca="1">ROUND(L67*0.9,1)</f>
        <v>12.4</v>
      </c>
      <c r="N67" s="2537"/>
      <c r="Z67" s="1750"/>
      <c r="AI67" s="1751"/>
    </row>
    <row r="68" spans="1:35" ht="14.25" customHeight="1" thickBot="1">
      <c r="A68" s="176" t="s">
        <v>329</v>
      </c>
      <c r="B68" s="177" t="s">
        <v>1390</v>
      </c>
      <c r="C68" s="2563">
        <f ca="1">IF(C67&lt;=0,0,ROUND(C67*D68,0))</f>
        <v>3422</v>
      </c>
      <c r="D68" s="2564">
        <f>'数据-取费表'!B41</f>
        <v>5.5000000000000007E-2</v>
      </c>
      <c r="E68" s="178"/>
      <c r="F68" s="1806"/>
      <c r="G68" s="1806"/>
      <c r="H68" s="1808"/>
      <c r="I68" s="129"/>
      <c r="J68" s="3651"/>
      <c r="K68" s="1330" t="s">
        <v>1391</v>
      </c>
      <c r="L68" s="1330">
        <f ca="1">IF(M49&gt;10000,M49*0.5%,IF(AND(M49&gt;5000,M49&lt;=10000),M49*1%,IF(AND(M49&gt;1000,M49&lt;=5000),M49*2%,IF(AND(M49&gt;200,M49&lt;=1000),M49*3%,M49*5%))))</f>
        <v>326.64499999999998</v>
      </c>
      <c r="M68" s="302">
        <f ca="1">ROUND(L68,1)</f>
        <v>326.60000000000002</v>
      </c>
      <c r="N68" s="2537"/>
      <c r="Z68" s="1750"/>
      <c r="AI68" s="1751"/>
    </row>
    <row r="69" spans="1:35" s="1770" customFormat="1" ht="16.5" customHeight="1">
      <c r="A69" s="1809"/>
      <c r="B69" s="1810"/>
      <c r="C69" s="1811"/>
      <c r="D69" s="1812"/>
      <c r="E69" s="1813"/>
      <c r="F69" s="1576"/>
      <c r="G69" s="1576"/>
      <c r="H69" s="1575"/>
      <c r="I69" s="1745"/>
      <c r="J69" s="3651"/>
      <c r="K69" s="1330" t="s">
        <v>1392</v>
      </c>
      <c r="L69" s="1330"/>
      <c r="M69" s="302">
        <f ca="1">ROUND(SUM(M63:M68),0)</f>
        <v>1058</v>
      </c>
      <c r="N69" s="2539">
        <f ca="1">M69/M49</f>
        <v>1.6194951705980499E-2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95" t="s">
        <v>1393</v>
      </c>
      <c r="B70" s="3696"/>
      <c r="C70" s="3696"/>
      <c r="D70" s="3696"/>
      <c r="E70" s="3696"/>
      <c r="F70" s="3696"/>
      <c r="G70" s="3696"/>
      <c r="H70" s="3696"/>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87" t="s">
        <v>1374</v>
      </c>
      <c r="B71" s="3688"/>
      <c r="C71" s="2017"/>
      <c r="D71" s="2017" t="s">
        <v>1375</v>
      </c>
      <c r="E71" s="179" t="s">
        <v>1376</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2">
        <f ca="1">ROUND(D45/(1+'数据-取费表'!C42),0)</f>
        <v>62218</v>
      </c>
      <c r="D72" s="170" t="s">
        <v>26</v>
      </c>
      <c r="E72" s="2327"/>
      <c r="F72" s="2326"/>
      <c r="G72" s="2326"/>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2">
        <f ca="1">C74+C78</f>
        <v>311</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5"/>
      <c r="D75" s="170" t="s">
        <v>26</v>
      </c>
      <c r="E75" s="184" t="s">
        <v>1398</v>
      </c>
      <c r="F75" s="2566" t="s">
        <v>3402</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68">
        <v>0.05</v>
      </c>
      <c r="E76" s="3692" t="s">
        <v>1401</v>
      </c>
      <c r="F76" s="3691"/>
      <c r="G76" s="3691"/>
      <c r="H76" s="36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3403</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0">
        <f ca="1">ROUND(D45*D78/(1+'数据-取费表'!C42),0)</f>
        <v>311</v>
      </c>
      <c r="D78" s="2571">
        <f>'数据-取费表'!B43</f>
        <v>5.000000000000001E-3</v>
      </c>
      <c r="E78" s="3684" t="s">
        <v>1405</v>
      </c>
      <c r="F78" s="3685"/>
      <c r="G78" s="3685"/>
      <c r="H78" s="36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2">
        <f ca="1">C72-C73</f>
        <v>61907</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2">
        <f ca="1">IF(C79&lt;=0,0,C79/C73)</f>
        <v>199.05787781350483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3">
        <f ca="1">ROUND(IF(C79&lt;=0,0,IF(C80&gt;=200%,C79*60%-C73*35%,IF(C80&gt;=100%,C79*50%-C73*15%,IF(C80&gt;=50%,C79*40%-C73*5%,IF(C80&lt;50%,C79*30%,0))))),0)</f>
        <v>37035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5" t="s">
        <v>1409</v>
      </c>
      <c r="B83" s="3696"/>
      <c r="C83" s="3696"/>
      <c r="D83" s="3696"/>
      <c r="E83" s="3696"/>
      <c r="F83" s="3696"/>
      <c r="G83" s="3696"/>
      <c r="H83" s="36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87" t="s">
        <v>1374</v>
      </c>
      <c r="B84" s="3688"/>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2">
        <f ca="1">ROUND(D45/(1+'数据-取费表'!C42),0)</f>
        <v>62218</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2">
        <f ca="1">IF(H88="仅含出让金",C87+C90+C91+C92+C93+C94,C87+C91+C92+C93+C94)</f>
        <v>311</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6"/>
      <c r="D88" s="2571"/>
      <c r="E88" s="193" t="s">
        <v>1412</v>
      </c>
      <c r="F88" s="2323"/>
      <c r="G88" s="194" t="s">
        <v>1413</v>
      </c>
      <c r="H88" s="1822" t="s">
        <v>3404</v>
      </c>
      <c r="I88" s="1819"/>
      <c r="J88" s="2515" t="s">
        <v>2276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6"/>
      <c r="D90" s="2571"/>
      <c r="E90" s="193" t="str">
        <f>IF(H88="-","土地取得成本中已包含该笔费用"," ")</f>
        <v xml:space="preserve"> </v>
      </c>
      <c r="F90" s="2323"/>
      <c r="G90" s="3653" t="s">
        <v>2128</v>
      </c>
      <c r="H90" s="3654"/>
      <c r="I90" s="1819"/>
      <c r="J90" s="2515" t="s">
        <v>2277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0">
        <f>IF(H91="——",成本法!C33,I91)</f>
        <v>0</v>
      </c>
      <c r="D91" s="2571"/>
      <c r="E91" s="3684" t="s">
        <v>1418</v>
      </c>
      <c r="F91" s="3685"/>
      <c r="G91" s="36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0">
        <f>ROUND((C87+C90+C91)*D92,0)</f>
        <v>0</v>
      </c>
      <c r="D92" s="2577"/>
      <c r="E92" s="3684" t="s">
        <v>1421</v>
      </c>
      <c r="F92" s="3685"/>
      <c r="G92" s="3685"/>
      <c r="H92" s="3686"/>
      <c r="I92" s="1819"/>
      <c r="J92" s="2516" t="s">
        <v>2278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0">
        <f ca="1">ROUND(D45*D93/(1+'数据-取费表'!C42),0)</f>
        <v>311</v>
      </c>
      <c r="D93" s="2571">
        <f>'数据-取费表'!B43</f>
        <v>5.000000000000001E-3</v>
      </c>
      <c r="E93" s="3684" t="s">
        <v>1405</v>
      </c>
      <c r="F93" s="3685"/>
      <c r="G93" s="3685"/>
      <c r="H93" s="36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6">
        <f>ROUND((C87+C90+C91)*D94,0)</f>
        <v>0</v>
      </c>
      <c r="D94" s="2571">
        <v>0.2</v>
      </c>
      <c r="E94" s="3729" t="s">
        <v>1425</v>
      </c>
      <c r="F94" s="3730"/>
      <c r="G94" s="3730"/>
      <c r="H94" s="37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2">
        <f ca="1">ROUND(C85-C86,0)</f>
        <v>61907</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2">
        <f ca="1">IF(C95&lt;=0,0,C95/C86)</f>
        <v>199.05787781350483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3">
        <f ca="1">ROUND(IF(C95&lt;=0,0,IF(C96&gt;=200%,C95*60%-C86*35%,IF(C96&gt;=100%,C95*50%-C86*15%,IF(C96&gt;=50%,C95*40%-C86*5%,IF(C96&lt;50%,C95*30%,0))))),0)</f>
        <v>37035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634" t="s">
        <v>1427</v>
      </c>
      <c r="B100" s="3635"/>
      <c r="C100" s="3635"/>
      <c r="D100" s="3669"/>
      <c r="E100" s="3635" t="s">
        <v>1428</v>
      </c>
      <c r="F100" s="3635"/>
      <c r="G100" s="3635"/>
      <c r="H100" s="3669"/>
      <c r="I100" s="129"/>
    </row>
    <row r="101" spans="1:35" ht="18.75" customHeight="1">
      <c r="A101" s="3677" t="s">
        <v>1429</v>
      </c>
      <c r="B101" s="3678"/>
      <c r="C101" s="2579" t="str">
        <f>C4</f>
        <v>成本法</v>
      </c>
      <c r="D101" s="2580" t="str">
        <f>D4</f>
        <v>收益法（汇总）</v>
      </c>
      <c r="E101" s="3647" t="s">
        <v>1430</v>
      </c>
      <c r="F101" s="3648"/>
      <c r="G101" s="1825" t="s">
        <v>1431</v>
      </c>
      <c r="H101" s="2589">
        <f ca="1">H118</f>
        <v>65329</v>
      </c>
      <c r="I101" s="129"/>
    </row>
    <row r="102" spans="1:35" ht="18.75" customHeight="1">
      <c r="A102" s="3679" t="s">
        <v>1432</v>
      </c>
      <c r="B102" s="2578" t="s">
        <v>1431</v>
      </c>
      <c r="C102" s="2579">
        <f ca="1">IF(D32="楼面单价",ROUND(C19,0),C19)</f>
        <v>79817</v>
      </c>
      <c r="D102" s="2580">
        <f ca="1">IF(D32="楼面单价",ROUND(D19,0),D19)</f>
        <v>55670</v>
      </c>
      <c r="E102" s="3647"/>
      <c r="F102" s="3648"/>
      <c r="G102" s="1825" t="s">
        <v>1433</v>
      </c>
      <c r="H102" s="2549">
        <f ca="1">I118</f>
        <v>25377</v>
      </c>
      <c r="I102" s="129"/>
    </row>
    <row r="103" spans="1:35" ht="42.75" customHeight="1">
      <c r="A103" s="3679"/>
      <c r="B103" s="2578" t="s">
        <v>1433</v>
      </c>
      <c r="C103" s="2581">
        <f ca="1">C20</f>
        <v>31005</v>
      </c>
      <c r="D103" s="2582">
        <f ca="1">D20</f>
        <v>21625</v>
      </c>
      <c r="E103" s="3640" t="s">
        <v>1434</v>
      </c>
      <c r="F103" s="3641"/>
      <c r="G103" s="1826" t="s">
        <v>1435</v>
      </c>
      <c r="H103" s="2589">
        <f>IF(D36="正常操作",H104+H105+H106,H105+H106)</f>
        <v>0</v>
      </c>
      <c r="I103" s="129"/>
    </row>
    <row r="104" spans="1:35" ht="18.75" customHeight="1">
      <c r="A104" s="3679" t="s">
        <v>1436</v>
      </c>
      <c r="B104" s="2583" t="s">
        <v>1431</v>
      </c>
      <c r="C104" s="2584">
        <f ca="1">H118</f>
        <v>65329</v>
      </c>
      <c r="D104" s="2585"/>
      <c r="E104" s="1672" t="s">
        <v>1437</v>
      </c>
      <c r="F104" s="1664"/>
      <c r="G104" s="1826" t="s">
        <v>1435</v>
      </c>
      <c r="H104" s="2590">
        <f>IF(D36="同一抵押权人同一抵押物续贷",C36&amp;"（续贷，未扣减，详见特别提示）",C36)</f>
        <v>0</v>
      </c>
      <c r="I104" s="129"/>
    </row>
    <row r="105" spans="1:35" ht="18.75" customHeight="1" thickBot="1">
      <c r="A105" s="3689"/>
      <c r="B105" s="2586" t="s">
        <v>1433</v>
      </c>
      <c r="C105" s="2587">
        <f ca="1">I118</f>
        <v>25377</v>
      </c>
      <c r="D105" s="2588"/>
      <c r="E105" s="1672" t="s">
        <v>1438</v>
      </c>
      <c r="F105" s="1664"/>
      <c r="G105" s="1826" t="s">
        <v>1435</v>
      </c>
      <c r="H105" s="2591">
        <f>C37</f>
        <v>0</v>
      </c>
      <c r="I105" s="129"/>
    </row>
    <row r="106" spans="1:35" ht="18.75" customHeight="1">
      <c r="A106" s="1745" t="s">
        <v>1439</v>
      </c>
      <c r="B106" s="1745"/>
      <c r="C106" s="1745"/>
      <c r="D106" s="1745"/>
      <c r="E106" s="1827" t="s">
        <v>1440</v>
      </c>
      <c r="F106" s="1664"/>
      <c r="G106" s="1826" t="s">
        <v>1435</v>
      </c>
      <c r="H106" s="2591">
        <f>C38</f>
        <v>0</v>
      </c>
      <c r="I106" s="129"/>
    </row>
    <row r="107" spans="1:35" ht="18.75" customHeight="1">
      <c r="A107" s="129"/>
      <c r="B107" s="129"/>
      <c r="C107" s="129"/>
      <c r="D107" s="129"/>
      <c r="E107" s="3680" t="str">
        <f>IF(项目基本情况!E8="已注销","——","3.房地产抵押价值")</f>
        <v>3.房地产抵押价值</v>
      </c>
      <c r="F107" s="3648"/>
      <c r="G107" s="1825" t="s">
        <v>1431</v>
      </c>
      <c r="H107" s="2589">
        <f ca="1">IF(E107="——","——",H101-H103)</f>
        <v>65329</v>
      </c>
      <c r="I107" s="129"/>
    </row>
    <row r="108" spans="1:35" ht="18.75" customHeight="1">
      <c r="A108" s="129"/>
      <c r="B108" s="129"/>
      <c r="C108" s="129"/>
      <c r="D108" s="129"/>
      <c r="E108" s="3680"/>
      <c r="F108" s="3648"/>
      <c r="G108" s="1825" t="s">
        <v>1433</v>
      </c>
      <c r="H108" s="2549">
        <f ca="1">IF(H107=H101,H102,ROUND(H107*10000/'数据-汇总表'!E3,0))</f>
        <v>25377</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48"/>
      <c r="G109" s="1825" t="s">
        <v>1431</v>
      </c>
      <c r="H109" s="2592" t="str">
        <f>IF(E109="——","——",H101-H105-H106)</f>
        <v>——</v>
      </c>
      <c r="I109" s="129"/>
    </row>
    <row r="110" spans="1:35" ht="18.75" customHeight="1">
      <c r="A110" s="129"/>
      <c r="B110" s="129"/>
      <c r="C110" s="129"/>
      <c r="D110" s="129"/>
      <c r="E110" s="3680"/>
      <c r="F110" s="3648"/>
      <c r="G110" s="1825" t="s">
        <v>1433</v>
      </c>
      <c r="H110" s="2549"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v>
      </c>
      <c r="F111" s="3667"/>
      <c r="G111" s="1825" t="s">
        <v>1431</v>
      </c>
      <c r="H111" s="2589" t="str">
        <f>IF(E111="——","——",N59)</f>
        <v>——</v>
      </c>
      <c r="I111" s="129"/>
    </row>
    <row r="112" spans="1:35" ht="18.75" customHeight="1" thickBot="1">
      <c r="A112" s="129"/>
      <c r="B112" s="129"/>
      <c r="C112" s="129"/>
      <c r="D112" s="129"/>
      <c r="E112" s="3682"/>
      <c r="F112" s="3683"/>
      <c r="G112" s="1828" t="s">
        <v>1433</v>
      </c>
      <c r="H112" s="2593" t="str">
        <f>IF(E111="——","——",N61)</f>
        <v>——</v>
      </c>
      <c r="I112" s="129"/>
    </row>
    <row r="113" spans="1:27" ht="18.75" customHeight="1">
      <c r="A113" s="129"/>
      <c r="B113" s="129"/>
      <c r="C113" s="129"/>
      <c r="D113" s="129"/>
      <c r="E113" s="3690" t="s">
        <v>1439</v>
      </c>
      <c r="F113" s="3690"/>
      <c r="G113" s="3690"/>
      <c r="H113" s="3690"/>
      <c r="I113" s="129"/>
    </row>
    <row r="114" spans="1:27" ht="3.75" customHeight="1">
      <c r="A114" s="1745"/>
      <c r="B114" s="1745"/>
      <c r="C114" s="1745"/>
      <c r="D114" s="1745"/>
      <c r="E114" s="1807"/>
      <c r="F114" s="1807"/>
      <c r="G114" s="1807"/>
      <c r="H114" s="1807"/>
      <c r="I114" s="1745"/>
    </row>
    <row r="115" spans="1:27" ht="18.75" customHeight="1">
      <c r="A115" s="3698" t="s">
        <v>1441</v>
      </c>
      <c r="B115" s="3699"/>
      <c r="C115" s="3699"/>
      <c r="D115" s="3699"/>
      <c r="E115" s="3699"/>
      <c r="F115" s="3699"/>
      <c r="G115" s="3699"/>
      <c r="H115" s="3699"/>
      <c r="I115" s="3700"/>
    </row>
    <row r="116" spans="1:27" ht="27" customHeight="1">
      <c r="A116" s="3655" t="s">
        <v>1442</v>
      </c>
      <c r="B116" s="3659" t="s">
        <v>1443</v>
      </c>
      <c r="C116" s="3659" t="s">
        <v>1444</v>
      </c>
      <c r="D116" s="3665" t="s">
        <v>1445</v>
      </c>
      <c r="E116" s="3666"/>
      <c r="F116" s="3697" t="s">
        <v>1446</v>
      </c>
      <c r="G116" s="3697"/>
      <c r="H116" s="3655" t="s">
        <v>1447</v>
      </c>
      <c r="I116" s="3655"/>
    </row>
    <row r="117" spans="1:27" ht="18.75" customHeight="1">
      <c r="A117" s="3655"/>
      <c r="B117" s="3660"/>
      <c r="C117" s="3660"/>
      <c r="D117" s="2325" t="s">
        <v>1448</v>
      </c>
      <c r="E117" s="2325" t="s">
        <v>1449</v>
      </c>
      <c r="F117" s="2325" t="s">
        <v>1448</v>
      </c>
      <c r="G117" s="2325" t="s">
        <v>1450</v>
      </c>
      <c r="H117" s="2325" t="s">
        <v>1448</v>
      </c>
      <c r="I117" s="2325" t="s">
        <v>1450</v>
      </c>
    </row>
    <row r="118" spans="1:27" ht="24.75" customHeight="1">
      <c r="A118" s="2594" t="str">
        <f>项目基本情况!S2</f>
        <v>北京市昌平区回龙观东大街318号院1号楼-1至5层房地产房地产</v>
      </c>
      <c r="B118" s="2325">
        <f>M18</f>
        <v>25743.170000000006</v>
      </c>
      <c r="C118" s="2325">
        <f>M19</f>
        <v>26199.81</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65329</v>
      </c>
      <c r="I118" s="2325">
        <f ca="1">ROUND(IF(D32="楼面单价",C32,H118*10000/B118),0)</f>
        <v>25377</v>
      </c>
    </row>
    <row r="119" spans="1:27" ht="18.75" customHeight="1">
      <c r="A119" s="3655" t="s">
        <v>1451</v>
      </c>
      <c r="B119" s="3655"/>
      <c r="C119" s="3655"/>
      <c r="D119" s="3661" t="e">
        <f ca="1">NUMBERSTRING(INT(D118*10000),2)&amp;"元整"</f>
        <v>#REF!</v>
      </c>
      <c r="E119" s="3662"/>
      <c r="F119" s="3661" t="e">
        <f ca="1">NUMBERSTRING(INT(F118*10000),2)&amp;"元整"</f>
        <v>#REF!</v>
      </c>
      <c r="G119" s="3662"/>
      <c r="H119" s="3661" t="str">
        <f ca="1">NUMBERSTRING(INT(H118*10000),2)&amp;"元整"</f>
        <v>陆亿伍仟叁佰贰拾玖万元整</v>
      </c>
      <c r="I119" s="3662"/>
    </row>
    <row r="120" spans="1:27" ht="18.75" customHeight="1">
      <c r="A120" s="3656" t="str">
        <f>IF(项目基本情况!B9="房地产市场价值","",MID(E103,3,LEN(E103)-2))</f>
        <v/>
      </c>
      <c r="B120" s="3657"/>
      <c r="C120" s="3658"/>
      <c r="D120" s="3656">
        <f>H103</f>
        <v>0</v>
      </c>
      <c r="E120" s="3657"/>
      <c r="F120" s="3657"/>
      <c r="G120" s="3657"/>
      <c r="H120" s="3657"/>
      <c r="I120" s="365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61" t="s">
        <v>1451</v>
      </c>
      <c r="B121" s="3663"/>
      <c r="C121" s="3662"/>
      <c r="D121" s="3661" t="str">
        <f>IF(D120=0,"零元整",NUMBERSTRING(INT(D120*10000),2)&amp;"元整")</f>
        <v>零元整</v>
      </c>
      <c r="E121" s="3663"/>
      <c r="F121" s="3663"/>
      <c r="G121" s="3663"/>
      <c r="H121" s="3663"/>
      <c r="I121" s="3662"/>
      <c r="AA121" s="724"/>
    </row>
    <row r="122" spans="1:27" ht="18.75" customHeight="1">
      <c r="A122" s="3667" t="str">
        <f>IF(项目基本情况!B9="房地产市场价值","",MID(E107,3,LEN(E107)-2))</f>
        <v/>
      </c>
      <c r="B122" s="3667"/>
      <c r="C122" s="3667"/>
      <c r="D122" s="3656">
        <f ca="1">H107</f>
        <v>65329</v>
      </c>
      <c r="E122" s="3657"/>
      <c r="F122" s="3657"/>
      <c r="G122" s="3657"/>
      <c r="H122" s="3657"/>
      <c r="I122" s="3658"/>
      <c r="AA122" s="724"/>
    </row>
    <row r="123" spans="1:27" ht="18.75" customHeight="1">
      <c r="A123" s="3655" t="s">
        <v>1451</v>
      </c>
      <c r="B123" s="3655"/>
      <c r="C123" s="3655"/>
      <c r="D123" s="3661" t="str">
        <f ca="1">NUMBERSTRING(INT(D122*10000),2)&amp;"元整"</f>
        <v>陆亿伍仟叁佰贰拾玖万元整</v>
      </c>
      <c r="E123" s="3663"/>
      <c r="F123" s="3663"/>
      <c r="G123" s="3663"/>
      <c r="H123" s="3663"/>
      <c r="I123" s="3662"/>
      <c r="AA123" s="724"/>
    </row>
    <row r="124" spans="1:27" ht="18.75" customHeight="1">
      <c r="A124" s="3667" t="str">
        <f>IF(项目基本情况!B9="房地产市场价值","",MID(E109,3,LEN(E109)-2))</f>
        <v/>
      </c>
      <c r="B124" s="3667"/>
      <c r="C124" s="3667"/>
      <c r="D124" s="3656" t="str">
        <f>H109</f>
        <v>——</v>
      </c>
      <c r="E124" s="3657"/>
      <c r="F124" s="3657"/>
      <c r="G124" s="3657"/>
      <c r="H124" s="3657"/>
      <c r="I124" s="3658"/>
      <c r="AA124" s="724"/>
    </row>
    <row r="125" spans="1:27" ht="18.75" customHeight="1">
      <c r="A125" s="3655" t="s">
        <v>1451</v>
      </c>
      <c r="B125" s="3655"/>
      <c r="C125" s="3655"/>
      <c r="D125" s="3661" t="e">
        <f>NUMBERSTRING(INT(D124*10000),2)&amp;"元整"</f>
        <v>#VALUE!</v>
      </c>
      <c r="E125" s="3663"/>
      <c r="F125" s="3663"/>
      <c r="G125" s="3663"/>
      <c r="H125" s="3663"/>
      <c r="I125" s="3662"/>
      <c r="AA125" s="724"/>
    </row>
    <row r="126" spans="1:27" ht="18.75" customHeight="1">
      <c r="A126" s="3667" t="str">
        <f>IF(项目基本情况!B9="房地产市场价值","",MID(E111,3,LEN(E111)-2))</f>
        <v/>
      </c>
      <c r="B126" s="3667"/>
      <c r="C126" s="3667"/>
      <c r="D126" s="3656" t="str">
        <f>H111</f>
        <v>——</v>
      </c>
      <c r="E126" s="3657"/>
      <c r="F126" s="3657"/>
      <c r="G126" s="3657"/>
      <c r="H126" s="3657"/>
      <c r="I126" s="3658"/>
      <c r="AA126" s="724"/>
    </row>
    <row r="127" spans="1:27" ht="18.75" customHeight="1">
      <c r="A127" s="3655" t="s">
        <v>1451</v>
      </c>
      <c r="B127" s="3655"/>
      <c r="C127" s="3655"/>
      <c r="D127" s="3661" t="e">
        <f>NUMBERSTRING(INT(D126*10000),2)&amp;"元整"</f>
        <v>#VALUE!</v>
      </c>
      <c r="E127" s="3663"/>
      <c r="F127" s="3663"/>
      <c r="G127" s="3663"/>
      <c r="H127" s="3663"/>
      <c r="I127" s="3662"/>
      <c r="AA127" s="724"/>
    </row>
    <row r="128" spans="1:27" ht="21.75" customHeight="1">
      <c r="A128" s="3664" t="s">
        <v>1452</v>
      </c>
      <c r="B128" s="3664"/>
      <c r="C128" s="3664"/>
      <c r="D128" s="3664"/>
      <c r="E128" s="3664"/>
      <c r="F128" s="3664"/>
      <c r="G128" s="3664"/>
      <c r="H128" s="3664"/>
      <c r="I128" s="3664"/>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1"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8</v>
      </c>
    </row>
    <row r="2" spans="1:9" s="200" customFormat="1" ht="18" customHeight="1">
      <c r="A2" s="201" t="s">
        <v>1461</v>
      </c>
      <c r="B2" s="202">
        <f ca="1">IF(D2="——",C52,C52-E2)</f>
        <v>79817</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31005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44180</v>
      </c>
      <c r="D5" s="211" t="s">
        <v>1468</v>
      </c>
      <c r="E5" s="212" t="s">
        <v>1469</v>
      </c>
      <c r="F5" s="212" t="s">
        <v>1470</v>
      </c>
      <c r="G5" s="213"/>
    </row>
    <row r="6" spans="1:9" s="214" customFormat="1" ht="13.5" customHeight="1">
      <c r="A6" s="777" t="s">
        <v>1471</v>
      </c>
      <c r="B6" s="215" t="s">
        <v>1472</v>
      </c>
      <c r="C6" s="216">
        <f>'土地比较法-住宅、综合'!B2</f>
        <v>42373</v>
      </c>
      <c r="D6" s="217"/>
      <c r="E6" s="218"/>
      <c r="F6" s="218"/>
      <c r="G6" s="219"/>
    </row>
    <row r="7" spans="1:9" s="214" customFormat="1" ht="13.5" customHeight="1">
      <c r="A7" s="777" t="s">
        <v>1473</v>
      </c>
      <c r="B7" s="215" t="s">
        <v>1474</v>
      </c>
      <c r="C7" s="220">
        <f>ROUND(C6*F7,0)</f>
        <v>1292</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515</v>
      </c>
      <c r="D8" s="222"/>
      <c r="E8" s="220"/>
      <c r="F8" s="221"/>
      <c r="G8" s="1854" t="s">
        <v>3405</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5"/>
      <c r="H9" s="1136"/>
      <c r="I9" s="1856" t="s">
        <v>1478</v>
      </c>
    </row>
    <row r="10" spans="1:9" s="214" customFormat="1" ht="13.5" customHeight="1">
      <c r="A10" s="778" t="s">
        <v>356</v>
      </c>
      <c r="B10" s="224" t="s">
        <v>1479</v>
      </c>
      <c r="C10" s="225">
        <f ca="1">ROUND(D10*E10/10000,0)</f>
        <v>515</v>
      </c>
      <c r="D10" s="844">
        <f ca="1">IF(B1="",'数据-汇总表'!E6,IF(INDIRECT("'数据-取费表'!c"&amp;$G$1)="住宅",INDIRECT("'数据-取费表'!s"&amp;$G$1),INDIRECT("'数据-取费表'!k"&amp;$G$1)+INDIRECT("'数据-取费表'!s"&amp;$G$1)))</f>
        <v>25743.170000000006</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25743.170000000006</v>
      </c>
      <c r="E19" s="211">
        <f>'数据-取费表'!B31</f>
        <v>180</v>
      </c>
      <c r="F19" s="231"/>
      <c r="G19" s="1854" t="s">
        <v>3406</v>
      </c>
    </row>
    <row r="20" spans="1:7" s="214" customFormat="1" ht="13.5" customHeight="1">
      <c r="A20" s="255" t="s">
        <v>1492</v>
      </c>
      <c r="B20" s="210" t="s">
        <v>1493</v>
      </c>
      <c r="C20" s="232">
        <f ca="1">ROUND((C5+C19)*F20,0)</f>
        <v>884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3131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3101</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30</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8112</v>
      </c>
      <c r="D27" s="235">
        <f ca="1">C29</f>
        <v>3.5999999999999999E-3</v>
      </c>
      <c r="E27" s="236" t="s">
        <v>1513</v>
      </c>
      <c r="F27" s="246">
        <f ca="1">IF(B1="",'数据-取费表'!Q16,INDIRECT("'数据-取费表'!q"&amp;$G$1))</f>
        <v>0.18</v>
      </c>
      <c r="G27" s="247" t="s">
        <v>1514</v>
      </c>
    </row>
    <row r="28" spans="1:7" s="214" customFormat="1" ht="13.5" customHeight="1">
      <c r="A28" s="779" t="s">
        <v>346</v>
      </c>
      <c r="B28" s="248" t="s">
        <v>1515</v>
      </c>
      <c r="C28" s="249">
        <f ca="1">ROUND((C5+C19+C20)*F27*'数据-取费表'!B21/'数据-取费表'!B20,0)</f>
        <v>8112</v>
      </c>
      <c r="D28" s="235"/>
      <c r="E28" s="236"/>
      <c r="F28" s="246"/>
      <c r="G28" s="247"/>
    </row>
    <row r="29" spans="1:7" s="214" customFormat="1" ht="13.5" customHeight="1">
      <c r="A29" s="779"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60985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15257</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13891</v>
      </c>
      <c r="D34" s="217"/>
      <c r="E34" s="220"/>
      <c r="F34" s="257">
        <f ca="1">IF('数据-取费表'!B24=0,1,IF(B1="",'数据-取费表'!N16,INDIRECT("'数据-取费表'!n"&amp;$G$1)))</f>
        <v>1</v>
      </c>
      <c r="G34" s="219" t="s">
        <v>1525</v>
      </c>
    </row>
    <row r="35" spans="1:7" ht="13.5" customHeight="1">
      <c r="A35" s="779" t="s">
        <v>351</v>
      </c>
      <c r="B35" s="215" t="s">
        <v>1526</v>
      </c>
      <c r="C35" s="220">
        <f ca="1">ROUND(C34*F35,0)</f>
        <v>695</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463</v>
      </c>
      <c r="D37" s="217">
        <f ca="1">D19</f>
        <v>25743.170000000006</v>
      </c>
      <c r="E37" s="249">
        <f>'数据-取费表'!B35</f>
        <v>180</v>
      </c>
      <c r="F37" s="259"/>
      <c r="G37" s="261" t="s">
        <v>1531</v>
      </c>
    </row>
    <row r="38" spans="1:7" ht="13.5" customHeight="1">
      <c r="A38" s="779" t="s">
        <v>354</v>
      </c>
      <c r="B38" s="215" t="s">
        <v>1532</v>
      </c>
      <c r="C38" s="220">
        <f ca="1">ROUND(C34*F38,0)</f>
        <v>208</v>
      </c>
      <c r="D38" s="220"/>
      <c r="E38" s="220"/>
      <c r="F38" s="259">
        <f>'数据-取费表'!B36</f>
        <v>1.4999999999999999E-2</v>
      </c>
      <c r="G38" s="219" t="s">
        <v>1527</v>
      </c>
    </row>
    <row r="39" spans="1:7" s="214" customFormat="1" ht="13.5" customHeight="1">
      <c r="A39" s="255" t="s">
        <v>1533</v>
      </c>
      <c r="B39" s="210" t="s">
        <v>1534</v>
      </c>
      <c r="C39" s="232">
        <f ca="1">ROUND(C33*F20,0)</f>
        <v>305</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537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526</v>
      </c>
      <c r="D42" s="238"/>
      <c r="E42" s="238"/>
      <c r="F42" s="239"/>
      <c r="G42" s="3734" t="s">
        <v>1543</v>
      </c>
    </row>
    <row r="43" spans="1:7" ht="13.5" customHeight="1">
      <c r="A43" s="779" t="s">
        <v>347</v>
      </c>
      <c r="B43" s="215" t="s">
        <v>1544</v>
      </c>
      <c r="C43" s="238">
        <f ca="1">ROUND(IF('数据-取费表'!B22&lt;=1,C39*F22*'数据-取费表'!B21/2,C39*(POWER((1+F22),'数据-取费表'!B21/2)-1)),0)</f>
        <v>11</v>
      </c>
      <c r="D43" s="238"/>
      <c r="E43" s="238"/>
      <c r="F43" s="239"/>
      <c r="G43" s="3735"/>
    </row>
    <row r="44" spans="1:7" ht="13.5" customHeight="1">
      <c r="A44" s="779" t="s">
        <v>348</v>
      </c>
      <c r="B44" s="215" t="s">
        <v>1545</v>
      </c>
      <c r="C44" s="238">
        <f ca="1">ROUND(IF('数据-取费表'!B22&lt;=1,C40*F22*'数据-取费表'!B21/2,C40*(POWER((1+F22),'数据-取费表'!B21/2)-1)),4)</f>
        <v>6.9999999999999999E-4</v>
      </c>
      <c r="D44" s="238"/>
      <c r="E44" s="238"/>
      <c r="F44" s="239"/>
      <c r="G44" s="3736"/>
    </row>
    <row r="45" spans="1:7" s="214" customFormat="1" ht="13.5" customHeight="1">
      <c r="A45" s="255" t="s">
        <v>1546</v>
      </c>
      <c r="B45" s="244" t="s">
        <v>1512</v>
      </c>
      <c r="C45" s="245">
        <f ca="1">C46</f>
        <v>2801</v>
      </c>
      <c r="D45" s="235">
        <f ca="1">C47</f>
        <v>3.5999999999999999E-3</v>
      </c>
      <c r="E45" s="236" t="s">
        <v>1538</v>
      </c>
      <c r="F45" s="246">
        <f ca="1">F27</f>
        <v>0.18</v>
      </c>
      <c r="G45" s="247" t="s">
        <v>1547</v>
      </c>
    </row>
    <row r="46" spans="1:7" s="214" customFormat="1" ht="13.5" customHeight="1">
      <c r="A46" s="779" t="s">
        <v>346</v>
      </c>
      <c r="B46" s="248" t="s">
        <v>1548</v>
      </c>
      <c r="C46" s="249">
        <f ca="1">ROUND((C33+C39)*F27,0)</f>
        <v>2801</v>
      </c>
      <c r="D46" s="263"/>
      <c r="E46" s="236"/>
      <c r="F46" s="246"/>
      <c r="G46" s="247"/>
    </row>
    <row r="47" spans="1:7" s="214" customFormat="1" ht="13.5" customHeight="1">
      <c r="A47" s="779" t="s">
        <v>347</v>
      </c>
      <c r="B47" s="248" t="s">
        <v>1549</v>
      </c>
      <c r="C47" s="238">
        <f ca="1">ROUND(C40*F27,4)</f>
        <v>3.5999999999999999E-3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20470</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18832</v>
      </c>
      <c r="D51" s="232"/>
      <c r="E51" s="232"/>
      <c r="F51" s="264"/>
      <c r="G51" s="234" t="s">
        <v>1559</v>
      </c>
    </row>
    <row r="52" spans="1:7" s="208" customFormat="1" ht="16.5" thickBot="1">
      <c r="A52" s="265" t="s">
        <v>1560</v>
      </c>
      <c r="B52" s="266"/>
      <c r="C52" s="267">
        <f ca="1">C31+C51</f>
        <v>79817</v>
      </c>
      <c r="D52" s="266"/>
      <c r="E52" s="266"/>
      <c r="F52" s="266"/>
      <c r="G52" s="268"/>
    </row>
    <row r="55" spans="1:7" ht="15">
      <c r="B55" s="270" t="s">
        <v>1561</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8</v>
      </c>
      <c r="H1" s="1060" t="str">
        <f>IF(ISERROR(FIND("住宅",B1)),"非住宅","住宅")</f>
        <v>非住宅</v>
      </c>
    </row>
    <row r="2" spans="1:8" s="200" customFormat="1" ht="18" customHeight="1">
      <c r="A2" s="201" t="s">
        <v>1461</v>
      </c>
      <c r="B2" s="3418">
        <f ca="1">ROUND(IF(D2="——",C52/10000,C52/10000-E2),4)</f>
        <v>19543.712599999999</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7592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5148634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5148634</v>
      </c>
      <c r="D8" s="222"/>
      <c r="E8" s="220"/>
      <c r="F8" s="221"/>
      <c r="G8" s="1854" t="s">
        <v>3405</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5148634</v>
      </c>
      <c r="D10" s="844">
        <f ca="1">IF(B1="",'数据-汇总表'!E6,IF(INDIRECT("'数据-取费表'!c"&amp;$G$1)="住宅",INDIRECT("'数据-取费表'!s"&amp;$G$1),INDIRECT("'数据-取费表'!k"&amp;$G$1)+INDIRECT("'数据-取费表'!s"&amp;$G$1)))</f>
        <v>25743.170000000006</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25743.170000000006</v>
      </c>
      <c r="E19" s="211">
        <f>'数据-取费表'!B31</f>
        <v>180</v>
      </c>
      <c r="F19" s="231"/>
      <c r="G19" s="1854" t="s">
        <v>3406</v>
      </c>
    </row>
    <row r="20" spans="1:7" s="214" customFormat="1" ht="13.5" customHeight="1">
      <c r="A20" s="255" t="s">
        <v>1573</v>
      </c>
      <c r="B20" s="210" t="s">
        <v>1574</v>
      </c>
      <c r="C20" s="232">
        <f ca="1">ROUND((C5+C19)*F20,0)</f>
        <v>102973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364937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361384</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3553</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945289</v>
      </c>
      <c r="D27" s="235">
        <f ca="1">C29</f>
        <v>3.5999999999999999E-3</v>
      </c>
      <c r="E27" s="236" t="s">
        <v>1513</v>
      </c>
      <c r="F27" s="246">
        <f ca="1">IF(B1="",'数据-取费表'!Q16,INDIRECT("'数据-取费表'!q"&amp;$G$1))</f>
        <v>0.18</v>
      </c>
      <c r="G27" s="247" t="s">
        <v>1514</v>
      </c>
    </row>
    <row r="28" spans="1:7" s="214" customFormat="1" ht="13.5" customHeight="1">
      <c r="A28" s="779" t="s">
        <v>346</v>
      </c>
      <c r="B28" s="248" t="s">
        <v>1515</v>
      </c>
      <c r="C28" s="249">
        <f ca="1">ROUND((C5+C19+C20)*F27,0)</f>
        <v>945289</v>
      </c>
      <c r="D28" s="235"/>
      <c r="E28" s="236"/>
      <c r="F28" s="246"/>
      <c r="G28" s="247"/>
    </row>
    <row r="29" spans="1:7" s="214" customFormat="1" ht="13.5" customHeight="1">
      <c r="A29" s="779"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7106935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152572852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138909935</v>
      </c>
      <c r="D34" s="217"/>
      <c r="E34" s="220"/>
      <c r="F34" s="257"/>
      <c r="G34" s="219"/>
    </row>
    <row r="35" spans="1:7" ht="13.5" customHeight="1">
      <c r="A35" s="779" t="s">
        <v>351</v>
      </c>
      <c r="B35" s="215" t="s">
        <v>1526</v>
      </c>
      <c r="C35" s="220">
        <f ca="1">ROUND(C34*F35,0)</f>
        <v>6945497</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4633771</v>
      </c>
      <c r="D37" s="217">
        <f ca="1">D19</f>
        <v>25743.170000000006</v>
      </c>
      <c r="E37" s="249">
        <f>'数据-取费表'!B35</f>
        <v>180</v>
      </c>
      <c r="F37" s="259"/>
      <c r="G37" s="261"/>
    </row>
    <row r="38" spans="1:7" ht="13.5" customHeight="1">
      <c r="A38" s="779" t="s">
        <v>354</v>
      </c>
      <c r="B38" s="215" t="s">
        <v>1532</v>
      </c>
      <c r="C38" s="220">
        <f ca="1">ROUND(C34*F38,0)</f>
        <v>2083649</v>
      </c>
      <c r="D38" s="220"/>
      <c r="E38" s="220"/>
      <c r="F38" s="259">
        <f>'数据-取费表'!B36</f>
        <v>1.4999999999999999E-2</v>
      </c>
      <c r="G38" s="219" t="s">
        <v>1527</v>
      </c>
    </row>
    <row r="39" spans="1:7" s="214" customFormat="1" ht="13.5" customHeight="1">
      <c r="A39" s="255" t="s">
        <v>1533</v>
      </c>
      <c r="B39" s="210" t="s">
        <v>1534</v>
      </c>
      <c r="C39" s="232">
        <f ca="1">ROUND(C33*F20,0)</f>
        <v>3051457</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5369038</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5263763</v>
      </c>
      <c r="D42" s="238"/>
      <c r="E42" s="238"/>
      <c r="F42" s="239"/>
      <c r="G42" s="3734" t="s">
        <v>1590</v>
      </c>
    </row>
    <row r="43" spans="1:7" ht="13.5" customHeight="1">
      <c r="A43" s="779" t="s">
        <v>347</v>
      </c>
      <c r="B43" s="215" t="s">
        <v>1544</v>
      </c>
      <c r="C43" s="238">
        <f ca="1">ROUND(IF('数据-取费表'!B22&lt;=1,C39*F22*'数据-取费表'!B20/2,C39*(POWER((1+F22),'数据-取费表'!B20/2)-1)),0)</f>
        <v>105275</v>
      </c>
      <c r="D43" s="238"/>
      <c r="E43" s="238"/>
      <c r="F43" s="239"/>
      <c r="G43" s="3735"/>
    </row>
    <row r="44" spans="1:7" ht="13.5" customHeight="1">
      <c r="A44" s="779" t="s">
        <v>348</v>
      </c>
      <c r="B44" s="215" t="s">
        <v>1545</v>
      </c>
      <c r="C44" s="238">
        <f ca="1">ROUND(IF('数据-取费表'!B22&lt;=1,C40*F22*'数据-取费表'!B20/2,C40*(POWER((1+F22),'数据-取费表'!B20/2)-1)),4)</f>
        <v>6.9999999999999999E-4</v>
      </c>
      <c r="D44" s="238"/>
      <c r="E44" s="238"/>
      <c r="F44" s="239"/>
      <c r="G44" s="3736"/>
    </row>
    <row r="45" spans="1:7" s="214" customFormat="1" ht="13.5" customHeight="1">
      <c r="A45" s="255" t="s">
        <v>1546</v>
      </c>
      <c r="B45" s="244" t="s">
        <v>1512</v>
      </c>
      <c r="C45" s="245">
        <f ca="1">C46</f>
        <v>28012376</v>
      </c>
      <c r="D45" s="235">
        <f ca="1">C47</f>
        <v>3.5999999999999999E-3</v>
      </c>
      <c r="E45" s="236" t="s">
        <v>1538</v>
      </c>
      <c r="F45" s="246">
        <f ca="1">F27</f>
        <v>0.18</v>
      </c>
      <c r="G45" s="247" t="s">
        <v>1547</v>
      </c>
    </row>
    <row r="46" spans="1:7" s="214" customFormat="1" ht="13.5" customHeight="1">
      <c r="A46" s="779" t="s">
        <v>346</v>
      </c>
      <c r="B46" s="248" t="s">
        <v>1548</v>
      </c>
      <c r="C46" s="249">
        <f ca="1">ROUND((C33+C39)*F27,0)</f>
        <v>28012376</v>
      </c>
      <c r="D46" s="263"/>
      <c r="E46" s="236"/>
      <c r="F46" s="246"/>
      <c r="G46" s="247"/>
    </row>
    <row r="47" spans="1:7" s="214" customFormat="1" ht="13.5" customHeight="1">
      <c r="A47" s="779"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204706729</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188330191</v>
      </c>
      <c r="D51" s="232"/>
      <c r="E51" s="232"/>
      <c r="F51" s="264"/>
      <c r="G51" s="234" t="s">
        <v>1559</v>
      </c>
    </row>
    <row r="52" spans="1:7" s="208" customFormat="1" ht="16.5" thickBot="1">
      <c r="A52" s="265" t="s">
        <v>1560</v>
      </c>
      <c r="B52" s="266"/>
      <c r="C52" s="267">
        <f ca="1">C31+C51</f>
        <v>195437126</v>
      </c>
      <c r="D52" s="266"/>
      <c r="E52" s="266"/>
      <c r="F52" s="266"/>
      <c r="G52" s="268"/>
    </row>
    <row r="55" spans="1:7" ht="15">
      <c r="B55" s="270" t="s">
        <v>1561</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0"/>
      <c r="F1" s="2800"/>
      <c r="G1" s="2665"/>
      <c r="H1" s="2800"/>
      <c r="I1" s="2800"/>
      <c r="J1" s="2800"/>
      <c r="K1" s="2801">
        <f>MATCH(C1,'数据-取费表'!A6:A16,0)+5</f>
        <v>8</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25743.170000000006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25743.170000000006</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t="s">
        <v>3407</v>
      </c>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1626</v>
      </c>
      <c r="C20" s="21">
        <f ca="1">ROUND(D20*E20/10000,0)</f>
        <v>515</v>
      </c>
      <c r="D20" s="845">
        <f ca="1">IF(C1="",'数据-汇总表'!E6,IF(INDIRECT("'数据-取费表'!c"&amp;$K$1)="住宅",INDIRECT("'数据-取费表'!s"&amp;$K$1),INDIRECT("'数据-取费表'!k"&amp;$K$1)+INDIRECT("'数据-取费表'!s"&amp;$K$1)))</f>
        <v>25743.170000000006</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37" t="s">
        <v>694</v>
      </c>
      <c r="C6" s="1073">
        <f ca="1">ROUND(F6*F8*F7*(1-F9),0)</f>
        <v>0</v>
      </c>
      <c r="D6" s="155" t="s">
        <v>2105</v>
      </c>
      <c r="E6" s="302" t="s">
        <v>696</v>
      </c>
      <c r="F6" s="303">
        <f ca="1">INDIRECT("'数据-取费表'!u"&amp;$G$1)</f>
        <v>0</v>
      </c>
      <c r="G6" s="1382"/>
      <c r="H6" s="1068" t="s">
        <v>398</v>
      </c>
      <c r="I6" s="3737" t="s">
        <v>694</v>
      </c>
      <c r="J6" s="301">
        <f ca="1">ROUND(M6*M8*M7*(1-M9),0)</f>
        <v>0</v>
      </c>
      <c r="K6" s="1374" t="s">
        <v>2106</v>
      </c>
      <c r="L6" s="302" t="s">
        <v>696</v>
      </c>
      <c r="M6" s="303">
        <f ca="1">INDIRECT("'数据-取费表'!z"&amp;$G$1)</f>
        <v>0</v>
      </c>
    </row>
    <row r="7" spans="1:37" ht="18" customHeight="1">
      <c r="A7" s="1072"/>
      <c r="B7" s="3738"/>
      <c r="C7" s="1074"/>
      <c r="D7" s="307"/>
      <c r="E7" s="1075" t="s">
        <v>697</v>
      </c>
      <c r="F7" s="303">
        <f ca="1">IF(INDIRECT("'数据-取费表'!ah"&amp;$G$1)="",INDIRECT("'数据-取费表'!k"&amp;$G$1),INDIRECT("'数据-取费表'!ah"&amp;$G$1))</f>
        <v>0</v>
      </c>
      <c r="G7" s="1382"/>
      <c r="H7" s="304"/>
      <c r="I7" s="3738"/>
      <c r="J7" s="306"/>
      <c r="K7" s="307"/>
      <c r="L7" s="302" t="s">
        <v>697</v>
      </c>
      <c r="M7" s="303">
        <f ca="1">F7</f>
        <v>0</v>
      </c>
    </row>
    <row r="8" spans="1:37" ht="18" customHeight="1">
      <c r="A8" s="304"/>
      <c r="B8" s="3738"/>
      <c r="C8" s="306"/>
      <c r="D8" s="307"/>
      <c r="E8" s="302" t="s">
        <v>698</v>
      </c>
      <c r="F8" s="303">
        <f ca="1">INDIRECT("'数据-取费表'!ai"&amp;$G$1)</f>
        <v>0</v>
      </c>
      <c r="G8" s="1382"/>
      <c r="H8" s="304"/>
      <c r="I8" s="3738"/>
      <c r="J8" s="306"/>
      <c r="K8" s="307"/>
      <c r="L8" s="302" t="s">
        <v>698</v>
      </c>
      <c r="M8" s="303">
        <f ca="1">INDIRECT("'数据-取费表'!ai"&amp;$G$1)</f>
        <v>0</v>
      </c>
    </row>
    <row r="9" spans="1:37" ht="18" customHeight="1">
      <c r="A9" s="304"/>
      <c r="B9" s="3739"/>
      <c r="C9" s="306"/>
      <c r="D9" s="307"/>
      <c r="E9" s="302" t="s">
        <v>699</v>
      </c>
      <c r="F9" s="312">
        <f ca="1">INDIRECT("'数据-取费表'!w"&amp;$G$1)</f>
        <v>0</v>
      </c>
      <c r="G9" s="1382"/>
      <c r="H9" s="304"/>
      <c r="I9" s="373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3408</v>
      </c>
      <c r="G10" s="1382"/>
      <c r="H10" s="1068" t="s">
        <v>402</v>
      </c>
      <c r="I10" s="1363" t="s">
        <v>700</v>
      </c>
      <c r="J10" s="301">
        <f ca="1">ROUND(IF(M10="押一",J6/12*M11,IF(M10="押二",J6/12*2*M11,IF(M10="押三",J6/12*3*M11,J11*M11))),0)</f>
        <v>0</v>
      </c>
      <c r="K10" s="1375" t="s">
        <v>2117</v>
      </c>
      <c r="L10" s="313" t="s">
        <v>701</v>
      </c>
      <c r="M10" s="1115" t="s">
        <v>3408</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180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3330</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1"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3346</v>
      </c>
      <c r="B45" s="1398"/>
      <c r="C45" s="1470" t="e">
        <f ca="1">ROUND((C68-C40)/10000,4)</f>
        <v>#DIV/0!</v>
      </c>
      <c r="D45" s="3426"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3409</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3410</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2018</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0.91700000000000004</v>
      </c>
      <c r="R50" s="1418"/>
    </row>
    <row r="51" spans="1:18" s="1382" customFormat="1" ht="13.5" thickBot="1">
      <c r="A51" s="976"/>
      <c r="B51" s="978"/>
      <c r="C51" s="979"/>
      <c r="D51" s="952"/>
      <c r="E51" s="980" t="s">
        <v>698</v>
      </c>
      <c r="F51" s="303">
        <f ca="1">F8</f>
        <v>0</v>
      </c>
      <c r="I51" s="1430" t="s">
        <v>829</v>
      </c>
      <c r="J51" s="1431">
        <f>IF(J49="",J50,J49+J50-YEAR('数据-取费表'!B2))</f>
        <v>55</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4">
        <f ca="1">IF(M47="住宅",IF(D1="——",MAX(J51,L48),MAX(J51,L48-'数据-取费表'!B24)),IF(D1="——",MIN(J51,L48),MIN(J51,L48-'数据-取费表'!B24)))</f>
        <v>0</v>
      </c>
      <c r="K53" s="3740" t="s">
        <v>837</v>
      </c>
      <c r="L53" s="374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0.91700000000000004</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3376</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0.91700000000000004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3" t="s">
        <v>2307</v>
      </c>
      <c r="B2" s="2837" t="e">
        <f>IF(D2="——",C40,C40+E2)</f>
        <v>#DIV/0!</v>
      </c>
      <c r="C2" s="2838" t="s">
        <v>2308</v>
      </c>
      <c r="D2" s="3437" t="s">
        <v>3353</v>
      </c>
      <c r="E2" s="3438"/>
      <c r="F2" s="2840"/>
      <c r="G2" s="2841"/>
      <c r="H2" s="2842"/>
      <c r="I2" s="2843"/>
      <c r="J2" s="3742" t="s">
        <v>2309</v>
      </c>
      <c r="K2" s="3743"/>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744" t="s">
        <v>2319</v>
      </c>
      <c r="K3" s="3745"/>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744" t="s">
        <v>2321</v>
      </c>
      <c r="K4" s="3745"/>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746" t="s">
        <v>2325</v>
      </c>
      <c r="B6" s="3747"/>
      <c r="C6" s="3748"/>
      <c r="D6" s="2864"/>
      <c r="E6" s="2865"/>
      <c r="F6" s="2866"/>
      <c r="G6" s="2867"/>
      <c r="H6" s="2842"/>
      <c r="I6" s="2843"/>
      <c r="J6" s="3749">
        <v>1</v>
      </c>
      <c r="K6" s="3750"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749"/>
      <c r="K7" s="3751"/>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753" t="s">
        <v>2339</v>
      </c>
      <c r="C8" s="3754"/>
      <c r="D8" s="2883" t="s">
        <v>2340</v>
      </c>
      <c r="E8" s="2884" t="s">
        <v>2341</v>
      </c>
      <c r="F8" s="2885" t="s">
        <v>2342</v>
      </c>
      <c r="G8" s="2886"/>
      <c r="H8" s="2842"/>
      <c r="I8" s="2843"/>
      <c r="J8" s="3749"/>
      <c r="K8" s="3751"/>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753" t="s">
        <v>2345</v>
      </c>
      <c r="C9" s="3754"/>
      <c r="D9" s="2883">
        <f>ROUND(D6*E9,0)</f>
        <v>0</v>
      </c>
      <c r="E9" s="2887"/>
      <c r="F9" s="2888" t="s">
        <v>2346</v>
      </c>
      <c r="G9" s="2867"/>
      <c r="H9" s="2842"/>
      <c r="I9" s="2843"/>
      <c r="J9" s="3749"/>
      <c r="K9" s="3751"/>
      <c r="L9" s="2877" t="s">
        <v>2347</v>
      </c>
      <c r="M9" s="2878"/>
      <c r="N9" s="2854"/>
      <c r="O9" s="2879"/>
      <c r="P9" s="2879"/>
      <c r="Q9" s="2880">
        <v>365</v>
      </c>
      <c r="R9" s="2881">
        <f t="shared" si="0"/>
        <v>0</v>
      </c>
      <c r="S9" s="2835"/>
      <c r="T9" s="2835"/>
      <c r="U9" s="2835"/>
      <c r="V9" s="2843"/>
    </row>
    <row r="10" spans="1:22" s="2847" customFormat="1" ht="13.15" customHeight="1">
      <c r="A10" s="2882">
        <v>2</v>
      </c>
      <c r="B10" s="3753" t="s">
        <v>2348</v>
      </c>
      <c r="C10" s="3754"/>
      <c r="D10" s="2883">
        <f>ROUND(D6*E10,0)</f>
        <v>0</v>
      </c>
      <c r="E10" s="2887"/>
      <c r="F10" s="2888" t="s">
        <v>2349</v>
      </c>
      <c r="G10" s="2867"/>
      <c r="H10" s="2842"/>
      <c r="I10" s="2843"/>
      <c r="J10" s="3749"/>
      <c r="K10" s="3751"/>
      <c r="L10" s="2877" t="s">
        <v>2350</v>
      </c>
      <c r="M10" s="2878"/>
      <c r="N10" s="2854"/>
      <c r="O10" s="2879"/>
      <c r="P10" s="2879"/>
      <c r="Q10" s="2880">
        <v>365</v>
      </c>
      <c r="R10" s="2881">
        <f t="shared" si="0"/>
        <v>0</v>
      </c>
      <c r="S10" s="2835"/>
      <c r="T10" s="2835"/>
      <c r="U10" s="2835"/>
      <c r="V10" s="2843"/>
    </row>
    <row r="11" spans="1:22" s="2847" customFormat="1" ht="13.15" customHeight="1">
      <c r="A11" s="2882">
        <v>3</v>
      </c>
      <c r="B11" s="3753" t="s">
        <v>2351</v>
      </c>
      <c r="C11" s="3754"/>
      <c r="D11" s="2883">
        <f>D12+D14+D15+D16</f>
        <v>0</v>
      </c>
      <c r="E11" s="2889" t="e">
        <f>D11/D6</f>
        <v>#DIV/0!</v>
      </c>
      <c r="F11" s="2885"/>
      <c r="G11" s="2886"/>
      <c r="H11" s="2842"/>
      <c r="I11" s="2843"/>
      <c r="J11" s="3749"/>
      <c r="K11" s="3751"/>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755" t="s">
        <v>2354</v>
      </c>
      <c r="C12" s="3756"/>
      <c r="D12" s="2891">
        <f>ROUND(D13*1.2%*(1-30%),0)</f>
        <v>0</v>
      </c>
      <c r="E12" s="2892">
        <v>1.2E-2</v>
      </c>
      <c r="F12" s="2885" t="s">
        <v>2355</v>
      </c>
      <c r="G12" s="2886"/>
      <c r="H12" s="2842"/>
      <c r="I12" s="2843"/>
      <c r="J12" s="3749"/>
      <c r="K12" s="3751"/>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749"/>
      <c r="K13" s="3751"/>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755" t="s">
        <v>2360</v>
      </c>
      <c r="C14" s="3756"/>
      <c r="D14" s="2891">
        <f>ROUND(E14*B5/10000,0)</f>
        <v>0</v>
      </c>
      <c r="E14" s="2880"/>
      <c r="F14" s="2885" t="s">
        <v>2361</v>
      </c>
      <c r="G14" s="2886"/>
      <c r="H14" s="2842"/>
      <c r="I14" s="2843"/>
      <c r="J14" s="3749"/>
      <c r="K14" s="3752"/>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755" t="s">
        <v>2364</v>
      </c>
      <c r="C15" s="3756"/>
      <c r="D15" s="2891">
        <f>ROUND(D6*E15,0)</f>
        <v>0</v>
      </c>
      <c r="E15" s="2892">
        <v>5.5E-2</v>
      </c>
      <c r="F15" s="2885" t="s">
        <v>2365</v>
      </c>
      <c r="G15" s="2867"/>
      <c r="H15" s="2842"/>
      <c r="I15" s="2843"/>
      <c r="J15" s="3749">
        <v>2</v>
      </c>
      <c r="K15" s="3750"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755" t="s">
        <v>2373</v>
      </c>
      <c r="C16" s="3756"/>
      <c r="D16" s="2902">
        <f>D6*E16</f>
        <v>0</v>
      </c>
      <c r="E16" s="2903"/>
      <c r="F16" s="2888" t="s">
        <v>2374</v>
      </c>
      <c r="G16" s="2867"/>
      <c r="H16" s="2842"/>
      <c r="I16" s="2843"/>
      <c r="J16" s="3749"/>
      <c r="K16" s="3751"/>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757" t="s">
        <v>2376</v>
      </c>
      <c r="C17" s="3758"/>
      <c r="D17" s="2905">
        <f>ROUND(D6*E17,0)</f>
        <v>0</v>
      </c>
      <c r="E17" s="2906"/>
      <c r="F17" s="2907" t="s">
        <v>2377</v>
      </c>
      <c r="G17" s="2867"/>
      <c r="H17" s="2842"/>
      <c r="I17" s="2843"/>
      <c r="J17" s="3749"/>
      <c r="K17" s="3751"/>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749"/>
      <c r="K18" s="3751"/>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749"/>
      <c r="K19" s="3752"/>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49">
        <v>3</v>
      </c>
      <c r="K20" s="3750"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749"/>
      <c r="K21" s="3751"/>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749"/>
      <c r="K22" s="3751"/>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749"/>
      <c r="K23" s="3751"/>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749"/>
      <c r="K24" s="3752"/>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759">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76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742" t="s">
        <v>2309</v>
      </c>
      <c r="K32" s="3743"/>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744" t="s">
        <v>2319</v>
      </c>
      <c r="K33" s="3745"/>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744" t="s">
        <v>2321</v>
      </c>
      <c r="K34" s="374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749">
        <v>1</v>
      </c>
      <c r="K36" s="3750"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749"/>
      <c r="K37" s="3751"/>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49"/>
      <c r="K38" s="3751"/>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749"/>
      <c r="K39" s="3751"/>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749"/>
      <c r="K40" s="3752"/>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9">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76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0"/>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25743.170000000006</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1665</v>
      </c>
      <c r="B4" s="356"/>
      <c r="C4" s="3779" t="s">
        <v>1666</v>
      </c>
      <c r="D4" s="3780"/>
      <c r="E4" s="3781" t="s">
        <v>1667</v>
      </c>
      <c r="F4" s="3782"/>
      <c r="G4" s="3779" t="s">
        <v>1668</v>
      </c>
      <c r="H4" s="3780"/>
      <c r="I4" s="3779" t="s">
        <v>1669</v>
      </c>
      <c r="J4" s="3780"/>
      <c r="K4" s="1887" t="s">
        <v>1670</v>
      </c>
      <c r="L4" s="2709"/>
      <c r="M4" s="2710"/>
      <c r="N4" s="2710"/>
      <c r="O4" s="2710"/>
      <c r="P4" s="3783" t="s">
        <v>1671</v>
      </c>
      <c r="Q4" s="3784"/>
      <c r="R4" s="3766" t="s">
        <v>1667</v>
      </c>
      <c r="S4" s="3767"/>
      <c r="T4" s="3766" t="s">
        <v>1668</v>
      </c>
      <c r="U4" s="3767"/>
      <c r="V4" s="3791" t="s">
        <v>1669</v>
      </c>
      <c r="W4" s="3791"/>
      <c r="X4" s="1353"/>
      <c r="Y4" s="3766" t="s">
        <v>1671</v>
      </c>
      <c r="Z4" s="3767"/>
      <c r="AA4" s="3761" t="s">
        <v>1667</v>
      </c>
      <c r="AB4" s="3761" t="s">
        <v>1668</v>
      </c>
      <c r="AC4" s="3761" t="s">
        <v>1669</v>
      </c>
    </row>
    <row r="5" spans="1:29" ht="15">
      <c r="A5" s="358"/>
      <c r="B5" s="359"/>
      <c r="C5" s="3772" t="s">
        <v>1672</v>
      </c>
      <c r="D5" s="3773"/>
      <c r="E5" s="3770" t="s">
        <v>1673</v>
      </c>
      <c r="F5" s="3771"/>
      <c r="G5" s="3772" t="s">
        <v>1674</v>
      </c>
      <c r="H5" s="3773"/>
      <c r="I5" s="3772" t="s">
        <v>1675</v>
      </c>
      <c r="J5" s="3773"/>
      <c r="K5" s="1888"/>
      <c r="L5" s="2709"/>
      <c r="M5" s="2710"/>
      <c r="N5" s="2710"/>
      <c r="O5" s="2710"/>
      <c r="P5" s="3785"/>
      <c r="Q5" s="3786"/>
      <c r="R5" s="3768"/>
      <c r="S5" s="3769"/>
      <c r="T5" s="3768"/>
      <c r="U5" s="3769"/>
      <c r="V5" s="3791"/>
      <c r="W5" s="3791"/>
      <c r="X5" s="1353"/>
      <c r="Y5" s="3768"/>
      <c r="Z5" s="3769"/>
      <c r="AA5" s="3762"/>
      <c r="AB5" s="3762"/>
      <c r="AC5" s="3762"/>
    </row>
    <row r="6" spans="1:29" ht="15.75" thickBot="1">
      <c r="A6" s="360"/>
      <c r="B6" s="361"/>
      <c r="C6" s="3774" t="s">
        <v>1676</v>
      </c>
      <c r="D6" s="3775"/>
      <c r="E6" s="3776" t="s">
        <v>1676</v>
      </c>
      <c r="F6" s="3777"/>
      <c r="G6" s="3774" t="s">
        <v>1676</v>
      </c>
      <c r="H6" s="3775"/>
      <c r="I6" s="3774" t="s">
        <v>1676</v>
      </c>
      <c r="J6" s="3775"/>
      <c r="K6" s="1888" t="s">
        <v>1677</v>
      </c>
      <c r="L6" s="2709"/>
      <c r="M6" s="2710"/>
      <c r="N6" s="2710"/>
      <c r="O6" s="2710"/>
      <c r="P6" s="3787"/>
      <c r="Q6" s="3788"/>
      <c r="R6" s="3768"/>
      <c r="S6" s="3769"/>
      <c r="T6" s="3789"/>
      <c r="U6" s="3790"/>
      <c r="V6" s="3791"/>
      <c r="W6" s="3791"/>
      <c r="X6" s="1353"/>
      <c r="Y6" s="3789"/>
      <c r="Z6" s="3790"/>
      <c r="AA6" s="3763"/>
      <c r="AB6" s="3763"/>
      <c r="AC6" s="3763"/>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64" t="s">
        <v>1679</v>
      </c>
      <c r="Q7" s="3792"/>
      <c r="R7" s="700" t="s">
        <v>20</v>
      </c>
      <c r="S7" s="701">
        <f t="shared" ref="S7:S15" si="0">F7</f>
        <v>0</v>
      </c>
      <c r="T7" s="700" t="s">
        <v>20</v>
      </c>
      <c r="U7" s="701">
        <f t="shared" ref="U7:U15" si="1">H7</f>
        <v>0</v>
      </c>
      <c r="V7" s="700" t="s">
        <v>20</v>
      </c>
      <c r="W7" s="701">
        <f t="shared" ref="W7:W15" si="2">J7</f>
        <v>0</v>
      </c>
      <c r="X7" s="702"/>
      <c r="Y7" s="3764" t="s">
        <v>1679</v>
      </c>
      <c r="Z7" s="3765"/>
      <c r="AA7" s="703" t="e">
        <f>D7/F7</f>
        <v>#DIV/0!</v>
      </c>
      <c r="AB7" s="703" t="e">
        <f>D7/H7</f>
        <v>#DIV/0!</v>
      </c>
      <c r="AC7" s="703" t="e">
        <f>D7/J7</f>
        <v>#DIV/0!</v>
      </c>
    </row>
    <row r="8" spans="1:29" s="108" customFormat="1" ht="15.75" thickBot="1">
      <c r="A8" s="362" t="s">
        <v>1680</v>
      </c>
      <c r="B8" s="363"/>
      <c r="C8" s="368" t="s">
        <v>3399</v>
      </c>
      <c r="D8" s="365">
        <v>100</v>
      </c>
      <c r="E8" s="1890" t="s">
        <v>3411</v>
      </c>
      <c r="F8" s="367">
        <f>SUMIF(61:61,E8,62:62)-SUMIF(61:61,C8,62:62)+100</f>
        <v>102</v>
      </c>
      <c r="G8" s="1890" t="s">
        <v>3411</v>
      </c>
      <c r="H8" s="365">
        <f>SUMIF(61:61,G8,62:62)-SUMIF(61:61,C8,62:62)+100</f>
        <v>102</v>
      </c>
      <c r="I8" s="1890" t="s">
        <v>3411</v>
      </c>
      <c r="J8" s="365">
        <f>SUMIF(61:61,I8,62:62)-SUMIF(61:61,C8,62:62)+100</f>
        <v>102</v>
      </c>
      <c r="K8" s="1889"/>
      <c r="L8" s="2711"/>
      <c r="M8" s="2712"/>
      <c r="N8" s="2712"/>
      <c r="O8" s="2712"/>
      <c r="P8" s="3764" t="s">
        <v>1682</v>
      </c>
      <c r="Q8" s="3765"/>
      <c r="R8" s="700" t="s">
        <v>20</v>
      </c>
      <c r="S8" s="701">
        <f t="shared" si="0"/>
        <v>102</v>
      </c>
      <c r="T8" s="700" t="s">
        <v>20</v>
      </c>
      <c r="U8" s="701">
        <f t="shared" si="1"/>
        <v>102</v>
      </c>
      <c r="V8" s="700" t="s">
        <v>20</v>
      </c>
      <c r="W8" s="701">
        <f t="shared" si="2"/>
        <v>102</v>
      </c>
      <c r="X8" s="702"/>
      <c r="Y8" s="3764" t="s">
        <v>1682</v>
      </c>
      <c r="Z8" s="3765"/>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78" t="s">
        <v>1685</v>
      </c>
      <c r="Q9" s="1341" t="str">
        <f t="shared" ref="Q9:Q15" si="6">B9</f>
        <v>用途</v>
      </c>
      <c r="R9" s="700" t="s">
        <v>14</v>
      </c>
      <c r="S9" s="701">
        <f t="shared" si="0"/>
        <v>100</v>
      </c>
      <c r="T9" s="700" t="s">
        <v>14</v>
      </c>
      <c r="U9" s="701">
        <f t="shared" si="1"/>
        <v>100</v>
      </c>
      <c r="V9" s="700" t="s">
        <v>14</v>
      </c>
      <c r="W9" s="701">
        <f t="shared" si="2"/>
        <v>100</v>
      </c>
      <c r="X9" s="702"/>
      <c r="Y9" s="3710"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78"/>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78"/>
      <c r="Q11" s="1341" t="str">
        <f t="shared" si="6"/>
        <v>容积率</v>
      </c>
      <c r="R11" s="700" t="s">
        <v>18</v>
      </c>
      <c r="S11" s="701">
        <f t="shared" si="0"/>
        <v>100</v>
      </c>
      <c r="T11" s="700" t="s">
        <v>18</v>
      </c>
      <c r="U11" s="701">
        <f t="shared" si="1"/>
        <v>100</v>
      </c>
      <c r="V11" s="700" t="s">
        <v>18</v>
      </c>
      <c r="W11" s="701">
        <f t="shared" si="2"/>
        <v>100</v>
      </c>
      <c r="X11" s="702"/>
      <c r="Y11" s="3710"/>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78"/>
      <c r="Q12" s="1341">
        <f t="shared" si="6"/>
        <v>111</v>
      </c>
      <c r="R12" s="700" t="s">
        <v>18</v>
      </c>
      <c r="S12" s="701">
        <f t="shared" si="0"/>
        <v>100</v>
      </c>
      <c r="T12" s="700" t="s">
        <v>18</v>
      </c>
      <c r="U12" s="701">
        <f t="shared" si="1"/>
        <v>100</v>
      </c>
      <c r="V12" s="700" t="s">
        <v>18</v>
      </c>
      <c r="W12" s="701">
        <f t="shared" si="2"/>
        <v>100</v>
      </c>
      <c r="X12" s="702"/>
      <c r="Y12" s="371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78"/>
      <c r="Q13" s="1341">
        <f t="shared" si="6"/>
        <v>111</v>
      </c>
      <c r="R13" s="700" t="s">
        <v>18</v>
      </c>
      <c r="S13" s="701">
        <f t="shared" si="0"/>
        <v>100</v>
      </c>
      <c r="T13" s="700" t="s">
        <v>18</v>
      </c>
      <c r="U13" s="701">
        <f t="shared" si="1"/>
        <v>100</v>
      </c>
      <c r="V13" s="700" t="s">
        <v>18</v>
      </c>
      <c r="W13" s="701">
        <f t="shared" si="2"/>
        <v>100</v>
      </c>
      <c r="X13" s="702"/>
      <c r="Y13" s="371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78"/>
      <c r="Q14" s="1341">
        <f t="shared" si="6"/>
        <v>111</v>
      </c>
      <c r="R14" s="700" t="s">
        <v>18</v>
      </c>
      <c r="S14" s="701">
        <f t="shared" si="0"/>
        <v>100</v>
      </c>
      <c r="T14" s="700" t="s">
        <v>18</v>
      </c>
      <c r="U14" s="701">
        <f t="shared" si="1"/>
        <v>100</v>
      </c>
      <c r="V14" s="700" t="s">
        <v>18</v>
      </c>
      <c r="W14" s="701">
        <f t="shared" si="2"/>
        <v>100</v>
      </c>
      <c r="X14" s="702"/>
      <c r="Y14" s="3710"/>
      <c r="Z14" s="52">
        <f t="shared" si="7"/>
        <v>111</v>
      </c>
      <c r="AA14" s="703">
        <f t="shared" si="3"/>
        <v>1</v>
      </c>
      <c r="AB14" s="703">
        <f t="shared" si="4"/>
        <v>1</v>
      </c>
      <c r="AC14" s="703">
        <f t="shared" si="5"/>
        <v>1</v>
      </c>
    </row>
    <row r="15" spans="1:29" ht="15">
      <c r="A15" s="391" t="s">
        <v>1689</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805" t="s">
        <v>1690</v>
      </c>
      <c r="Q15" s="1350" t="str">
        <f t="shared" si="6"/>
        <v>居住社区成熟度</v>
      </c>
      <c r="R15" s="704" t="s">
        <v>18</v>
      </c>
      <c r="S15" s="705">
        <f t="shared" si="0"/>
        <v>2</v>
      </c>
      <c r="T15" s="704" t="s">
        <v>18</v>
      </c>
      <c r="U15" s="705">
        <f t="shared" si="1"/>
        <v>2</v>
      </c>
      <c r="V15" s="704" t="s">
        <v>18</v>
      </c>
      <c r="W15" s="705">
        <f t="shared" si="2"/>
        <v>2</v>
      </c>
      <c r="X15" s="1353"/>
      <c r="Y15" s="3798" t="s">
        <v>1690</v>
      </c>
      <c r="Z15" s="1354" t="str">
        <f t="shared" si="7"/>
        <v>居住社区成熟度</v>
      </c>
      <c r="AA15" s="1351">
        <f t="shared" si="3"/>
        <v>50</v>
      </c>
      <c r="AB15" s="1351">
        <f t="shared" si="4"/>
        <v>50</v>
      </c>
      <c r="AC15" s="1351">
        <f t="shared" si="5"/>
        <v>50</v>
      </c>
    </row>
    <row r="16" spans="1:29" ht="15">
      <c r="A16" s="379"/>
      <c r="B16" s="397"/>
      <c r="C16" s="398" t="s">
        <v>3392</v>
      </c>
      <c r="D16" s="399"/>
      <c r="E16" s="1895"/>
      <c r="F16" s="399"/>
      <c r="G16" s="1896"/>
      <c r="H16" s="401"/>
      <c r="I16" s="1896"/>
      <c r="J16" s="399"/>
      <c r="K16" s="1897"/>
      <c r="L16" s="2716"/>
      <c r="M16" s="2710"/>
      <c r="N16" s="2710"/>
      <c r="O16" s="2710"/>
      <c r="P16" s="3806"/>
      <c r="Q16" s="1350"/>
      <c r="R16" s="704"/>
      <c r="S16" s="705"/>
      <c r="T16" s="704"/>
      <c r="U16" s="705"/>
      <c r="V16" s="704"/>
      <c r="W16" s="705"/>
      <c r="X16" s="1353"/>
      <c r="Y16" s="3799"/>
      <c r="Z16" s="1354"/>
      <c r="AA16" s="1351">
        <v>1</v>
      </c>
      <c r="AB16" s="1351">
        <v>1</v>
      </c>
      <c r="AC16" s="1351">
        <v>1</v>
      </c>
    </row>
    <row r="17" spans="1:29" ht="15">
      <c r="A17" s="379"/>
      <c r="B17" s="402" t="s">
        <v>1258</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806"/>
      <c r="Q17" s="1350" t="str">
        <f>B17</f>
        <v>交通便捷度</v>
      </c>
      <c r="R17" s="704" t="s">
        <v>18</v>
      </c>
      <c r="S17" s="705">
        <f>F17</f>
        <v>2</v>
      </c>
      <c r="T17" s="704" t="s">
        <v>18</v>
      </c>
      <c r="U17" s="705">
        <f>H17</f>
        <v>2</v>
      </c>
      <c r="V17" s="704" t="s">
        <v>18</v>
      </c>
      <c r="W17" s="705">
        <f>J17</f>
        <v>2</v>
      </c>
      <c r="X17" s="1353"/>
      <c r="Y17" s="3799"/>
      <c r="Z17" s="1354" t="str">
        <f>Q17</f>
        <v>交通便捷度</v>
      </c>
      <c r="AA17" s="1351">
        <f t="shared" si="3"/>
        <v>50</v>
      </c>
      <c r="AB17" s="1351">
        <f t="shared" si="4"/>
        <v>50</v>
      </c>
      <c r="AC17" s="1351">
        <f t="shared" si="5"/>
        <v>50</v>
      </c>
    </row>
    <row r="18" spans="1:29" ht="15">
      <c r="A18" s="379"/>
      <c r="B18" s="407"/>
      <c r="C18" s="1899" t="s">
        <v>3392</v>
      </c>
      <c r="D18" s="401"/>
      <c r="E18" s="1900"/>
      <c r="F18" s="401"/>
      <c r="G18" s="1901"/>
      <c r="H18" s="399"/>
      <c r="I18" s="1901"/>
      <c r="J18" s="399"/>
      <c r="K18" s="1897"/>
      <c r="L18" s="2716"/>
      <c r="M18" s="2710"/>
      <c r="N18" s="2710"/>
      <c r="O18" s="2710"/>
      <c r="P18" s="3806"/>
      <c r="Q18" s="1350"/>
      <c r="R18" s="704"/>
      <c r="S18" s="705"/>
      <c r="T18" s="704"/>
      <c r="U18" s="705"/>
      <c r="V18" s="704"/>
      <c r="W18" s="705"/>
      <c r="X18" s="1353"/>
      <c r="Y18" s="3799"/>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806"/>
      <c r="Q19" s="1350" t="str">
        <f>B19</f>
        <v>公共配套设施</v>
      </c>
      <c r="R19" s="704" t="s">
        <v>18</v>
      </c>
      <c r="S19" s="705">
        <f>F19</f>
        <v>2</v>
      </c>
      <c r="T19" s="704" t="s">
        <v>18</v>
      </c>
      <c r="U19" s="705">
        <f>H19</f>
        <v>2</v>
      </c>
      <c r="V19" s="704" t="s">
        <v>18</v>
      </c>
      <c r="W19" s="705">
        <f>J19</f>
        <v>2</v>
      </c>
      <c r="X19" s="1353"/>
      <c r="Y19" s="3799"/>
      <c r="Z19" s="1354" t="str">
        <f>Q19</f>
        <v>公共配套设施</v>
      </c>
      <c r="AA19" s="1351">
        <f t="shared" si="3"/>
        <v>50</v>
      </c>
      <c r="AB19" s="1351">
        <f t="shared" si="4"/>
        <v>50</v>
      </c>
      <c r="AC19" s="1351">
        <f t="shared" si="5"/>
        <v>50</v>
      </c>
    </row>
    <row r="20" spans="1:29" ht="15">
      <c r="A20" s="379"/>
      <c r="B20" s="407"/>
      <c r="C20" s="398" t="s">
        <v>3392</v>
      </c>
      <c r="D20" s="399"/>
      <c r="E20" s="1895"/>
      <c r="F20" s="399"/>
      <c r="G20" s="1896"/>
      <c r="H20" s="399"/>
      <c r="I20" s="1896"/>
      <c r="J20" s="399"/>
      <c r="K20" s="1897"/>
      <c r="L20" s="2716"/>
      <c r="M20" s="2710"/>
      <c r="N20" s="2710"/>
      <c r="O20" s="2710"/>
      <c r="P20" s="3806"/>
      <c r="Q20" s="1350"/>
      <c r="R20" s="704"/>
      <c r="S20" s="705"/>
      <c r="T20" s="704"/>
      <c r="U20" s="705"/>
      <c r="V20" s="704"/>
      <c r="W20" s="705"/>
      <c r="X20" s="1353"/>
      <c r="Y20" s="3799"/>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806"/>
      <c r="Q21" s="1350" t="str">
        <f>B21</f>
        <v>基础设施水平</v>
      </c>
      <c r="R21" s="704" t="s">
        <v>14</v>
      </c>
      <c r="S21" s="705">
        <f>F21</f>
        <v>0</v>
      </c>
      <c r="T21" s="704" t="s">
        <v>14</v>
      </c>
      <c r="U21" s="705">
        <f>H21</f>
        <v>0</v>
      </c>
      <c r="V21" s="704" t="s">
        <v>14</v>
      </c>
      <c r="W21" s="705">
        <f>J21</f>
        <v>0</v>
      </c>
      <c r="X21" s="1353"/>
      <c r="Y21" s="3799"/>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3393</v>
      </c>
      <c r="D22" s="399"/>
      <c r="E22" s="398"/>
      <c r="F22" s="399"/>
      <c r="G22" s="1902"/>
      <c r="H22" s="399"/>
      <c r="I22" s="398"/>
      <c r="J22" s="399"/>
      <c r="K22" s="1903"/>
      <c r="L22" s="2716"/>
      <c r="M22" s="2710"/>
      <c r="N22" s="2710"/>
      <c r="O22" s="2710"/>
      <c r="P22" s="3806"/>
      <c r="Q22" s="1350"/>
      <c r="R22" s="704"/>
      <c r="S22" s="705"/>
      <c r="T22" s="704"/>
      <c r="U22" s="705"/>
      <c r="V22" s="704"/>
      <c r="W22" s="705"/>
      <c r="X22" s="1353"/>
      <c r="Y22" s="3799"/>
      <c r="Z22" s="1354"/>
      <c r="AA22" s="1351">
        <v>1</v>
      </c>
      <c r="AB22" s="1351">
        <v>1</v>
      </c>
      <c r="AC22" s="1351">
        <v>1</v>
      </c>
    </row>
    <row r="23" spans="1:29" ht="15">
      <c r="A23" s="379"/>
      <c r="B23" s="402" t="s">
        <v>1260</v>
      </c>
      <c r="C23" s="1898"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806"/>
      <c r="Q23" s="1350" t="str">
        <f>B23</f>
        <v>自然及人文环境</v>
      </c>
      <c r="R23" s="704" t="s">
        <v>18</v>
      </c>
      <c r="S23" s="705">
        <f>F23</f>
        <v>1</v>
      </c>
      <c r="T23" s="704" t="s">
        <v>18</v>
      </c>
      <c r="U23" s="705">
        <f>H23</f>
        <v>1</v>
      </c>
      <c r="V23" s="704" t="s">
        <v>18</v>
      </c>
      <c r="W23" s="705">
        <f>J23</f>
        <v>1</v>
      </c>
      <c r="X23" s="1353"/>
      <c r="Y23" s="3799"/>
      <c r="Z23" s="1354" t="str">
        <f>Q23</f>
        <v>自然及人文环境</v>
      </c>
      <c r="AA23" s="1351">
        <f>D23/F23</f>
        <v>100</v>
      </c>
      <c r="AB23" s="1351">
        <f>D23/H23</f>
        <v>100</v>
      </c>
      <c r="AC23" s="1351">
        <f>D23/J23</f>
        <v>100</v>
      </c>
    </row>
    <row r="24" spans="1:29" ht="15">
      <c r="A24" s="379"/>
      <c r="B24" s="407"/>
      <c r="C24" s="398" t="s">
        <v>3392</v>
      </c>
      <c r="D24" s="399"/>
      <c r="E24" s="1895"/>
      <c r="F24" s="399"/>
      <c r="G24" s="1896"/>
      <c r="H24" s="399"/>
      <c r="I24" s="1896"/>
      <c r="J24" s="399"/>
      <c r="K24" s="1897"/>
      <c r="L24" s="2716"/>
      <c r="M24" s="2710"/>
      <c r="N24" s="2710"/>
      <c r="O24" s="2710"/>
      <c r="P24" s="3806"/>
      <c r="Q24" s="1350"/>
      <c r="R24" s="704"/>
      <c r="S24" s="705"/>
      <c r="T24" s="704"/>
      <c r="U24" s="705"/>
      <c r="V24" s="704"/>
      <c r="W24" s="705"/>
      <c r="X24" s="1353"/>
      <c r="Y24" s="3799"/>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v>2</v>
      </c>
      <c r="L25" s="2716"/>
      <c r="M25" s="2710"/>
      <c r="N25" s="2710"/>
      <c r="O25" s="2710"/>
      <c r="P25" s="380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99"/>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v>2</v>
      </c>
      <c r="L26" s="2716"/>
      <c r="M26" s="2710"/>
      <c r="N26" s="2710"/>
      <c r="O26" s="2710"/>
      <c r="P26" s="3806"/>
      <c r="Q26" s="1350" t="str">
        <f t="shared" si="11"/>
        <v>朝向</v>
      </c>
      <c r="R26" s="704" t="s">
        <v>18</v>
      </c>
      <c r="S26" s="705">
        <f t="shared" si="12"/>
        <v>100</v>
      </c>
      <c r="T26" s="704" t="s">
        <v>18</v>
      </c>
      <c r="U26" s="705">
        <f t="shared" si="13"/>
        <v>100</v>
      </c>
      <c r="V26" s="704" t="s">
        <v>18</v>
      </c>
      <c r="W26" s="705">
        <f t="shared" si="14"/>
        <v>100</v>
      </c>
      <c r="X26" s="1353"/>
      <c r="Y26" s="379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806"/>
      <c r="Q27" s="1341">
        <f t="shared" si="11"/>
        <v>111</v>
      </c>
      <c r="R27" s="700" t="s">
        <v>18</v>
      </c>
      <c r="S27" s="701">
        <f t="shared" si="12"/>
        <v>100</v>
      </c>
      <c r="T27" s="700" t="s">
        <v>18</v>
      </c>
      <c r="U27" s="701">
        <f t="shared" si="13"/>
        <v>100</v>
      </c>
      <c r="V27" s="700" t="s">
        <v>18</v>
      </c>
      <c r="W27" s="701">
        <f t="shared" si="14"/>
        <v>100</v>
      </c>
      <c r="X27" s="702"/>
      <c r="Y27" s="379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806"/>
      <c r="Q28" s="1350">
        <f t="shared" si="11"/>
        <v>111</v>
      </c>
      <c r="R28" s="704" t="s">
        <v>18</v>
      </c>
      <c r="S28" s="705">
        <f t="shared" si="12"/>
        <v>100</v>
      </c>
      <c r="T28" s="704" t="s">
        <v>18</v>
      </c>
      <c r="U28" s="705">
        <f t="shared" si="13"/>
        <v>100</v>
      </c>
      <c r="V28" s="704" t="s">
        <v>18</v>
      </c>
      <c r="W28" s="705">
        <f t="shared" si="14"/>
        <v>100</v>
      </c>
      <c r="X28" s="1353"/>
      <c r="Y28" s="379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806"/>
      <c r="Q29" s="1350">
        <f t="shared" si="11"/>
        <v>111</v>
      </c>
      <c r="R29" s="704" t="s">
        <v>18</v>
      </c>
      <c r="S29" s="705">
        <f t="shared" si="12"/>
        <v>100</v>
      </c>
      <c r="T29" s="704" t="s">
        <v>18</v>
      </c>
      <c r="U29" s="705">
        <f t="shared" si="13"/>
        <v>100</v>
      </c>
      <c r="V29" s="704" t="s">
        <v>18</v>
      </c>
      <c r="W29" s="705">
        <f t="shared" si="14"/>
        <v>100</v>
      </c>
      <c r="X29" s="1353"/>
      <c r="Y29" s="379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806"/>
      <c r="Q30" s="1350">
        <f t="shared" si="11"/>
        <v>111</v>
      </c>
      <c r="R30" s="704" t="s">
        <v>18</v>
      </c>
      <c r="S30" s="705">
        <f t="shared" si="12"/>
        <v>100</v>
      </c>
      <c r="T30" s="704" t="s">
        <v>18</v>
      </c>
      <c r="U30" s="705">
        <f t="shared" si="13"/>
        <v>100</v>
      </c>
      <c r="V30" s="704" t="s">
        <v>18</v>
      </c>
      <c r="W30" s="705">
        <f t="shared" si="14"/>
        <v>100</v>
      </c>
      <c r="X30" s="1353"/>
      <c r="Y30" s="3799"/>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806"/>
      <c r="Q31" s="1350">
        <f t="shared" si="11"/>
        <v>111</v>
      </c>
      <c r="R31" s="704" t="s">
        <v>18</v>
      </c>
      <c r="S31" s="705">
        <f t="shared" si="12"/>
        <v>100</v>
      </c>
      <c r="T31" s="704" t="s">
        <v>18</v>
      </c>
      <c r="U31" s="705">
        <f t="shared" si="13"/>
        <v>100</v>
      </c>
      <c r="V31" s="704" t="s">
        <v>18</v>
      </c>
      <c r="W31" s="705">
        <f t="shared" si="14"/>
        <v>100</v>
      </c>
      <c r="X31" s="1353"/>
      <c r="Y31" s="3799"/>
      <c r="Z31" s="1354">
        <f t="shared" si="18"/>
        <v>111</v>
      </c>
      <c r="AA31" s="1351">
        <f t="shared" si="15"/>
        <v>1</v>
      </c>
      <c r="AB31" s="1351">
        <f t="shared" si="16"/>
        <v>1</v>
      </c>
      <c r="AC31" s="1351">
        <f t="shared" si="17"/>
        <v>1</v>
      </c>
    </row>
    <row r="32" spans="1:29" ht="15">
      <c r="A32" s="391" t="s">
        <v>1693</v>
      </c>
      <c r="B32" s="63" t="s">
        <v>1694</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6"/>
      <c r="M32" s="2710"/>
      <c r="N32" s="2710"/>
      <c r="O32" s="2710"/>
      <c r="P32" s="3800" t="s">
        <v>1695</v>
      </c>
      <c r="Q32" s="1350" t="str">
        <f t="shared" si="11"/>
        <v>建筑类型</v>
      </c>
      <c r="R32" s="704" t="s">
        <v>18</v>
      </c>
      <c r="S32" s="705">
        <f t="shared" si="12"/>
        <v>100</v>
      </c>
      <c r="T32" s="704" t="s">
        <v>18</v>
      </c>
      <c r="U32" s="705">
        <f t="shared" si="13"/>
        <v>100</v>
      </c>
      <c r="V32" s="704" t="s">
        <v>18</v>
      </c>
      <c r="W32" s="705">
        <f t="shared" si="14"/>
        <v>100</v>
      </c>
      <c r="X32" s="1353"/>
      <c r="Y32" s="3803"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5"/>
      <c r="M33" s="2717"/>
      <c r="N33" s="2717"/>
      <c r="O33" s="2717"/>
      <c r="P33" s="3801"/>
      <c r="Q33" s="706" t="str">
        <f t="shared" si="11"/>
        <v>项目建筑规模</v>
      </c>
      <c r="R33" s="707" t="s">
        <v>18</v>
      </c>
      <c r="S33" s="708">
        <f t="shared" si="12"/>
        <v>100</v>
      </c>
      <c r="T33" s="707" t="s">
        <v>18</v>
      </c>
      <c r="U33" s="708">
        <f t="shared" si="13"/>
        <v>100</v>
      </c>
      <c r="V33" s="707" t="s">
        <v>18</v>
      </c>
      <c r="W33" s="708">
        <f t="shared" si="14"/>
        <v>100</v>
      </c>
      <c r="X33" s="709"/>
      <c r="Y33" s="3803"/>
      <c r="Z33" s="710" t="str">
        <f t="shared" si="18"/>
        <v>项目建筑规模</v>
      </c>
      <c r="AA33" s="1351">
        <f t="shared" si="15"/>
        <v>1</v>
      </c>
      <c r="AB33" s="1351">
        <f t="shared" si="16"/>
        <v>1</v>
      </c>
      <c r="AC33" s="1351">
        <f t="shared" si="17"/>
        <v>1</v>
      </c>
    </row>
    <row r="34" spans="1:29" ht="15">
      <c r="A34" s="423"/>
      <c r="B34" s="375" t="s">
        <v>1697</v>
      </c>
      <c r="C34" s="1909" t="s">
        <v>3409</v>
      </c>
      <c r="D34" s="386">
        <v>100</v>
      </c>
      <c r="E34" s="1909" t="s">
        <v>3409</v>
      </c>
      <c r="F34" s="412">
        <f>SUMIF(105:105,E34,106:106)-SUMIF(105:105,C34,106:106)+100</f>
        <v>100</v>
      </c>
      <c r="G34" s="1909" t="s">
        <v>3409</v>
      </c>
      <c r="H34" s="386">
        <f>SUMIF(105:105,G34,106:106)-SUMIF(105:105,C34,106:106)+100</f>
        <v>100</v>
      </c>
      <c r="I34" s="1909" t="s">
        <v>3409</v>
      </c>
      <c r="J34" s="386">
        <f>SUMIF(105:105,I34,106:106)-SUMIF(105:105,C34,106:106)+100</f>
        <v>100</v>
      </c>
      <c r="K34" s="377">
        <v>2</v>
      </c>
      <c r="L34" s="2716"/>
      <c r="M34" s="2710"/>
      <c r="N34" s="2710"/>
      <c r="O34" s="2710"/>
      <c r="P34" s="3801"/>
      <c r="Q34" s="1350" t="str">
        <f t="shared" si="11"/>
        <v>建筑结构</v>
      </c>
      <c r="R34" s="704" t="s">
        <v>18</v>
      </c>
      <c r="S34" s="705">
        <f t="shared" si="12"/>
        <v>100</v>
      </c>
      <c r="T34" s="704" t="s">
        <v>18</v>
      </c>
      <c r="U34" s="705">
        <f t="shared" si="13"/>
        <v>100</v>
      </c>
      <c r="V34" s="704" t="s">
        <v>18</v>
      </c>
      <c r="W34" s="705">
        <f t="shared" si="14"/>
        <v>100</v>
      </c>
      <c r="X34" s="1353"/>
      <c r="Y34" s="3803"/>
      <c r="Z34" s="1354" t="str">
        <f t="shared" si="18"/>
        <v>建筑结构</v>
      </c>
      <c r="AA34" s="1351">
        <f t="shared" si="15"/>
        <v>1</v>
      </c>
      <c r="AB34" s="1351">
        <f t="shared" si="16"/>
        <v>1</v>
      </c>
      <c r="AC34" s="1351">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6"/>
      <c r="M35" s="2710"/>
      <c r="N35" s="2710"/>
      <c r="O35" s="2710"/>
      <c r="P35" s="3801"/>
      <c r="Q35" s="1350" t="str">
        <f t="shared" si="11"/>
        <v>建筑品质</v>
      </c>
      <c r="R35" s="704" t="s">
        <v>18</v>
      </c>
      <c r="S35" s="705">
        <f t="shared" si="12"/>
        <v>100</v>
      </c>
      <c r="T35" s="704" t="s">
        <v>18</v>
      </c>
      <c r="U35" s="705">
        <f t="shared" si="13"/>
        <v>100</v>
      </c>
      <c r="V35" s="704" t="s">
        <v>18</v>
      </c>
      <c r="W35" s="705">
        <f t="shared" si="14"/>
        <v>100</v>
      </c>
      <c r="X35" s="1353"/>
      <c r="Y35" s="3803"/>
      <c r="Z35" s="1354" t="str">
        <f t="shared" si="18"/>
        <v>建筑品质</v>
      </c>
      <c r="AA35" s="1351">
        <f t="shared" si="15"/>
        <v>1</v>
      </c>
      <c r="AB35" s="1351">
        <f t="shared" si="16"/>
        <v>1</v>
      </c>
      <c r="AC35" s="1351">
        <f t="shared" si="17"/>
        <v>1</v>
      </c>
    </row>
    <row r="36" spans="1:29" ht="15">
      <c r="A36" s="423"/>
      <c r="B36" s="375" t="s">
        <v>1699</v>
      </c>
      <c r="C36" s="1904" t="s">
        <v>3455</v>
      </c>
      <c r="D36" s="386">
        <v>100</v>
      </c>
      <c r="E36" s="1904" t="s">
        <v>3455</v>
      </c>
      <c r="F36" s="412">
        <f>SUMIF(109:109,E36,110:110)-SUMIF(109:109,C36,110:110)+100</f>
        <v>100</v>
      </c>
      <c r="G36" s="1904" t="s">
        <v>3455</v>
      </c>
      <c r="H36" s="386">
        <f>SUMIF(109:109,G36,110:110)-SUMIF(109:109,C36,110:110)+100</f>
        <v>100</v>
      </c>
      <c r="I36" s="1904" t="s">
        <v>3455</v>
      </c>
      <c r="J36" s="386">
        <f>SUMIF(109:109,I36,110:110)-SUMIF(109:109,C36,110:110)+100</f>
        <v>100</v>
      </c>
      <c r="K36" s="377">
        <v>2</v>
      </c>
      <c r="L36" s="2716"/>
      <c r="M36" s="2710"/>
      <c r="N36" s="2710"/>
      <c r="O36" s="2710"/>
      <c r="P36" s="3801"/>
      <c r="Q36" s="1350" t="str">
        <f t="shared" si="11"/>
        <v>公共部分装修</v>
      </c>
      <c r="R36" s="704" t="s">
        <v>18</v>
      </c>
      <c r="S36" s="705">
        <f t="shared" si="12"/>
        <v>100</v>
      </c>
      <c r="T36" s="704" t="s">
        <v>18</v>
      </c>
      <c r="U36" s="705">
        <f t="shared" si="13"/>
        <v>100</v>
      </c>
      <c r="V36" s="704" t="s">
        <v>18</v>
      </c>
      <c r="W36" s="705">
        <f t="shared" si="14"/>
        <v>100</v>
      </c>
      <c r="X36" s="1353"/>
      <c r="Y36" s="3803"/>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801"/>
      <c r="Q37" s="1341" t="str">
        <f t="shared" si="11"/>
        <v>成新度</v>
      </c>
      <c r="R37" s="700" t="s">
        <v>18</v>
      </c>
      <c r="S37" s="701" t="e">
        <f t="shared" si="12"/>
        <v>#N/A</v>
      </c>
      <c r="T37" s="700" t="s">
        <v>18</v>
      </c>
      <c r="U37" s="701" t="e">
        <f t="shared" si="13"/>
        <v>#N/A</v>
      </c>
      <c r="V37" s="700" t="s">
        <v>18</v>
      </c>
      <c r="W37" s="701" t="e">
        <f t="shared" si="14"/>
        <v>#N/A</v>
      </c>
      <c r="X37" s="702"/>
      <c r="Y37" s="3803"/>
      <c r="Z37" s="52" t="str">
        <f t="shared" si="18"/>
        <v>成新度</v>
      </c>
      <c r="AA37" s="703" t="e">
        <f t="shared" si="15"/>
        <v>#N/A</v>
      </c>
      <c r="AB37" s="703" t="e">
        <f t="shared" si="16"/>
        <v>#N/A</v>
      </c>
      <c r="AC37" s="703" t="e">
        <f t="shared" si="17"/>
        <v>#N/A</v>
      </c>
    </row>
    <row r="38" spans="1:29" ht="15">
      <c r="A38" s="423"/>
      <c r="B38" s="375" t="s">
        <v>1701</v>
      </c>
      <c r="C38" s="1904" t="s">
        <v>3456</v>
      </c>
      <c r="D38" s="386">
        <v>100</v>
      </c>
      <c r="E38" s="1904" t="s">
        <v>3456</v>
      </c>
      <c r="F38" s="412">
        <f>SUMIF(114:114,E38,115:115)-SUMIF(114:114,C38,115:115)+100</f>
        <v>100</v>
      </c>
      <c r="G38" s="1904" t="s">
        <v>3456</v>
      </c>
      <c r="H38" s="386">
        <f>SUMIF(114:114,G38,115:115)-SUMIF(114:114,C38,115:115)+100</f>
        <v>100</v>
      </c>
      <c r="I38" s="1904" t="s">
        <v>3456</v>
      </c>
      <c r="J38" s="386">
        <f>SUMIF(114:114,I38,115:115)-SUMIF(114:114,C38,115:115)+100</f>
        <v>100</v>
      </c>
      <c r="K38" s="377">
        <v>2</v>
      </c>
      <c r="L38" s="2716"/>
      <c r="M38" s="2710"/>
      <c r="N38" s="2710"/>
      <c r="O38" s="2710"/>
      <c r="P38" s="3801" t="s">
        <v>1695</v>
      </c>
      <c r="Q38" s="1350" t="str">
        <f t="shared" si="11"/>
        <v>物业管理</v>
      </c>
      <c r="R38" s="704" t="s">
        <v>18</v>
      </c>
      <c r="S38" s="705">
        <f t="shared" si="12"/>
        <v>100</v>
      </c>
      <c r="T38" s="704" t="s">
        <v>18</v>
      </c>
      <c r="U38" s="705">
        <f t="shared" si="13"/>
        <v>100</v>
      </c>
      <c r="V38" s="704" t="s">
        <v>18</v>
      </c>
      <c r="W38" s="705">
        <f t="shared" si="14"/>
        <v>100</v>
      </c>
      <c r="X38" s="1353"/>
      <c r="Y38" s="3803" t="s">
        <v>1695</v>
      </c>
      <c r="Z38" s="1354" t="str">
        <f t="shared" si="18"/>
        <v>物业管理</v>
      </c>
      <c r="AA38" s="1351">
        <f t="shared" si="15"/>
        <v>1</v>
      </c>
      <c r="AB38" s="1351">
        <f t="shared" si="16"/>
        <v>1</v>
      </c>
      <c r="AC38" s="1351">
        <f t="shared" si="17"/>
        <v>1</v>
      </c>
    </row>
    <row r="39" spans="1:29" ht="15">
      <c r="A39" s="423"/>
      <c r="B39" s="375" t="s">
        <v>1702</v>
      </c>
      <c r="C39" s="1904" t="s">
        <v>3393</v>
      </c>
      <c r="D39" s="386">
        <v>100</v>
      </c>
      <c r="E39" s="1904" t="s">
        <v>3393</v>
      </c>
      <c r="F39" s="412">
        <f>SUMIF(116:116,E39,117:117)-SUMIF(116:116,C39,117:117)+100</f>
        <v>100</v>
      </c>
      <c r="G39" s="1904" t="s">
        <v>3393</v>
      </c>
      <c r="H39" s="386">
        <f>SUMIF(116:116,G39,117:117)-SUMIF(116:116,C39,117:117)+100</f>
        <v>100</v>
      </c>
      <c r="I39" s="1904" t="s">
        <v>3393</v>
      </c>
      <c r="J39" s="386">
        <f>SUMIF(116:116,I39,117:117)-SUMIF(116:116,C39,117:117)+100</f>
        <v>100</v>
      </c>
      <c r="K39" s="377">
        <v>1</v>
      </c>
      <c r="L39" s="2716"/>
      <c r="M39" s="2710"/>
      <c r="N39" s="2710"/>
      <c r="O39" s="2710"/>
      <c r="P39" s="3801"/>
      <c r="Q39" s="1350" t="str">
        <f t="shared" si="11"/>
        <v>市政基础设施</v>
      </c>
      <c r="R39" s="704" t="s">
        <v>18</v>
      </c>
      <c r="S39" s="705">
        <f t="shared" si="12"/>
        <v>100</v>
      </c>
      <c r="T39" s="704" t="s">
        <v>18</v>
      </c>
      <c r="U39" s="705">
        <f t="shared" si="13"/>
        <v>100</v>
      </c>
      <c r="V39" s="704" t="s">
        <v>18</v>
      </c>
      <c r="W39" s="705">
        <f t="shared" si="14"/>
        <v>100</v>
      </c>
      <c r="X39" s="1353"/>
      <c r="Y39" s="3803"/>
      <c r="Z39" s="1354" t="str">
        <f t="shared" si="18"/>
        <v>市政基础设施</v>
      </c>
      <c r="AA39" s="1351">
        <f t="shared" si="15"/>
        <v>1</v>
      </c>
      <c r="AB39" s="1351">
        <f t="shared" si="16"/>
        <v>1</v>
      </c>
      <c r="AC39" s="1351">
        <f t="shared" si="17"/>
        <v>1</v>
      </c>
    </row>
    <row r="40" spans="1:29" ht="15">
      <c r="A40" s="423"/>
      <c r="B40" s="375" t="s">
        <v>1703</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6"/>
      <c r="M40" s="2710"/>
      <c r="N40" s="2710"/>
      <c r="O40" s="2710"/>
      <c r="P40" s="3801"/>
      <c r="Q40" s="1350" t="str">
        <f t="shared" si="11"/>
        <v>房型</v>
      </c>
      <c r="R40" s="704" t="s">
        <v>18</v>
      </c>
      <c r="S40" s="705">
        <f t="shared" si="12"/>
        <v>100</v>
      </c>
      <c r="T40" s="704" t="s">
        <v>18</v>
      </c>
      <c r="U40" s="705">
        <f t="shared" si="13"/>
        <v>100</v>
      </c>
      <c r="V40" s="704" t="s">
        <v>18</v>
      </c>
      <c r="W40" s="705">
        <f t="shared" si="14"/>
        <v>100</v>
      </c>
      <c r="X40" s="1353"/>
      <c r="Y40" s="3803"/>
      <c r="Z40" s="1354" t="str">
        <f t="shared" si="18"/>
        <v>房型</v>
      </c>
      <c r="AA40" s="1351">
        <f t="shared" si="15"/>
        <v>1</v>
      </c>
      <c r="AB40" s="1351">
        <f t="shared" si="16"/>
        <v>1</v>
      </c>
      <c r="AC40" s="1351">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801"/>
      <c r="Q41" s="706" t="str">
        <f t="shared" si="11"/>
        <v>单套/主力户型建筑面积</v>
      </c>
      <c r="R41" s="707" t="s">
        <v>18</v>
      </c>
      <c r="S41" s="708">
        <f t="shared" si="12"/>
        <v>100</v>
      </c>
      <c r="T41" s="707" t="s">
        <v>18</v>
      </c>
      <c r="U41" s="708">
        <f t="shared" si="13"/>
        <v>100</v>
      </c>
      <c r="V41" s="707" t="s">
        <v>18</v>
      </c>
      <c r="W41" s="708">
        <f t="shared" si="14"/>
        <v>100</v>
      </c>
      <c r="X41" s="709"/>
      <c r="Y41" s="3803"/>
      <c r="Z41" s="710" t="str">
        <f t="shared" si="18"/>
        <v>单套/主力户型建筑面积</v>
      </c>
      <c r="AA41" s="1351">
        <f t="shared" si="15"/>
        <v>1</v>
      </c>
      <c r="AB41" s="1351">
        <f t="shared" si="16"/>
        <v>1</v>
      </c>
      <c r="AC41" s="1351">
        <f t="shared" si="17"/>
        <v>1</v>
      </c>
    </row>
    <row r="42" spans="1:29" ht="15">
      <c r="A42" s="423"/>
      <c r="B42" s="375" t="s">
        <v>1705</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6"/>
      <c r="M42" s="2710"/>
      <c r="N42" s="2710"/>
      <c r="O42" s="2710"/>
      <c r="P42" s="3801"/>
      <c r="Q42" s="1350" t="str">
        <f t="shared" si="11"/>
        <v>内部装修</v>
      </c>
      <c r="R42" s="704" t="s">
        <v>18</v>
      </c>
      <c r="S42" s="705">
        <f t="shared" si="12"/>
        <v>100</v>
      </c>
      <c r="T42" s="704" t="s">
        <v>18</v>
      </c>
      <c r="U42" s="705">
        <f t="shared" si="13"/>
        <v>100</v>
      </c>
      <c r="V42" s="704" t="s">
        <v>18</v>
      </c>
      <c r="W42" s="705">
        <f t="shared" si="14"/>
        <v>100</v>
      </c>
      <c r="X42" s="1353"/>
      <c r="Y42" s="3803"/>
      <c r="Z42" s="1354" t="str">
        <f t="shared" si="18"/>
        <v>内部装修</v>
      </c>
      <c r="AA42" s="1351">
        <f t="shared" si="15"/>
        <v>1</v>
      </c>
      <c r="AB42" s="1351">
        <f t="shared" si="16"/>
        <v>1</v>
      </c>
      <c r="AC42" s="1351">
        <f t="shared" si="17"/>
        <v>1</v>
      </c>
    </row>
    <row r="43" spans="1:29" ht="15">
      <c r="A43" s="423"/>
      <c r="B43" s="375" t="s">
        <v>1706</v>
      </c>
      <c r="C43" s="1904" t="s">
        <v>3392</v>
      </c>
      <c r="D43" s="386">
        <v>100</v>
      </c>
      <c r="E43" s="1904" t="s">
        <v>3392</v>
      </c>
      <c r="F43" s="412">
        <f>SUMIF(124:124,E43,125:125)-SUMIF(124:124,C43,125:125)+100</f>
        <v>100</v>
      </c>
      <c r="G43" s="1904" t="s">
        <v>3392</v>
      </c>
      <c r="H43" s="386">
        <f>SUMIF(124:124,G43,125:125)-SUMIF(124:124,C43,125:125)+100</f>
        <v>100</v>
      </c>
      <c r="I43" s="1904" t="s">
        <v>3392</v>
      </c>
      <c r="J43" s="386">
        <f>SUMIF(124:124,I43,125:125)-SUMIF(124:124,C43,125:125)+100</f>
        <v>100</v>
      </c>
      <c r="K43" s="377">
        <v>2</v>
      </c>
      <c r="L43" s="2716"/>
      <c r="M43" s="2710"/>
      <c r="N43" s="2710"/>
      <c r="O43" s="2710"/>
      <c r="P43" s="3801"/>
      <c r="Q43" s="1350" t="str">
        <f t="shared" si="11"/>
        <v>内部装修维护情况</v>
      </c>
      <c r="R43" s="704" t="s">
        <v>18</v>
      </c>
      <c r="S43" s="705">
        <f t="shared" si="12"/>
        <v>100</v>
      </c>
      <c r="T43" s="704" t="s">
        <v>18</v>
      </c>
      <c r="U43" s="705">
        <f t="shared" si="13"/>
        <v>100</v>
      </c>
      <c r="V43" s="704" t="s">
        <v>18</v>
      </c>
      <c r="W43" s="705">
        <f t="shared" si="14"/>
        <v>100</v>
      </c>
      <c r="X43" s="1353"/>
      <c r="Y43" s="380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801"/>
      <c r="Q44" s="1341">
        <f t="shared" si="11"/>
        <v>111</v>
      </c>
      <c r="R44" s="700" t="s">
        <v>18</v>
      </c>
      <c r="S44" s="701">
        <f t="shared" si="12"/>
        <v>100</v>
      </c>
      <c r="T44" s="700" t="s">
        <v>18</v>
      </c>
      <c r="U44" s="701">
        <f t="shared" si="13"/>
        <v>100</v>
      </c>
      <c r="V44" s="700" t="s">
        <v>18</v>
      </c>
      <c r="W44" s="701">
        <f t="shared" si="14"/>
        <v>100</v>
      </c>
      <c r="X44" s="702"/>
      <c r="Y44" s="380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801"/>
      <c r="Q45" s="1350">
        <f t="shared" si="11"/>
        <v>111</v>
      </c>
      <c r="R45" s="704" t="s">
        <v>18</v>
      </c>
      <c r="S45" s="705">
        <f t="shared" si="12"/>
        <v>100</v>
      </c>
      <c r="T45" s="704" t="s">
        <v>18</v>
      </c>
      <c r="U45" s="705">
        <f t="shared" si="13"/>
        <v>100</v>
      </c>
      <c r="V45" s="704" t="s">
        <v>18</v>
      </c>
      <c r="W45" s="705">
        <f t="shared" si="14"/>
        <v>100</v>
      </c>
      <c r="X45" s="1353"/>
      <c r="Y45" s="380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802"/>
      <c r="Q46" s="1350">
        <f t="shared" si="11"/>
        <v>111</v>
      </c>
      <c r="R46" s="704" t="s">
        <v>17</v>
      </c>
      <c r="S46" s="705">
        <f t="shared" si="12"/>
        <v>100</v>
      </c>
      <c r="T46" s="704" t="s">
        <v>17</v>
      </c>
      <c r="U46" s="705">
        <f t="shared" si="13"/>
        <v>100</v>
      </c>
      <c r="V46" s="704" t="s">
        <v>17</v>
      </c>
      <c r="W46" s="705">
        <f t="shared" si="14"/>
        <v>100</v>
      </c>
      <c r="X46" s="1353"/>
      <c r="Y46" s="3804"/>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0"/>
      <c r="L47" s="2718"/>
      <c r="M47" s="2719"/>
      <c r="N47" s="2710"/>
      <c r="O47" s="2719"/>
      <c r="P47" s="3796" t="str">
        <f>A47</f>
        <v>成交单价（元/平方米）</v>
      </c>
      <c r="Q47" s="3796"/>
      <c r="R47" s="3797">
        <f>E47</f>
        <v>0</v>
      </c>
      <c r="S47" s="3797"/>
      <c r="T47" s="3797">
        <f>G47</f>
        <v>0</v>
      </c>
      <c r="U47" s="3797"/>
      <c r="V47" s="3797">
        <f>I47</f>
        <v>0</v>
      </c>
      <c r="W47" s="3797"/>
      <c r="X47" s="689"/>
      <c r="Y47" s="711"/>
      <c r="Z47" s="689"/>
      <c r="AA47" s="689"/>
      <c r="AB47" s="689"/>
      <c r="AC47" s="689"/>
    </row>
    <row r="48" spans="1:29" ht="15.75" thickBot="1">
      <c r="A48" s="437" t="s">
        <v>1708</v>
      </c>
      <c r="B48" s="438"/>
      <c r="C48" s="1159" t="e">
        <f>R49</f>
        <v>#DIV/0!</v>
      </c>
      <c r="D48" s="2313" t="s">
        <v>2137</v>
      </c>
      <c r="E48" s="1160" t="e">
        <f>R48</f>
        <v>#DIV/0!</v>
      </c>
      <c r="F48" s="2314"/>
      <c r="G48" s="1159" t="e">
        <f>T48</f>
        <v>#DIV/0!</v>
      </c>
      <c r="H48" s="2314"/>
      <c r="I48" s="1160" t="e">
        <f>V48</f>
        <v>#DIV/0!</v>
      </c>
      <c r="J48" s="2314"/>
      <c r="K48" s="2315">
        <f>F48+H48+J48</f>
        <v>0</v>
      </c>
      <c r="L48" s="2718"/>
      <c r="M48" s="2719"/>
      <c r="N48" s="2719"/>
      <c r="O48" s="2719"/>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1"/>
      <c r="L49" s="2718"/>
      <c r="M49" s="2719"/>
      <c r="N49" s="2719"/>
      <c r="O49" s="2719"/>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3" t="s">
        <v>1713</v>
      </c>
      <c r="B57" s="689"/>
      <c r="C57" s="694"/>
      <c r="D57" s="694"/>
      <c r="E57" s="694"/>
      <c r="F57" s="695"/>
      <c r="G57" s="695"/>
      <c r="H57" s="694"/>
      <c r="I57" s="694"/>
      <c r="J57" s="694"/>
      <c r="K57" s="940"/>
      <c r="L57" s="941"/>
      <c r="M57" s="939"/>
      <c r="N57" s="939"/>
      <c r="O57" s="939"/>
      <c r="P57" s="1914"/>
      <c r="Q57" s="453"/>
    </row>
    <row r="58" spans="1:29" s="457" customFormat="1" ht="15">
      <c r="A58" s="454" t="s">
        <v>1714</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t="s">
        <v>3411</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1718</v>
      </c>
      <c r="B63" s="477" t="s">
        <v>1684</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1687</v>
      </c>
      <c r="C65" s="532" t="s">
        <v>3412</v>
      </c>
      <c r="D65" s="532" t="s">
        <v>3413</v>
      </c>
      <c r="E65" s="532" t="s">
        <v>3414</v>
      </c>
      <c r="F65" s="532" t="s">
        <v>3415</v>
      </c>
      <c r="G65" s="532" t="s">
        <v>3416</v>
      </c>
      <c r="H65" s="532" t="s">
        <v>3417</v>
      </c>
      <c r="I65" s="532" t="s">
        <v>3418</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3384</v>
      </c>
      <c r="D70" s="503" t="s">
        <v>3376</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1733</v>
      </c>
      <c r="C86" s="503" t="s">
        <v>3419</v>
      </c>
      <c r="D86" s="503" t="s">
        <v>3420</v>
      </c>
      <c r="E86" s="503" t="s">
        <v>3421</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1734</v>
      </c>
      <c r="C88" s="503" t="s">
        <v>3422</v>
      </c>
      <c r="D88" s="503" t="s">
        <v>3423</v>
      </c>
      <c r="E88" s="503" t="s">
        <v>3424</v>
      </c>
      <c r="F88" s="1923" t="s">
        <v>3425</v>
      </c>
      <c r="G88" s="503" t="s">
        <v>3426</v>
      </c>
      <c r="H88" s="503" t="s">
        <v>3427</v>
      </c>
      <c r="I88" s="503" t="s">
        <v>3428</v>
      </c>
      <c r="J88" s="503" t="s">
        <v>3429</v>
      </c>
      <c r="K88" s="503" t="s">
        <v>3430</v>
      </c>
      <c r="L88" s="503" t="s">
        <v>3431</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1693</v>
      </c>
      <c r="B100" s="477" t="s">
        <v>1735</v>
      </c>
      <c r="C100" s="479" t="s">
        <v>3432</v>
      </c>
      <c r="D100" s="479" t="s">
        <v>3433</v>
      </c>
      <c r="E100" s="479" t="s">
        <v>3434</v>
      </c>
      <c r="F100" s="479" t="s">
        <v>3435</v>
      </c>
      <c r="G100" s="479" t="s">
        <v>3436</v>
      </c>
      <c r="H100" s="479" t="s">
        <v>3437</v>
      </c>
      <c r="I100" s="479" t="s">
        <v>3438</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1737</v>
      </c>
      <c r="C105" s="3446" t="s">
        <v>3439</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1738</v>
      </c>
      <c r="C107" s="3447" t="s">
        <v>3444</v>
      </c>
      <c r="D107" s="3447" t="s">
        <v>3445</v>
      </c>
      <c r="E107" s="3447" t="s">
        <v>3446</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1739</v>
      </c>
      <c r="C109" s="3446" t="s">
        <v>3440</v>
      </c>
      <c r="D109" s="3446" t="s">
        <v>3441</v>
      </c>
      <c r="E109" s="3446" t="s">
        <v>3442</v>
      </c>
      <c r="F109" s="3447" t="s">
        <v>3443</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1740</v>
      </c>
      <c r="C114" s="3446" t="s">
        <v>3447</v>
      </c>
      <c r="D114" s="3446" t="s">
        <v>3448</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1742</v>
      </c>
      <c r="C118" s="3447" t="s">
        <v>3449</v>
      </c>
      <c r="D118" s="3447" t="s">
        <v>3450</v>
      </c>
      <c r="E118" s="3447" t="s">
        <v>3451</v>
      </c>
      <c r="F118" s="3447" t="s">
        <v>3452</v>
      </c>
      <c r="G118" s="3447" t="s">
        <v>3453</v>
      </c>
      <c r="H118" s="3447" t="s">
        <v>3454</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6">
        <v>6</v>
      </c>
      <c r="C139" s="867">
        <v>96</v>
      </c>
      <c r="D139" s="1936" t="s">
        <v>1754</v>
      </c>
      <c r="E139" s="868">
        <v>100</v>
      </c>
      <c r="F139" s="869">
        <v>102.5</v>
      </c>
      <c r="G139" s="1936" t="s">
        <v>1754</v>
      </c>
      <c r="H139" s="870">
        <v>105</v>
      </c>
      <c r="I139" s="1937" t="s">
        <v>1755</v>
      </c>
      <c r="J139" s="867">
        <v>20</v>
      </c>
      <c r="K139" s="871">
        <f>C145/(J139-2)</f>
        <v>4.0555555555555553E-3</v>
      </c>
    </row>
    <row r="140" spans="1:17" ht="15">
      <c r="B140" s="872">
        <v>5</v>
      </c>
      <c r="C140" s="873">
        <v>100</v>
      </c>
      <c r="D140" s="873"/>
      <c r="E140" s="874"/>
      <c r="F140" s="875">
        <v>102</v>
      </c>
      <c r="G140" s="873"/>
      <c r="H140" s="876"/>
      <c r="I140" s="1938" t="s">
        <v>1756</v>
      </c>
      <c r="J140" s="271">
        <f>ROUNDUP((J139-1)/2,0)</f>
        <v>10</v>
      </c>
      <c r="K140" s="877">
        <v>100</v>
      </c>
    </row>
    <row r="141" spans="1:17" ht="15">
      <c r="B141" s="872">
        <v>4</v>
      </c>
      <c r="C141" s="873">
        <v>102</v>
      </c>
      <c r="D141" s="873"/>
      <c r="E141" s="874"/>
      <c r="F141" s="875">
        <v>101.5</v>
      </c>
      <c r="G141" s="873"/>
      <c r="H141" s="876"/>
      <c r="I141" s="1938" t="s">
        <v>1757</v>
      </c>
      <c r="J141" s="271">
        <v>1</v>
      </c>
      <c r="K141" s="878">
        <f>ROUND(100+(J141-J140)*K139*100,1)</f>
        <v>96.4</v>
      </c>
    </row>
    <row r="142" spans="1:17" ht="15">
      <c r="B142" s="872">
        <v>3</v>
      </c>
      <c r="C142" s="873">
        <v>103</v>
      </c>
      <c r="D142" s="873"/>
      <c r="E142" s="874"/>
      <c r="F142" s="875">
        <v>101</v>
      </c>
      <c r="G142" s="873"/>
      <c r="H142" s="876"/>
      <c r="I142" s="1938" t="s">
        <v>1758</v>
      </c>
      <c r="J142" s="271">
        <f>J139</f>
        <v>20</v>
      </c>
      <c r="K142" s="879">
        <v>95</v>
      </c>
    </row>
    <row r="143" spans="1:17" ht="15">
      <c r="B143" s="872">
        <v>2</v>
      </c>
      <c r="C143" s="873">
        <v>100</v>
      </c>
      <c r="D143" s="873"/>
      <c r="E143" s="874"/>
      <c r="F143" s="875">
        <v>100.5</v>
      </c>
      <c r="G143" s="873"/>
      <c r="H143" s="876"/>
      <c r="I143" s="1938" t="s">
        <v>1759</v>
      </c>
      <c r="J143" s="873">
        <v>15</v>
      </c>
      <c r="K143" s="878">
        <f>ROUND(100+(J143-J140)*K139*100,1)</f>
        <v>102</v>
      </c>
    </row>
    <row r="144" spans="1:17" ht="15">
      <c r="B144" s="872">
        <v>1</v>
      </c>
      <c r="C144" s="873">
        <v>98</v>
      </c>
      <c r="D144" s="1939" t="s">
        <v>1760</v>
      </c>
      <c r="E144" s="874">
        <v>102</v>
      </c>
      <c r="F144" s="880">
        <v>100</v>
      </c>
      <c r="G144" s="1939" t="s">
        <v>1760</v>
      </c>
      <c r="H144" s="876">
        <v>105</v>
      </c>
      <c r="I144" s="1938" t="s">
        <v>1759</v>
      </c>
      <c r="J144" s="873">
        <v>18</v>
      </c>
      <c r="K144" s="878">
        <f>ROUND(100+(J144-J140)*K139*100,1)</f>
        <v>103.2</v>
      </c>
    </row>
    <row r="145" spans="2:11" ht="15.75" thickBot="1">
      <c r="B145" s="1940" t="s">
        <v>1761</v>
      </c>
      <c r="C145" s="881">
        <f>ROUND(MAX(C139:C144)/MIN(C139:C144)-1,3)</f>
        <v>7.2999999999999995E-2</v>
      </c>
      <c r="D145" s="882"/>
      <c r="E145" s="882"/>
      <c r="F145" s="1941" t="s">
        <v>1762</v>
      </c>
      <c r="G145" s="1942"/>
      <c r="H145" s="1943"/>
      <c r="I145" s="1944" t="s">
        <v>1759</v>
      </c>
      <c r="J145" s="883">
        <v>8</v>
      </c>
      <c r="K145" s="884">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0" t="s">
        <v>3494</v>
      </c>
      <c r="F1" s="1877" t="s">
        <v>3495</v>
      </c>
      <c r="G1" s="1233" t="s">
        <v>1766</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1461</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1948"/>
      <c r="Q2" s="911"/>
      <c r="R2" s="911"/>
      <c r="S2" s="911"/>
      <c r="T2" s="911"/>
      <c r="U2" s="911"/>
      <c r="V2" s="911"/>
      <c r="W2" s="911"/>
      <c r="X2" s="911"/>
      <c r="Y2" s="911"/>
      <c r="Z2" s="911"/>
      <c r="AA2" s="911"/>
      <c r="AB2" s="911"/>
      <c r="AC2" s="1949"/>
    </row>
    <row r="3" spans="1:29" s="352" customFormat="1" ht="28.5" customHeight="1" thickBot="1">
      <c r="A3" s="203" t="s">
        <v>1463</v>
      </c>
      <c r="B3" s="558" t="e">
        <f>IF(C2="——",C49,ROUND(B2*10000/D3,0))</f>
        <v>#DIV/0!</v>
      </c>
      <c r="C3" s="354" t="s">
        <v>1767</v>
      </c>
      <c r="D3" s="353">
        <f>IF(D1="",'数据-汇总表'!E3,SUMIF('数据-汇总表'!$C19:$C33,D1,'数据-汇总表'!$E19:$E33))</f>
        <v>25743.170000000006</v>
      </c>
      <c r="E3" s="1950"/>
      <c r="F3" s="908"/>
      <c r="G3" s="907"/>
      <c r="H3" s="907"/>
      <c r="I3" s="907"/>
      <c r="J3" s="907"/>
      <c r="K3" s="909"/>
      <c r="L3" s="2728"/>
      <c r="M3" s="2729"/>
      <c r="N3" s="2729"/>
      <c r="O3" s="2729"/>
      <c r="P3" s="1948"/>
      <c r="Q3" s="911"/>
      <c r="R3" s="911"/>
      <c r="S3" s="911"/>
      <c r="T3" s="911"/>
      <c r="U3" s="911"/>
      <c r="V3" s="911"/>
      <c r="W3" s="911"/>
      <c r="X3" s="911"/>
      <c r="Y3" s="911"/>
      <c r="Z3" s="911"/>
      <c r="AA3" s="911"/>
      <c r="AB3" s="911"/>
      <c r="AC3" s="1950"/>
    </row>
    <row r="4" spans="1:29" ht="15">
      <c r="A4" s="355" t="s">
        <v>1768</v>
      </c>
      <c r="B4" s="356"/>
      <c r="C4" s="3779" t="s">
        <v>1769</v>
      </c>
      <c r="D4" s="3780"/>
      <c r="E4" s="3781" t="s">
        <v>1770</v>
      </c>
      <c r="F4" s="3782"/>
      <c r="G4" s="3779" t="s">
        <v>1771</v>
      </c>
      <c r="H4" s="3780"/>
      <c r="I4" s="3779" t="s">
        <v>1772</v>
      </c>
      <c r="J4" s="3780"/>
      <c r="K4" s="559" t="s">
        <v>1773</v>
      </c>
      <c r="L4" s="2709"/>
      <c r="M4" s="2710"/>
      <c r="N4" s="2710"/>
      <c r="O4" s="2710"/>
      <c r="P4" s="3783" t="s">
        <v>1774</v>
      </c>
      <c r="Q4" s="3784"/>
      <c r="R4" s="3766" t="s">
        <v>1770</v>
      </c>
      <c r="S4" s="3767"/>
      <c r="T4" s="3766" t="s">
        <v>1771</v>
      </c>
      <c r="U4" s="3767"/>
      <c r="V4" s="3791" t="s">
        <v>1772</v>
      </c>
      <c r="W4" s="3791"/>
      <c r="X4" s="1353"/>
      <c r="Y4" s="3766" t="s">
        <v>1774</v>
      </c>
      <c r="Z4" s="3767"/>
      <c r="AA4" s="3761" t="s">
        <v>1770</v>
      </c>
      <c r="AB4" s="3791" t="s">
        <v>1771</v>
      </c>
      <c r="AC4" s="3761" t="s">
        <v>1772</v>
      </c>
    </row>
    <row r="5" spans="1:29" ht="15">
      <c r="A5" s="358"/>
      <c r="B5" s="359"/>
      <c r="C5" s="3772" t="s">
        <v>1672</v>
      </c>
      <c r="D5" s="3773"/>
      <c r="E5" s="3770" t="s">
        <v>1673</v>
      </c>
      <c r="F5" s="3771"/>
      <c r="G5" s="3772" t="s">
        <v>1674</v>
      </c>
      <c r="H5" s="3773"/>
      <c r="I5" s="3772" t="s">
        <v>1675</v>
      </c>
      <c r="J5" s="3773"/>
      <c r="K5" s="559"/>
      <c r="L5" s="2709"/>
      <c r="M5" s="2710"/>
      <c r="N5" s="2710"/>
      <c r="O5" s="2710"/>
      <c r="P5" s="3785"/>
      <c r="Q5" s="3786"/>
      <c r="R5" s="3768"/>
      <c r="S5" s="3769"/>
      <c r="T5" s="3768"/>
      <c r="U5" s="3769"/>
      <c r="V5" s="3791"/>
      <c r="W5" s="3791"/>
      <c r="X5" s="1353"/>
      <c r="Y5" s="3768"/>
      <c r="Z5" s="3769"/>
      <c r="AA5" s="3762"/>
      <c r="AB5" s="3791"/>
      <c r="AC5" s="3762"/>
    </row>
    <row r="6" spans="1:29" ht="15.75" thickBot="1">
      <c r="A6" s="360"/>
      <c r="B6" s="361"/>
      <c r="C6" s="3774" t="s">
        <v>1676</v>
      </c>
      <c r="D6" s="3775"/>
      <c r="E6" s="3776" t="s">
        <v>1676</v>
      </c>
      <c r="F6" s="3777"/>
      <c r="G6" s="3774" t="s">
        <v>1676</v>
      </c>
      <c r="H6" s="3775"/>
      <c r="I6" s="3774" t="s">
        <v>1676</v>
      </c>
      <c r="J6" s="3775"/>
      <c r="K6" s="559" t="s">
        <v>1677</v>
      </c>
      <c r="L6" s="2709"/>
      <c r="M6" s="2710"/>
      <c r="N6" s="2710"/>
      <c r="O6" s="2710"/>
      <c r="P6" s="3787"/>
      <c r="Q6" s="3788"/>
      <c r="R6" s="3768"/>
      <c r="S6" s="3769"/>
      <c r="T6" s="3789"/>
      <c r="U6" s="3790"/>
      <c r="V6" s="3791"/>
      <c r="W6" s="3791"/>
      <c r="X6" s="1353"/>
      <c r="Y6" s="3789"/>
      <c r="Z6" s="3790"/>
      <c r="AA6" s="3763"/>
      <c r="AB6" s="3791"/>
      <c r="AC6" s="3763"/>
    </row>
    <row r="7" spans="1:29" s="108" customFormat="1" ht="15.75" thickBot="1">
      <c r="A7" s="362" t="s">
        <v>1678</v>
      </c>
      <c r="B7" s="363"/>
      <c r="C7" s="364">
        <f>'数据-取费表'!B2</f>
        <v>45163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64" t="s">
        <v>1679</v>
      </c>
      <c r="Q7" s="3792"/>
      <c r="R7" s="700" t="s">
        <v>14</v>
      </c>
      <c r="S7" s="701">
        <f t="shared" ref="S7:S15" si="0">F7</f>
        <v>0</v>
      </c>
      <c r="T7" s="700" t="s">
        <v>14</v>
      </c>
      <c r="U7" s="701">
        <f t="shared" ref="U7:U15" si="1">H7</f>
        <v>0</v>
      </c>
      <c r="V7" s="700" t="s">
        <v>14</v>
      </c>
      <c r="W7" s="701">
        <f t="shared" ref="W7:W15" si="2">J7</f>
        <v>0</v>
      </c>
      <c r="X7" s="702"/>
      <c r="Y7" s="3764" t="s">
        <v>1679</v>
      </c>
      <c r="Z7" s="3765"/>
      <c r="AA7" s="703" t="e">
        <f>D7/F7</f>
        <v>#DIV/0!</v>
      </c>
      <c r="AB7" s="703" t="e">
        <f>D7/H7</f>
        <v>#DIV/0!</v>
      </c>
      <c r="AC7" s="703" t="e">
        <f>D7/J7</f>
        <v>#DIV/0!</v>
      </c>
    </row>
    <row r="8" spans="1:29" s="108" customFormat="1" ht="15.7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60"/>
      <c r="L8" s="2711"/>
      <c r="M8" s="2712"/>
      <c r="N8" s="2712"/>
      <c r="O8" s="2712"/>
      <c r="P8" s="3764" t="s">
        <v>1682</v>
      </c>
      <c r="Q8" s="3765"/>
      <c r="R8" s="700" t="s">
        <v>14</v>
      </c>
      <c r="S8" s="701">
        <f t="shared" si="0"/>
        <v>102</v>
      </c>
      <c r="T8" s="700" t="s">
        <v>14</v>
      </c>
      <c r="U8" s="701">
        <f t="shared" si="1"/>
        <v>102</v>
      </c>
      <c r="V8" s="700" t="s">
        <v>14</v>
      </c>
      <c r="W8" s="701">
        <f t="shared" si="2"/>
        <v>102</v>
      </c>
      <c r="X8" s="702"/>
      <c r="Y8" s="3764" t="s">
        <v>1682</v>
      </c>
      <c r="Z8" s="3765"/>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3" t="s">
        <v>3492</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78" t="s">
        <v>1685</v>
      </c>
      <c r="Q9" s="1341" t="str">
        <f t="shared" ref="Q9:Q15" si="6">B9</f>
        <v>用途</v>
      </c>
      <c r="R9" s="700" t="s">
        <v>14</v>
      </c>
      <c r="S9" s="701">
        <f t="shared" si="0"/>
        <v>100</v>
      </c>
      <c r="T9" s="700" t="s">
        <v>14</v>
      </c>
      <c r="U9" s="701">
        <f t="shared" si="1"/>
        <v>100</v>
      </c>
      <c r="V9" s="700" t="s">
        <v>14</v>
      </c>
      <c r="W9" s="701">
        <f t="shared" si="2"/>
        <v>100</v>
      </c>
      <c r="X9" s="702"/>
      <c r="Y9" s="3710"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78"/>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78"/>
      <c r="Q11" s="1341"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78"/>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78"/>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78"/>
      <c r="Q14" s="1341">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1689</v>
      </c>
      <c r="B15" s="61" t="s">
        <v>1776</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805" t="s">
        <v>1690</v>
      </c>
      <c r="Q15" s="1350" t="str">
        <f t="shared" si="6"/>
        <v>商业繁华度</v>
      </c>
      <c r="R15" s="704" t="s">
        <v>14</v>
      </c>
      <c r="S15" s="705">
        <f t="shared" si="0"/>
        <v>100</v>
      </c>
      <c r="T15" s="704" t="s">
        <v>14</v>
      </c>
      <c r="U15" s="705">
        <f t="shared" si="1"/>
        <v>100</v>
      </c>
      <c r="V15" s="704" t="s">
        <v>14</v>
      </c>
      <c r="W15" s="705">
        <f t="shared" si="2"/>
        <v>100</v>
      </c>
      <c r="X15" s="1353"/>
      <c r="Y15" s="3798"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806"/>
      <c r="Q16" s="1350"/>
      <c r="R16" s="704"/>
      <c r="S16" s="705"/>
      <c r="T16" s="704"/>
      <c r="U16" s="705"/>
      <c r="V16" s="704"/>
      <c r="W16" s="705"/>
      <c r="X16" s="1353"/>
      <c r="Y16" s="3799"/>
      <c r="Z16" s="1354"/>
      <c r="AA16" s="1351">
        <v>1</v>
      </c>
      <c r="AB16" s="1351">
        <v>1</v>
      </c>
      <c r="AC16" s="1351">
        <v>1</v>
      </c>
    </row>
    <row r="17" spans="1:29" ht="15">
      <c r="A17" s="379"/>
      <c r="B17" s="402" t="s">
        <v>1258</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806"/>
      <c r="Q17" s="1350" t="str">
        <f>B17</f>
        <v>交通便捷度</v>
      </c>
      <c r="R17" s="704" t="s">
        <v>14</v>
      </c>
      <c r="S17" s="705">
        <f>F17</f>
        <v>100</v>
      </c>
      <c r="T17" s="704" t="s">
        <v>14</v>
      </c>
      <c r="U17" s="705">
        <f>H17</f>
        <v>100</v>
      </c>
      <c r="V17" s="704" t="s">
        <v>14</v>
      </c>
      <c r="W17" s="705">
        <f>J17</f>
        <v>100</v>
      </c>
      <c r="X17" s="1353"/>
      <c r="Y17" s="379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806"/>
      <c r="Q18" s="1350"/>
      <c r="R18" s="704"/>
      <c r="S18" s="705"/>
      <c r="T18" s="704"/>
      <c r="U18" s="705"/>
      <c r="V18" s="704"/>
      <c r="W18" s="705"/>
      <c r="X18" s="1353"/>
      <c r="Y18" s="3799"/>
      <c r="Z18" s="1354"/>
      <c r="AA18" s="1351">
        <v>1</v>
      </c>
      <c r="AB18" s="1351">
        <v>1</v>
      </c>
      <c r="AC18" s="1351">
        <v>1</v>
      </c>
    </row>
    <row r="19" spans="1:29" ht="15">
      <c r="A19" s="379"/>
      <c r="B19" s="402" t="s">
        <v>1777</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806"/>
      <c r="Q19" s="1350" t="str">
        <f>B19</f>
        <v>公共配套设施</v>
      </c>
      <c r="R19" s="704" t="s">
        <v>14</v>
      </c>
      <c r="S19" s="705">
        <f>F19</f>
        <v>100</v>
      </c>
      <c r="T19" s="704" t="s">
        <v>14</v>
      </c>
      <c r="U19" s="705">
        <f>H19</f>
        <v>100</v>
      </c>
      <c r="V19" s="704" t="s">
        <v>14</v>
      </c>
      <c r="W19" s="705">
        <f>J19</f>
        <v>100</v>
      </c>
      <c r="X19" s="1353"/>
      <c r="Y19" s="379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806"/>
      <c r="Q20" s="1350"/>
      <c r="R20" s="704"/>
      <c r="S20" s="705"/>
      <c r="T20" s="704"/>
      <c r="U20" s="705"/>
      <c r="V20" s="704"/>
      <c r="W20" s="705"/>
      <c r="X20" s="1353"/>
      <c r="Y20" s="3799"/>
      <c r="Z20" s="1354"/>
      <c r="AA20" s="1351">
        <v>1</v>
      </c>
      <c r="AB20" s="1351">
        <v>1</v>
      </c>
      <c r="AC20" s="1351">
        <v>1</v>
      </c>
    </row>
    <row r="21" spans="1:29" ht="15">
      <c r="A21" s="379"/>
      <c r="B21" s="1130" t="s">
        <v>1778</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806"/>
      <c r="Q21" s="1350" t="str">
        <f>B21</f>
        <v>基础设施水平</v>
      </c>
      <c r="R21" s="704" t="s">
        <v>14</v>
      </c>
      <c r="S21" s="705">
        <f>F21</f>
        <v>100</v>
      </c>
      <c r="T21" s="704" t="s">
        <v>14</v>
      </c>
      <c r="U21" s="705">
        <f>H21</f>
        <v>100</v>
      </c>
      <c r="V21" s="704" t="s">
        <v>14</v>
      </c>
      <c r="W21" s="705">
        <f>J21</f>
        <v>100</v>
      </c>
      <c r="X21" s="1353"/>
      <c r="Y21" s="379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806"/>
      <c r="Q22" s="1350"/>
      <c r="R22" s="704"/>
      <c r="S22" s="705"/>
      <c r="T22" s="704"/>
      <c r="U22" s="705"/>
      <c r="V22" s="704"/>
      <c r="W22" s="705"/>
      <c r="X22" s="1353"/>
      <c r="Y22" s="3799"/>
      <c r="Z22" s="1354"/>
      <c r="AA22" s="1351">
        <v>1</v>
      </c>
      <c r="AB22" s="1351">
        <v>1</v>
      </c>
      <c r="AC22" s="1351">
        <v>1</v>
      </c>
    </row>
    <row r="23" spans="1:29" ht="15">
      <c r="A23" s="379"/>
      <c r="B23" s="402" t="s">
        <v>1260</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806"/>
      <c r="Q23" s="1350" t="str">
        <f>B23</f>
        <v>自然及人文环境</v>
      </c>
      <c r="R23" s="704" t="s">
        <v>14</v>
      </c>
      <c r="S23" s="705">
        <f>F23</f>
        <v>100</v>
      </c>
      <c r="T23" s="704" t="s">
        <v>14</v>
      </c>
      <c r="U23" s="705">
        <f>H23</f>
        <v>100</v>
      </c>
      <c r="V23" s="704" t="s">
        <v>14</v>
      </c>
      <c r="W23" s="705">
        <f>J23</f>
        <v>100</v>
      </c>
      <c r="X23" s="1353"/>
      <c r="Y23" s="379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806"/>
      <c r="Q24" s="1350"/>
      <c r="R24" s="704"/>
      <c r="S24" s="705"/>
      <c r="T24" s="704"/>
      <c r="U24" s="705"/>
      <c r="V24" s="704"/>
      <c r="W24" s="705"/>
      <c r="X24" s="1353"/>
      <c r="Y24" s="3799"/>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806"/>
      <c r="Q25" s="1350" t="str">
        <f t="shared" ref="Q25:Q46" si="11">B25</f>
        <v>临街状况</v>
      </c>
      <c r="R25" s="704" t="s">
        <v>14</v>
      </c>
      <c r="S25" s="705">
        <f>F25</f>
        <v>100</v>
      </c>
      <c r="T25" s="704" t="s">
        <v>14</v>
      </c>
      <c r="U25" s="705">
        <f>H25</f>
        <v>100</v>
      </c>
      <c r="V25" s="704" t="s">
        <v>14</v>
      </c>
      <c r="W25" s="705">
        <f>J25</f>
        <v>100</v>
      </c>
      <c r="X25" s="1353"/>
      <c r="Y25" s="3799"/>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6"/>
      <c r="Q26" s="1350" t="str">
        <f t="shared" si="11"/>
        <v>平面位置/可视性</v>
      </c>
      <c r="R26" s="704" t="s">
        <v>14</v>
      </c>
      <c r="S26" s="705">
        <f>F26</f>
        <v>100</v>
      </c>
      <c r="T26" s="704" t="s">
        <v>14</v>
      </c>
      <c r="U26" s="705">
        <f>H26</f>
        <v>100</v>
      </c>
      <c r="V26" s="704" t="s">
        <v>14</v>
      </c>
      <c r="W26" s="705">
        <f>J26</f>
        <v>100</v>
      </c>
      <c r="X26" s="1353"/>
      <c r="Y26" s="3799"/>
      <c r="Z26" s="1354" t="str">
        <f>Q26</f>
        <v>平面位置/可视性</v>
      </c>
      <c r="AA26" s="1351">
        <f t="shared" si="3"/>
        <v>1</v>
      </c>
      <c r="AB26" s="1351">
        <f t="shared" si="4"/>
        <v>1</v>
      </c>
      <c r="AC26" s="1351">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v>2</v>
      </c>
      <c r="L27" s="2711"/>
      <c r="M27" s="2712"/>
      <c r="N27" s="2712"/>
      <c r="O27" s="2712"/>
      <c r="P27" s="3806"/>
      <c r="Q27" s="1341" t="str">
        <f t="shared" si="11"/>
        <v>人流量</v>
      </c>
      <c r="R27" s="700" t="s">
        <v>14</v>
      </c>
      <c r="S27" s="701">
        <f>F27</f>
        <v>100</v>
      </c>
      <c r="T27" s="700" t="s">
        <v>14</v>
      </c>
      <c r="U27" s="701">
        <f>H27</f>
        <v>100</v>
      </c>
      <c r="V27" s="700" t="s">
        <v>14</v>
      </c>
      <c r="W27" s="701">
        <f>J27</f>
        <v>100</v>
      </c>
      <c r="X27" s="702"/>
      <c r="Y27" s="3799"/>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99"/>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6"/>
      <c r="Q29" s="1350">
        <f t="shared" si="11"/>
        <v>111</v>
      </c>
      <c r="R29" s="704" t="s">
        <v>14</v>
      </c>
      <c r="S29" s="705">
        <f t="shared" si="12"/>
        <v>100</v>
      </c>
      <c r="T29" s="704" t="s">
        <v>14</v>
      </c>
      <c r="U29" s="705">
        <f t="shared" si="13"/>
        <v>100</v>
      </c>
      <c r="V29" s="704" t="s">
        <v>14</v>
      </c>
      <c r="W29" s="705">
        <f t="shared" si="14"/>
        <v>100</v>
      </c>
      <c r="X29" s="1353"/>
      <c r="Y29" s="379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6"/>
      <c r="Q30" s="1350">
        <f t="shared" si="11"/>
        <v>111</v>
      </c>
      <c r="R30" s="704" t="s">
        <v>14</v>
      </c>
      <c r="S30" s="705">
        <f t="shared" si="12"/>
        <v>100</v>
      </c>
      <c r="T30" s="704" t="s">
        <v>14</v>
      </c>
      <c r="U30" s="705">
        <f t="shared" si="13"/>
        <v>100</v>
      </c>
      <c r="V30" s="704" t="s">
        <v>14</v>
      </c>
      <c r="W30" s="705">
        <f t="shared" si="14"/>
        <v>100</v>
      </c>
      <c r="X30" s="1353"/>
      <c r="Y30" s="3799"/>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6"/>
      <c r="Q31" s="1350">
        <f t="shared" si="11"/>
        <v>111</v>
      </c>
      <c r="R31" s="704" t="s">
        <v>14</v>
      </c>
      <c r="S31" s="705">
        <f t="shared" si="12"/>
        <v>100</v>
      </c>
      <c r="T31" s="704" t="s">
        <v>14</v>
      </c>
      <c r="U31" s="705">
        <f t="shared" si="13"/>
        <v>100</v>
      </c>
      <c r="V31" s="704" t="s">
        <v>14</v>
      </c>
      <c r="W31" s="705">
        <f t="shared" si="14"/>
        <v>100</v>
      </c>
      <c r="X31" s="1353"/>
      <c r="Y31" s="3799"/>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6"/>
      <c r="M32" s="2710"/>
      <c r="N32" s="2710"/>
      <c r="O32" s="2710"/>
      <c r="P32" s="3800" t="s">
        <v>1695</v>
      </c>
      <c r="Q32" s="1350" t="str">
        <f t="shared" si="11"/>
        <v>商业类型</v>
      </c>
      <c r="R32" s="704" t="s">
        <v>14</v>
      </c>
      <c r="S32" s="705">
        <f t="shared" si="12"/>
        <v>100</v>
      </c>
      <c r="T32" s="704" t="s">
        <v>14</v>
      </c>
      <c r="U32" s="705">
        <f t="shared" si="13"/>
        <v>100</v>
      </c>
      <c r="V32" s="704" t="s">
        <v>14</v>
      </c>
      <c r="W32" s="705">
        <f t="shared" si="14"/>
        <v>100</v>
      </c>
      <c r="X32" s="1353"/>
      <c r="Y32" s="3803"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801"/>
      <c r="Q33" s="706" t="str">
        <f t="shared" si="11"/>
        <v>项目建筑规模</v>
      </c>
      <c r="R33" s="707" t="s">
        <v>14</v>
      </c>
      <c r="S33" s="708">
        <f t="shared" si="12"/>
        <v>100</v>
      </c>
      <c r="T33" s="707" t="s">
        <v>14</v>
      </c>
      <c r="U33" s="708">
        <f t="shared" si="13"/>
        <v>100</v>
      </c>
      <c r="V33" s="707" t="s">
        <v>14</v>
      </c>
      <c r="W33" s="708">
        <f t="shared" si="14"/>
        <v>100</v>
      </c>
      <c r="X33" s="709"/>
      <c r="Y33" s="3803"/>
      <c r="Z33" s="710" t="str">
        <f t="shared" si="15"/>
        <v>项目建筑规模</v>
      </c>
      <c r="AA33" s="1351">
        <f t="shared" si="3"/>
        <v>1</v>
      </c>
      <c r="AB33" s="1351">
        <f t="shared" si="4"/>
        <v>1</v>
      </c>
      <c r="AC33" s="1351">
        <f t="shared" si="5"/>
        <v>1</v>
      </c>
    </row>
    <row r="34" spans="1:29" ht="15">
      <c r="A34" s="423"/>
      <c r="B34" s="375" t="s">
        <v>1697</v>
      </c>
      <c r="C34" s="1909" t="s">
        <v>3409</v>
      </c>
      <c r="D34" s="386">
        <v>100</v>
      </c>
      <c r="E34" s="1909" t="s">
        <v>3409</v>
      </c>
      <c r="F34" s="412">
        <f>SUMIF(105:105,E34,106:106)-SUMIF(105:105,C34,106:106)+100</f>
        <v>100</v>
      </c>
      <c r="G34" s="1909" t="s">
        <v>3409</v>
      </c>
      <c r="H34" s="386">
        <f>SUMIF(105:105,G34,106:106)-SUMIF(105:105,C34,106:106)+100</f>
        <v>100</v>
      </c>
      <c r="I34" s="1909" t="s">
        <v>3409</v>
      </c>
      <c r="J34" s="386">
        <f>SUMIF(105:105,I34,106:106)-SUMIF(105:105,C34,106:106)+100</f>
        <v>100</v>
      </c>
      <c r="K34" s="561">
        <v>2</v>
      </c>
      <c r="L34" s="2716"/>
      <c r="M34" s="2710"/>
      <c r="N34" s="2710"/>
      <c r="O34" s="2710"/>
      <c r="P34" s="3801"/>
      <c r="Q34" s="1350" t="str">
        <f t="shared" si="11"/>
        <v>建筑结构</v>
      </c>
      <c r="R34" s="704" t="s">
        <v>14</v>
      </c>
      <c r="S34" s="705">
        <f t="shared" si="12"/>
        <v>100</v>
      </c>
      <c r="T34" s="704" t="s">
        <v>14</v>
      </c>
      <c r="U34" s="705">
        <f t="shared" si="13"/>
        <v>100</v>
      </c>
      <c r="V34" s="704" t="s">
        <v>14</v>
      </c>
      <c r="W34" s="705">
        <f t="shared" si="14"/>
        <v>100</v>
      </c>
      <c r="X34" s="1353"/>
      <c r="Y34" s="3803"/>
      <c r="Z34" s="1354" t="str">
        <f t="shared" si="15"/>
        <v>建筑结构</v>
      </c>
      <c r="AA34" s="1351">
        <f t="shared" si="3"/>
        <v>1</v>
      </c>
      <c r="AB34" s="1351">
        <f t="shared" si="4"/>
        <v>1</v>
      </c>
      <c r="AC34" s="1351">
        <f t="shared" si="5"/>
        <v>1</v>
      </c>
    </row>
    <row r="35" spans="1:29" ht="15">
      <c r="A35" s="423"/>
      <c r="B35" s="375" t="s">
        <v>1784</v>
      </c>
      <c r="C35" s="1904" t="s">
        <v>3455</v>
      </c>
      <c r="D35" s="386">
        <v>100</v>
      </c>
      <c r="E35" s="1904" t="s">
        <v>3455</v>
      </c>
      <c r="F35" s="412">
        <f>SUMIF(107:107,E35,108:108)-SUMIF(107:107,C35,108:108)+100</f>
        <v>100</v>
      </c>
      <c r="G35" s="1904" t="s">
        <v>3455</v>
      </c>
      <c r="H35" s="386">
        <f>SUMIF(107:107,G35,108:108)-SUMIF(107:107,C35,108:108)+100</f>
        <v>100</v>
      </c>
      <c r="I35" s="1904" t="s">
        <v>3455</v>
      </c>
      <c r="J35" s="386">
        <f>SUMIF(107:107,I35,108:108)-SUMIF(107:107,C35,108:108)+100</f>
        <v>100</v>
      </c>
      <c r="K35" s="561">
        <v>2</v>
      </c>
      <c r="L35" s="2716"/>
      <c r="M35" s="2710"/>
      <c r="N35" s="2710"/>
      <c r="O35" s="2710"/>
      <c r="P35" s="3801"/>
      <c r="Q35" s="1350" t="str">
        <f t="shared" si="11"/>
        <v>公共部分装修</v>
      </c>
      <c r="R35" s="704" t="s">
        <v>14</v>
      </c>
      <c r="S35" s="705">
        <f t="shared" si="12"/>
        <v>100</v>
      </c>
      <c r="T35" s="704" t="s">
        <v>14</v>
      </c>
      <c r="U35" s="705">
        <f t="shared" si="13"/>
        <v>100</v>
      </c>
      <c r="V35" s="704" t="s">
        <v>14</v>
      </c>
      <c r="W35" s="705">
        <f t="shared" si="14"/>
        <v>100</v>
      </c>
      <c r="X35" s="1353"/>
      <c r="Y35" s="3803"/>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801"/>
      <c r="Q36" s="1350" t="str">
        <f t="shared" si="11"/>
        <v>成新度</v>
      </c>
      <c r="R36" s="704" t="s">
        <v>14</v>
      </c>
      <c r="S36" s="705" t="e">
        <f t="shared" si="12"/>
        <v>#N/A</v>
      </c>
      <c r="T36" s="704" t="s">
        <v>14</v>
      </c>
      <c r="U36" s="705" t="e">
        <f t="shared" si="13"/>
        <v>#N/A</v>
      </c>
      <c r="V36" s="704" t="s">
        <v>14</v>
      </c>
      <c r="W36" s="705" t="e">
        <f t="shared" si="14"/>
        <v>#N/A</v>
      </c>
      <c r="X36" s="1353"/>
      <c r="Y36" s="3803"/>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1"/>
      <c r="M37" s="2712"/>
      <c r="N37" s="2712"/>
      <c r="O37" s="2712"/>
      <c r="P37" s="3801"/>
      <c r="Q37" s="1341" t="str">
        <f t="shared" si="11"/>
        <v>市政基础设施</v>
      </c>
      <c r="R37" s="700" t="s">
        <v>14</v>
      </c>
      <c r="S37" s="701">
        <f t="shared" si="12"/>
        <v>100</v>
      </c>
      <c r="T37" s="700" t="s">
        <v>14</v>
      </c>
      <c r="U37" s="701">
        <f t="shared" si="13"/>
        <v>100</v>
      </c>
      <c r="V37" s="700" t="s">
        <v>14</v>
      </c>
      <c r="W37" s="701">
        <f t="shared" si="14"/>
        <v>100</v>
      </c>
      <c r="X37" s="702"/>
      <c r="Y37" s="3803"/>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6"/>
      <c r="M38" s="2710"/>
      <c r="N38" s="2710"/>
      <c r="O38" s="2710"/>
      <c r="P38" s="3801" t="s">
        <v>1695</v>
      </c>
      <c r="Q38" s="1350" t="str">
        <f t="shared" si="11"/>
        <v>业态</v>
      </c>
      <c r="R38" s="704" t="s">
        <v>14</v>
      </c>
      <c r="S38" s="705">
        <f t="shared" si="12"/>
        <v>100</v>
      </c>
      <c r="T38" s="704" t="s">
        <v>14</v>
      </c>
      <c r="U38" s="705">
        <f t="shared" si="13"/>
        <v>100</v>
      </c>
      <c r="V38" s="704" t="s">
        <v>14</v>
      </c>
      <c r="W38" s="705">
        <f t="shared" si="14"/>
        <v>100</v>
      </c>
      <c r="X38" s="1353"/>
      <c r="Y38" s="3803"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6"/>
      <c r="M39" s="2710"/>
      <c r="N39" s="2710"/>
      <c r="O39" s="2710"/>
      <c r="P39" s="3801"/>
      <c r="Q39" s="1350" t="str">
        <f t="shared" si="11"/>
        <v>层高</v>
      </c>
      <c r="R39" s="704" t="s">
        <v>14</v>
      </c>
      <c r="S39" s="705">
        <f t="shared" si="12"/>
        <v>100</v>
      </c>
      <c r="T39" s="704" t="s">
        <v>14</v>
      </c>
      <c r="U39" s="705">
        <f t="shared" si="13"/>
        <v>100</v>
      </c>
      <c r="V39" s="704" t="s">
        <v>14</v>
      </c>
      <c r="W39" s="705">
        <f t="shared" si="14"/>
        <v>100</v>
      </c>
      <c r="X39" s="1353"/>
      <c r="Y39" s="3803"/>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801"/>
      <c r="Q40" s="1350" t="str">
        <f t="shared" si="11"/>
        <v>单套建筑面积</v>
      </c>
      <c r="R40" s="704" t="s">
        <v>14</v>
      </c>
      <c r="S40" s="705">
        <f t="shared" si="12"/>
        <v>100</v>
      </c>
      <c r="T40" s="704" t="s">
        <v>14</v>
      </c>
      <c r="U40" s="705">
        <f t="shared" si="13"/>
        <v>100</v>
      </c>
      <c r="V40" s="704" t="s">
        <v>14</v>
      </c>
      <c r="W40" s="705">
        <f t="shared" si="14"/>
        <v>100</v>
      </c>
      <c r="X40" s="1353"/>
      <c r="Y40" s="3803"/>
      <c r="Z40" s="1354" t="str">
        <f t="shared" si="15"/>
        <v>单套建筑面积</v>
      </c>
      <c r="AA40" s="1351">
        <f t="shared" si="3"/>
        <v>1</v>
      </c>
      <c r="AB40" s="1351">
        <f t="shared" si="4"/>
        <v>1</v>
      </c>
      <c r="AC40" s="1351">
        <f t="shared" si="5"/>
        <v>1</v>
      </c>
    </row>
    <row r="41" spans="1:29" s="422" customFormat="1" ht="15">
      <c r="A41" s="419"/>
      <c r="B41" s="1352" t="s">
        <v>1790</v>
      </c>
      <c r="C41" s="565" t="s">
        <v>3493</v>
      </c>
      <c r="D41" s="386">
        <v>100</v>
      </c>
      <c r="E41" s="565" t="s">
        <v>3493</v>
      </c>
      <c r="F41" s="412">
        <f>SUMIF(120:120,E41,121:121)-SUMIF(120:120,C41,121:121)+100</f>
        <v>100</v>
      </c>
      <c r="G41" s="565" t="s">
        <v>3493</v>
      </c>
      <c r="H41" s="386">
        <f>SUMIF(120:120,G41,121:121)-SUMIF(120:120,C41,121:121)+100</f>
        <v>100</v>
      </c>
      <c r="I41" s="565" t="s">
        <v>3493</v>
      </c>
      <c r="J41" s="386">
        <f>SUMIF(120:120,I41,121:121)-SUMIF(120:120,C41,121:121)+100</f>
        <v>100</v>
      </c>
      <c r="K41" s="561">
        <v>2</v>
      </c>
      <c r="L41" s="2715"/>
      <c r="M41" s="2717"/>
      <c r="N41" s="2717"/>
      <c r="O41" s="2717"/>
      <c r="P41" s="3801"/>
      <c r="Q41" s="706" t="str">
        <f t="shared" si="11"/>
        <v>进深比</v>
      </c>
      <c r="R41" s="707" t="s">
        <v>14</v>
      </c>
      <c r="S41" s="708">
        <f t="shared" si="12"/>
        <v>100</v>
      </c>
      <c r="T41" s="707" t="s">
        <v>14</v>
      </c>
      <c r="U41" s="708">
        <f t="shared" si="13"/>
        <v>100</v>
      </c>
      <c r="V41" s="707" t="s">
        <v>14</v>
      </c>
      <c r="W41" s="708">
        <f t="shared" si="14"/>
        <v>100</v>
      </c>
      <c r="X41" s="709"/>
      <c r="Y41" s="3803"/>
      <c r="Z41" s="710"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6"/>
      <c r="M42" s="2710"/>
      <c r="N42" s="2710"/>
      <c r="O42" s="2710"/>
      <c r="P42" s="3801"/>
      <c r="Q42" s="1350" t="str">
        <f t="shared" si="11"/>
        <v>内部装修</v>
      </c>
      <c r="R42" s="704" t="s">
        <v>14</v>
      </c>
      <c r="S42" s="705">
        <f t="shared" si="12"/>
        <v>100</v>
      </c>
      <c r="T42" s="704" t="s">
        <v>14</v>
      </c>
      <c r="U42" s="705">
        <f t="shared" si="13"/>
        <v>100</v>
      </c>
      <c r="V42" s="704" t="s">
        <v>14</v>
      </c>
      <c r="W42" s="705">
        <f t="shared" si="14"/>
        <v>100</v>
      </c>
      <c r="X42" s="1353"/>
      <c r="Y42" s="3803"/>
      <c r="Z42" s="1354" t="str">
        <f t="shared" si="15"/>
        <v>内部装修</v>
      </c>
      <c r="AA42" s="1351">
        <f t="shared" si="3"/>
        <v>1</v>
      </c>
      <c r="AB42" s="1351">
        <f t="shared" si="4"/>
        <v>1</v>
      </c>
      <c r="AC42" s="1351">
        <f t="shared" si="5"/>
        <v>1</v>
      </c>
    </row>
    <row r="43" spans="1:29" ht="15">
      <c r="A43" s="423"/>
      <c r="B43" s="375" t="s">
        <v>1706</v>
      </c>
      <c r="C43" s="1904" t="s">
        <v>3392</v>
      </c>
      <c r="D43" s="386">
        <v>100</v>
      </c>
      <c r="E43" s="1904" t="s">
        <v>3392</v>
      </c>
      <c r="F43" s="412">
        <f>SUMIF(124:124,E43,125:125)-SUMIF(124:124,C43,125:125)+100</f>
        <v>100</v>
      </c>
      <c r="G43" s="1904" t="s">
        <v>3392</v>
      </c>
      <c r="H43" s="386">
        <f>SUMIF(124:124,G43,125:125)-SUMIF(124:124,C43,125:125)+100</f>
        <v>100</v>
      </c>
      <c r="I43" s="1904" t="s">
        <v>3392</v>
      </c>
      <c r="J43" s="386">
        <f>SUMIF(124:124,I43,125:125)-SUMIF(124:124,C43,125:125)+100</f>
        <v>100</v>
      </c>
      <c r="K43" s="561">
        <v>2</v>
      </c>
      <c r="L43" s="2716"/>
      <c r="M43" s="2710"/>
      <c r="N43" s="2710"/>
      <c r="O43" s="2710"/>
      <c r="P43" s="3801"/>
      <c r="Q43" s="1350" t="str">
        <f t="shared" si="11"/>
        <v>内部装修维护情况</v>
      </c>
      <c r="R43" s="704" t="s">
        <v>14</v>
      </c>
      <c r="S43" s="705">
        <f t="shared" si="12"/>
        <v>100</v>
      </c>
      <c r="T43" s="704" t="s">
        <v>14</v>
      </c>
      <c r="U43" s="705">
        <f t="shared" si="13"/>
        <v>100</v>
      </c>
      <c r="V43" s="704" t="s">
        <v>14</v>
      </c>
      <c r="W43" s="705">
        <f t="shared" si="14"/>
        <v>100</v>
      </c>
      <c r="X43" s="1353"/>
      <c r="Y43" s="380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1"/>
      <c r="Q44" s="1341">
        <f t="shared" si="11"/>
        <v>111</v>
      </c>
      <c r="R44" s="700" t="s">
        <v>14</v>
      </c>
      <c r="S44" s="701">
        <f t="shared" si="12"/>
        <v>100</v>
      </c>
      <c r="T44" s="700" t="s">
        <v>14</v>
      </c>
      <c r="U44" s="701">
        <f t="shared" si="13"/>
        <v>100</v>
      </c>
      <c r="V44" s="700" t="s">
        <v>14</v>
      </c>
      <c r="W44" s="701">
        <f t="shared" si="14"/>
        <v>100</v>
      </c>
      <c r="X44" s="702"/>
      <c r="Y44" s="380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1"/>
      <c r="Q45" s="1350">
        <f t="shared" si="11"/>
        <v>111</v>
      </c>
      <c r="R45" s="704" t="s">
        <v>14</v>
      </c>
      <c r="S45" s="705">
        <f t="shared" si="12"/>
        <v>100</v>
      </c>
      <c r="T45" s="704" t="s">
        <v>14</v>
      </c>
      <c r="U45" s="705">
        <f t="shared" si="13"/>
        <v>100</v>
      </c>
      <c r="V45" s="704" t="s">
        <v>14</v>
      </c>
      <c r="W45" s="705">
        <f t="shared" si="14"/>
        <v>100</v>
      </c>
      <c r="X45" s="1353"/>
      <c r="Y45" s="380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2"/>
      <c r="Q46" s="1350">
        <f t="shared" si="11"/>
        <v>111</v>
      </c>
      <c r="R46" s="704" t="s">
        <v>14</v>
      </c>
      <c r="S46" s="705">
        <f t="shared" si="12"/>
        <v>100</v>
      </c>
      <c r="T46" s="704" t="s">
        <v>14</v>
      </c>
      <c r="U46" s="705">
        <f t="shared" si="13"/>
        <v>100</v>
      </c>
      <c r="V46" s="704" t="s">
        <v>14</v>
      </c>
      <c r="W46" s="705">
        <f t="shared" si="14"/>
        <v>100</v>
      </c>
      <c r="X46" s="1353"/>
      <c r="Y46" s="3804"/>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3"/>
      <c r="L47" s="2718"/>
      <c r="M47" s="2719"/>
      <c r="N47" s="2710"/>
      <c r="O47" s="2719"/>
      <c r="P47" s="3796" t="str">
        <f>A47</f>
        <v>成交单价（元/平方米）</v>
      </c>
      <c r="Q47" s="3796"/>
      <c r="R47" s="3791">
        <f>E47</f>
        <v>0</v>
      </c>
      <c r="S47" s="3791"/>
      <c r="T47" s="3791">
        <f>G47</f>
        <v>0</v>
      </c>
      <c r="U47" s="3791"/>
      <c r="V47" s="3791">
        <f>I47</f>
        <v>0</v>
      </c>
      <c r="W47" s="3791"/>
      <c r="X47" s="689"/>
      <c r="Y47" s="711"/>
      <c r="Z47" s="689"/>
      <c r="AA47" s="689"/>
      <c r="AB47" s="689"/>
      <c r="AC47" s="689"/>
    </row>
    <row r="48" spans="1:29" ht="15.75" thickBot="1">
      <c r="A48" s="437" t="s">
        <v>1792</v>
      </c>
      <c r="B48" s="438"/>
      <c r="C48" s="1159" t="e">
        <f>R49</f>
        <v>#DIV/0!</v>
      </c>
      <c r="D48" s="2313" t="s">
        <v>2137</v>
      </c>
      <c r="E48" s="1160" t="e">
        <f>R48</f>
        <v>#DIV/0!</v>
      </c>
      <c r="F48" s="2314"/>
      <c r="G48" s="1159" t="e">
        <f>T48</f>
        <v>#DIV/0!</v>
      </c>
      <c r="H48" s="2314"/>
      <c r="I48" s="1160" t="e">
        <f>V48</f>
        <v>#DIV/0!</v>
      </c>
      <c r="J48" s="2314"/>
      <c r="K48" s="2316">
        <f>F48+H48+J48</f>
        <v>0</v>
      </c>
      <c r="L48" s="2718"/>
      <c r="M48" s="2719"/>
      <c r="N48" s="2710"/>
      <c r="O48" s="2719"/>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18"/>
      <c r="M49" s="2719"/>
      <c r="N49" s="2710"/>
      <c r="O49" s="2719"/>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1797</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1678</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3448" t="s">
        <v>3457</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3458</v>
      </c>
      <c r="D65" s="532" t="s">
        <v>3459</v>
      </c>
      <c r="E65" s="3449" t="s">
        <v>3460</v>
      </c>
      <c r="F65" s="532" t="s">
        <v>3461</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7" t="s">
        <v>1798</v>
      </c>
      <c r="D82" s="607" t="s">
        <v>1799</v>
      </c>
      <c r="E82" s="607" t="s">
        <v>1800</v>
      </c>
      <c r="F82" s="607" t="s">
        <v>1801</v>
      </c>
      <c r="G82" s="607" t="s">
        <v>1802</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46" t="s">
        <v>3462</v>
      </c>
      <c r="D86" s="3446" t="s">
        <v>3463</v>
      </c>
      <c r="E86" s="3446" t="s">
        <v>3464</v>
      </c>
      <c r="F86" s="3446" t="s">
        <v>3465</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3466</v>
      </c>
      <c r="D88" s="3446" t="s">
        <v>3467</v>
      </c>
      <c r="E88" s="3446" t="s">
        <v>3468</v>
      </c>
      <c r="F88" s="3450" t="s">
        <v>3469</v>
      </c>
      <c r="G88" s="3446" t="s">
        <v>3470</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3471</v>
      </c>
      <c r="D90" s="3446" t="s">
        <v>3472</v>
      </c>
      <c r="E90" s="3446" t="s">
        <v>3468</v>
      </c>
      <c r="F90" s="3446" t="s">
        <v>3473</v>
      </c>
      <c r="G90" s="3446" t="s">
        <v>3474</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3475</v>
      </c>
      <c r="D92" s="503" t="s">
        <v>3476</v>
      </c>
      <c r="E92" s="503" t="s">
        <v>3477</v>
      </c>
      <c r="F92" s="503" t="s">
        <v>3478</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51" t="s">
        <v>3479</v>
      </c>
      <c r="D100" s="3451" t="s">
        <v>3480</v>
      </c>
      <c r="E100" s="3451" t="s">
        <v>3481</v>
      </c>
      <c r="F100" s="3451" t="s">
        <v>3482</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46" t="s">
        <v>3439</v>
      </c>
      <c r="D105" s="3446" t="s">
        <v>3483</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46" t="s">
        <v>3440</v>
      </c>
      <c r="D107" s="3446" t="s">
        <v>3441</v>
      </c>
      <c r="E107" s="3446" t="s">
        <v>3442</v>
      </c>
      <c r="F107" s="3447" t="s">
        <v>3443</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46" t="s">
        <v>3484</v>
      </c>
      <c r="D114" s="3446" t="s">
        <v>3485</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46" t="s">
        <v>3486</v>
      </c>
      <c r="D116" s="3446" t="s">
        <v>3487</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47" t="s">
        <v>3488</v>
      </c>
      <c r="D120" s="3447" t="s">
        <v>3489</v>
      </c>
      <c r="E120" s="3447" t="s">
        <v>3468</v>
      </c>
      <c r="F120" s="3447" t="s">
        <v>3490</v>
      </c>
      <c r="G120" s="3452" t="s">
        <v>3491</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3446" t="s">
        <v>3440</v>
      </c>
      <c r="D122" s="3446" t="s">
        <v>3441</v>
      </c>
      <c r="E122" s="3446" t="s">
        <v>3442</v>
      </c>
      <c r="F122" s="3447" t="s">
        <v>3443</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1809</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25743.170000000006</v>
      </c>
      <c r="E3" s="1950"/>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1768</v>
      </c>
      <c r="B4" s="356"/>
      <c r="C4" s="3779" t="s">
        <v>1769</v>
      </c>
      <c r="D4" s="3780"/>
      <c r="E4" s="3781" t="s">
        <v>1770</v>
      </c>
      <c r="F4" s="3782"/>
      <c r="G4" s="3779" t="s">
        <v>1771</v>
      </c>
      <c r="H4" s="3780"/>
      <c r="I4" s="3779" t="s">
        <v>1772</v>
      </c>
      <c r="J4" s="3780"/>
      <c r="K4" s="559" t="s">
        <v>1773</v>
      </c>
      <c r="L4" s="2709"/>
      <c r="M4" s="2710"/>
      <c r="N4" s="2710"/>
      <c r="O4" s="2710"/>
      <c r="P4" s="3813" t="s">
        <v>1774</v>
      </c>
      <c r="Q4" s="3814"/>
      <c r="R4" s="3808" t="s">
        <v>1770</v>
      </c>
      <c r="S4" s="3809"/>
      <c r="T4" s="3808" t="s">
        <v>1771</v>
      </c>
      <c r="U4" s="3809"/>
      <c r="V4" s="3817" t="s">
        <v>1772</v>
      </c>
      <c r="W4" s="3817"/>
      <c r="X4" s="1954"/>
      <c r="Y4" s="3808" t="s">
        <v>1774</v>
      </c>
      <c r="Z4" s="3809"/>
      <c r="AA4" s="3807" t="s">
        <v>1770</v>
      </c>
      <c r="AB4" s="3807" t="s">
        <v>1771</v>
      </c>
      <c r="AC4" s="3810" t="s">
        <v>1772</v>
      </c>
    </row>
    <row r="5" spans="1:29" ht="15">
      <c r="A5" s="358"/>
      <c r="B5" s="359"/>
      <c r="C5" s="3772" t="s">
        <v>1672</v>
      </c>
      <c r="D5" s="3773"/>
      <c r="E5" s="3770" t="s">
        <v>1673</v>
      </c>
      <c r="F5" s="3771"/>
      <c r="G5" s="3772" t="s">
        <v>1674</v>
      </c>
      <c r="H5" s="3773"/>
      <c r="I5" s="3772" t="s">
        <v>1675</v>
      </c>
      <c r="J5" s="3773"/>
      <c r="K5" s="559"/>
      <c r="L5" s="2709"/>
      <c r="M5" s="2710"/>
      <c r="N5" s="2710"/>
      <c r="O5" s="2710"/>
      <c r="P5" s="3815"/>
      <c r="Q5" s="3786"/>
      <c r="R5" s="3768"/>
      <c r="S5" s="3769"/>
      <c r="T5" s="3768"/>
      <c r="U5" s="3769"/>
      <c r="V5" s="3791"/>
      <c r="W5" s="3791"/>
      <c r="X5" s="1353"/>
      <c r="Y5" s="3768"/>
      <c r="Z5" s="3769"/>
      <c r="AA5" s="3762"/>
      <c r="AB5" s="3762"/>
      <c r="AC5" s="3811"/>
    </row>
    <row r="6" spans="1:29" ht="15.75" thickBot="1">
      <c r="A6" s="360"/>
      <c r="B6" s="361"/>
      <c r="C6" s="3774" t="s">
        <v>1676</v>
      </c>
      <c r="D6" s="3775"/>
      <c r="E6" s="3776" t="s">
        <v>1676</v>
      </c>
      <c r="F6" s="3777"/>
      <c r="G6" s="3774" t="s">
        <v>1676</v>
      </c>
      <c r="H6" s="3775"/>
      <c r="I6" s="3774" t="s">
        <v>1676</v>
      </c>
      <c r="J6" s="3775"/>
      <c r="K6" s="559" t="s">
        <v>1677</v>
      </c>
      <c r="L6" s="2709"/>
      <c r="M6" s="2710"/>
      <c r="N6" s="2710"/>
      <c r="O6" s="2710"/>
      <c r="P6" s="3816"/>
      <c r="Q6" s="3788"/>
      <c r="R6" s="3768"/>
      <c r="S6" s="3769"/>
      <c r="T6" s="3789"/>
      <c r="U6" s="3790"/>
      <c r="V6" s="3791"/>
      <c r="W6" s="3791"/>
      <c r="X6" s="1353"/>
      <c r="Y6" s="3789"/>
      <c r="Z6" s="3790"/>
      <c r="AA6" s="3763"/>
      <c r="AB6" s="3763"/>
      <c r="AC6" s="3812"/>
    </row>
    <row r="7" spans="1:29" s="108" customFormat="1" ht="15.75" thickBot="1">
      <c r="A7" s="362" t="s">
        <v>1678</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18" t="s">
        <v>1679</v>
      </c>
      <c r="Q7" s="3792"/>
      <c r="R7" s="700" t="s">
        <v>14</v>
      </c>
      <c r="S7" s="701">
        <f t="shared" ref="S7:S15" si="0">F7</f>
        <v>0</v>
      </c>
      <c r="T7" s="700" t="s">
        <v>14</v>
      </c>
      <c r="U7" s="701">
        <f t="shared" ref="U7:U15" si="1">H7</f>
        <v>0</v>
      </c>
      <c r="V7" s="700" t="s">
        <v>14</v>
      </c>
      <c r="W7" s="701">
        <f t="shared" ref="W7:W15" si="2">J7</f>
        <v>0</v>
      </c>
      <c r="X7" s="702"/>
      <c r="Y7" s="3764" t="s">
        <v>1679</v>
      </c>
      <c r="Z7" s="3765"/>
      <c r="AA7" s="703" t="e">
        <f>D7/F7</f>
        <v>#DIV/0!</v>
      </c>
      <c r="AB7" s="703"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18" t="s">
        <v>1682</v>
      </c>
      <c r="Q8" s="3765"/>
      <c r="R8" s="700" t="s">
        <v>14</v>
      </c>
      <c r="S8" s="701">
        <f t="shared" si="0"/>
        <v>100</v>
      </c>
      <c r="T8" s="700" t="s">
        <v>14</v>
      </c>
      <c r="U8" s="701">
        <f t="shared" si="1"/>
        <v>100</v>
      </c>
      <c r="V8" s="700" t="s">
        <v>14</v>
      </c>
      <c r="W8" s="701">
        <f t="shared" si="2"/>
        <v>100</v>
      </c>
      <c r="X8" s="702"/>
      <c r="Y8" s="3764" t="s">
        <v>1682</v>
      </c>
      <c r="Z8" s="3765"/>
      <c r="AA8" s="703">
        <f t="shared" ref="AA8:AA47" si="3">D8/F8</f>
        <v>1</v>
      </c>
      <c r="AB8" s="703">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78" t="s">
        <v>1685</v>
      </c>
      <c r="Q9" s="1341" t="str">
        <f t="shared" ref="Q9:Q15" si="6">B9</f>
        <v>用途</v>
      </c>
      <c r="R9" s="700" t="s">
        <v>14</v>
      </c>
      <c r="S9" s="701">
        <f t="shared" si="0"/>
        <v>100</v>
      </c>
      <c r="T9" s="700" t="s">
        <v>14</v>
      </c>
      <c r="U9" s="701">
        <f t="shared" si="1"/>
        <v>100</v>
      </c>
      <c r="V9" s="700" t="s">
        <v>14</v>
      </c>
      <c r="W9" s="701">
        <f t="shared" si="2"/>
        <v>100</v>
      </c>
      <c r="X9" s="702"/>
      <c r="Y9" s="3710" t="s">
        <v>1686</v>
      </c>
      <c r="Z9" s="52" t="str">
        <f t="shared" ref="Z9:Z15" si="7">Q9</f>
        <v>用途</v>
      </c>
      <c r="AA9" s="703">
        <f t="shared" si="3"/>
        <v>1</v>
      </c>
      <c r="AB9" s="703">
        <f t="shared" si="4"/>
        <v>1</v>
      </c>
      <c r="AC9" s="1955">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78"/>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78"/>
      <c r="Q11" s="1341"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78"/>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78"/>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6"/>
      <c r="M14" s="2710"/>
      <c r="N14" s="2710"/>
      <c r="O14" s="2710"/>
      <c r="P14" s="3778"/>
      <c r="Q14" s="1341">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1955">
        <f t="shared" si="5"/>
        <v>1</v>
      </c>
    </row>
    <row r="15" spans="1:29" ht="15">
      <c r="A15" s="391" t="s">
        <v>1689</v>
      </c>
      <c r="B15" s="576" t="s">
        <v>1810</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5" t="s">
        <v>1690</v>
      </c>
      <c r="Q15" s="1350" t="str">
        <f t="shared" si="6"/>
        <v>办公集聚程度</v>
      </c>
      <c r="R15" s="704" t="s">
        <v>14</v>
      </c>
      <c r="S15" s="705">
        <f t="shared" si="0"/>
        <v>100</v>
      </c>
      <c r="T15" s="704" t="s">
        <v>14</v>
      </c>
      <c r="U15" s="705">
        <f t="shared" si="1"/>
        <v>100</v>
      </c>
      <c r="V15" s="704" t="s">
        <v>14</v>
      </c>
      <c r="W15" s="705">
        <f t="shared" si="2"/>
        <v>100</v>
      </c>
      <c r="X15" s="1353"/>
      <c r="Y15" s="3798" t="s">
        <v>1690</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6"/>
      <c r="M16" s="2710"/>
      <c r="N16" s="2710"/>
      <c r="O16" s="2710"/>
      <c r="P16" s="3806"/>
      <c r="Q16" s="1350"/>
      <c r="R16" s="704"/>
      <c r="S16" s="705"/>
      <c r="T16" s="704"/>
      <c r="U16" s="705"/>
      <c r="V16" s="704"/>
      <c r="W16" s="705"/>
      <c r="X16" s="1353"/>
      <c r="Y16" s="3799"/>
      <c r="Z16" s="1354"/>
      <c r="AA16" s="1351">
        <v>1</v>
      </c>
      <c r="AB16" s="1351">
        <v>1</v>
      </c>
      <c r="AC16" s="1958">
        <v>1</v>
      </c>
    </row>
    <row r="17" spans="1:29" ht="15">
      <c r="A17" s="379"/>
      <c r="B17" s="578" t="s">
        <v>1258</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6"/>
      <c r="Q17" s="1350" t="str">
        <f>B17</f>
        <v>交通便捷度</v>
      </c>
      <c r="R17" s="704" t="s">
        <v>14</v>
      </c>
      <c r="S17" s="705">
        <f>F17</f>
        <v>100</v>
      </c>
      <c r="T17" s="704" t="s">
        <v>14</v>
      </c>
      <c r="U17" s="705">
        <f>H17</f>
        <v>100</v>
      </c>
      <c r="V17" s="704" t="s">
        <v>14</v>
      </c>
      <c r="W17" s="705">
        <f>J17</f>
        <v>100</v>
      </c>
      <c r="X17" s="1353"/>
      <c r="Y17" s="3799"/>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6"/>
      <c r="M18" s="2710"/>
      <c r="N18" s="2710"/>
      <c r="O18" s="2710"/>
      <c r="P18" s="3806"/>
      <c r="Q18" s="1350"/>
      <c r="R18" s="704"/>
      <c r="S18" s="705"/>
      <c r="T18" s="704"/>
      <c r="U18" s="705"/>
      <c r="V18" s="704"/>
      <c r="W18" s="705"/>
      <c r="X18" s="1353"/>
      <c r="Y18" s="3799"/>
      <c r="Z18" s="1354"/>
      <c r="AA18" s="1351">
        <v>1</v>
      </c>
      <c r="AB18" s="1351">
        <v>1</v>
      </c>
      <c r="AC18" s="1958">
        <v>1</v>
      </c>
    </row>
    <row r="19" spans="1:29" ht="15">
      <c r="A19" s="379"/>
      <c r="B19" s="578" t="s">
        <v>1811</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6"/>
      <c r="Q19" s="1350" t="str">
        <f>B19</f>
        <v>公共配套设施</v>
      </c>
      <c r="R19" s="704" t="s">
        <v>14</v>
      </c>
      <c r="S19" s="705">
        <f>F19</f>
        <v>100</v>
      </c>
      <c r="T19" s="704" t="s">
        <v>14</v>
      </c>
      <c r="U19" s="705">
        <f>H19</f>
        <v>100</v>
      </c>
      <c r="V19" s="704" t="s">
        <v>14</v>
      </c>
      <c r="W19" s="705">
        <f>J19</f>
        <v>100</v>
      </c>
      <c r="X19" s="1353"/>
      <c r="Y19" s="3799"/>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6"/>
      <c r="M20" s="2710"/>
      <c r="N20" s="2710"/>
      <c r="O20" s="2710"/>
      <c r="P20" s="3806"/>
      <c r="Q20" s="1350"/>
      <c r="R20" s="704"/>
      <c r="S20" s="705"/>
      <c r="T20" s="704"/>
      <c r="U20" s="705"/>
      <c r="V20" s="704"/>
      <c r="W20" s="705"/>
      <c r="X20" s="1353"/>
      <c r="Y20" s="3799"/>
      <c r="Z20" s="1354"/>
      <c r="AA20" s="1351">
        <v>1</v>
      </c>
      <c r="AB20" s="1351">
        <v>1</v>
      </c>
      <c r="AC20" s="1958">
        <v>1</v>
      </c>
    </row>
    <row r="21" spans="1:29" ht="15">
      <c r="A21" s="379"/>
      <c r="B21" s="580" t="s">
        <v>1812</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6"/>
      <c r="Q21" s="1350" t="str">
        <f>B21</f>
        <v>基础设施水平</v>
      </c>
      <c r="R21" s="704" t="s">
        <v>14</v>
      </c>
      <c r="S21" s="705">
        <f>F21</f>
        <v>100</v>
      </c>
      <c r="T21" s="704" t="s">
        <v>14</v>
      </c>
      <c r="U21" s="705">
        <f>H21</f>
        <v>100</v>
      </c>
      <c r="V21" s="704" t="s">
        <v>14</v>
      </c>
      <c r="W21" s="705">
        <f>J21</f>
        <v>100</v>
      </c>
      <c r="X21" s="1353"/>
      <c r="Y21" s="3799"/>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6"/>
      <c r="M22" s="2710"/>
      <c r="N22" s="2710"/>
      <c r="O22" s="2710"/>
      <c r="P22" s="3806"/>
      <c r="Q22" s="1350"/>
      <c r="R22" s="704"/>
      <c r="S22" s="705"/>
      <c r="T22" s="704"/>
      <c r="U22" s="705"/>
      <c r="V22" s="704"/>
      <c r="W22" s="705"/>
      <c r="X22" s="1353"/>
      <c r="Y22" s="3799"/>
      <c r="Z22" s="1354"/>
      <c r="AA22" s="1351">
        <v>1</v>
      </c>
      <c r="AB22" s="1351">
        <v>1</v>
      </c>
      <c r="AC22" s="1958">
        <v>1</v>
      </c>
    </row>
    <row r="23" spans="1:29" ht="15">
      <c r="A23" s="379"/>
      <c r="B23" s="578" t="s">
        <v>1813</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6"/>
      <c r="Q23" s="1350" t="str">
        <f>B23</f>
        <v>环境质量</v>
      </c>
      <c r="R23" s="704" t="s">
        <v>14</v>
      </c>
      <c r="S23" s="705">
        <f>F23</f>
        <v>100</v>
      </c>
      <c r="T23" s="704" t="s">
        <v>14</v>
      </c>
      <c r="U23" s="705">
        <f>H23</f>
        <v>100</v>
      </c>
      <c r="V23" s="704" t="s">
        <v>14</v>
      </c>
      <c r="W23" s="705">
        <f>J23</f>
        <v>100</v>
      </c>
      <c r="X23" s="1353"/>
      <c r="Y23" s="3799"/>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6"/>
      <c r="M24" s="2710"/>
      <c r="N24" s="2710"/>
      <c r="O24" s="2710"/>
      <c r="P24" s="3806"/>
      <c r="Q24" s="1350"/>
      <c r="R24" s="704"/>
      <c r="S24" s="705"/>
      <c r="T24" s="704"/>
      <c r="U24" s="705"/>
      <c r="V24" s="704"/>
      <c r="W24" s="705"/>
      <c r="X24" s="1353"/>
      <c r="Y24" s="3799"/>
      <c r="Z24" s="1354"/>
      <c r="AA24" s="1351">
        <v>1</v>
      </c>
      <c r="AB24" s="1351">
        <v>1</v>
      </c>
      <c r="AC24" s="1958">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806"/>
      <c r="Q25" s="1350" t="str">
        <f>B25</f>
        <v>毗邻道路的类型与等级</v>
      </c>
      <c r="R25" s="704" t="s">
        <v>14</v>
      </c>
      <c r="S25" s="705">
        <f>F25</f>
        <v>100</v>
      </c>
      <c r="T25" s="704" t="s">
        <v>14</v>
      </c>
      <c r="U25" s="705">
        <f>H25</f>
        <v>100</v>
      </c>
      <c r="V25" s="704" t="s">
        <v>14</v>
      </c>
      <c r="W25" s="705">
        <f>J25</f>
        <v>100</v>
      </c>
      <c r="X25" s="1353"/>
      <c r="Y25" s="3799"/>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6"/>
      <c r="M26" s="2710"/>
      <c r="N26" s="2710"/>
      <c r="O26" s="2710"/>
      <c r="P26" s="3806"/>
      <c r="Q26" s="1350"/>
      <c r="R26" s="704"/>
      <c r="S26" s="705"/>
      <c r="T26" s="704"/>
      <c r="U26" s="705"/>
      <c r="V26" s="704"/>
      <c r="W26" s="705"/>
      <c r="X26" s="1353"/>
      <c r="Y26" s="3799"/>
      <c r="Z26" s="1354"/>
      <c r="AA26" s="1351">
        <v>1</v>
      </c>
      <c r="AB26" s="1351">
        <v>1</v>
      </c>
      <c r="AC26" s="1958">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806"/>
      <c r="Q27" s="1350" t="str">
        <f t="shared" ref="Q27:Q47" si="11">B27</f>
        <v>楼层</v>
      </c>
      <c r="R27" s="704" t="s">
        <v>14</v>
      </c>
      <c r="S27" s="705">
        <f>F27</f>
        <v>100</v>
      </c>
      <c r="T27" s="704" t="s">
        <v>14</v>
      </c>
      <c r="U27" s="705">
        <f>H27</f>
        <v>100</v>
      </c>
      <c r="V27" s="704" t="s">
        <v>14</v>
      </c>
      <c r="W27" s="705">
        <f>J27</f>
        <v>100</v>
      </c>
      <c r="X27" s="1353"/>
      <c r="Y27" s="3799"/>
      <c r="Z27" s="1354" t="str">
        <f>Q27</f>
        <v>楼层</v>
      </c>
      <c r="AA27" s="1351">
        <f t="shared" si="3"/>
        <v>1</v>
      </c>
      <c r="AB27" s="1351">
        <f t="shared" si="4"/>
        <v>1</v>
      </c>
      <c r="AC27" s="1958">
        <f t="shared" si="5"/>
        <v>1</v>
      </c>
    </row>
    <row r="28" spans="1:29" s="108" customFormat="1" ht="15">
      <c r="A28" s="382"/>
      <c r="B28" s="578"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806"/>
      <c r="Q28" s="1341" t="str">
        <f t="shared" si="11"/>
        <v>朝向</v>
      </c>
      <c r="R28" s="700" t="s">
        <v>14</v>
      </c>
      <c r="S28" s="701">
        <f>F28</f>
        <v>100</v>
      </c>
      <c r="T28" s="700" t="s">
        <v>14</v>
      </c>
      <c r="U28" s="701">
        <f>H28</f>
        <v>100</v>
      </c>
      <c r="V28" s="700" t="s">
        <v>14</v>
      </c>
      <c r="W28" s="701">
        <f>J28</f>
        <v>100</v>
      </c>
      <c r="X28" s="702"/>
      <c r="Y28" s="3799"/>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806"/>
      <c r="Q29" s="1350">
        <f t="shared" si="11"/>
        <v>111</v>
      </c>
      <c r="R29" s="704" t="s">
        <v>14</v>
      </c>
      <c r="S29" s="705">
        <f t="shared" ref="S29:S47" si="12">F29</f>
        <v>100</v>
      </c>
      <c r="T29" s="704" t="s">
        <v>14</v>
      </c>
      <c r="U29" s="705">
        <f t="shared" ref="U29:U47" si="13">H29</f>
        <v>100</v>
      </c>
      <c r="V29" s="704" t="s">
        <v>14</v>
      </c>
      <c r="W29" s="705">
        <f t="shared" ref="W29:W47" si="14">J29</f>
        <v>100</v>
      </c>
      <c r="X29" s="1353"/>
      <c r="Y29" s="3799"/>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806"/>
      <c r="Q30" s="1350">
        <f t="shared" si="11"/>
        <v>111</v>
      </c>
      <c r="R30" s="704" t="s">
        <v>14</v>
      </c>
      <c r="S30" s="705">
        <f t="shared" si="12"/>
        <v>100</v>
      </c>
      <c r="T30" s="704" t="s">
        <v>14</v>
      </c>
      <c r="U30" s="705">
        <f t="shared" si="13"/>
        <v>100</v>
      </c>
      <c r="V30" s="704" t="s">
        <v>14</v>
      </c>
      <c r="W30" s="705">
        <f t="shared" si="14"/>
        <v>100</v>
      </c>
      <c r="X30" s="1353"/>
      <c r="Y30" s="3799"/>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806"/>
      <c r="Q31" s="1350">
        <f t="shared" si="11"/>
        <v>111</v>
      </c>
      <c r="R31" s="704" t="s">
        <v>14</v>
      </c>
      <c r="S31" s="705">
        <f t="shared" si="12"/>
        <v>100</v>
      </c>
      <c r="T31" s="704" t="s">
        <v>14</v>
      </c>
      <c r="U31" s="705">
        <f t="shared" si="13"/>
        <v>100</v>
      </c>
      <c r="V31" s="704" t="s">
        <v>14</v>
      </c>
      <c r="W31" s="705">
        <f t="shared" si="14"/>
        <v>100</v>
      </c>
      <c r="X31" s="1353"/>
      <c r="Y31" s="3799"/>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806"/>
      <c r="Q32" s="1350">
        <f t="shared" si="11"/>
        <v>111</v>
      </c>
      <c r="R32" s="704" t="s">
        <v>14</v>
      </c>
      <c r="S32" s="705">
        <f t="shared" si="12"/>
        <v>100</v>
      </c>
      <c r="T32" s="704" t="s">
        <v>14</v>
      </c>
      <c r="U32" s="705">
        <f t="shared" si="13"/>
        <v>100</v>
      </c>
      <c r="V32" s="704" t="s">
        <v>14</v>
      </c>
      <c r="W32" s="705">
        <f t="shared" si="14"/>
        <v>100</v>
      </c>
      <c r="X32" s="1353"/>
      <c r="Y32" s="3799"/>
      <c r="Z32" s="1354">
        <f t="shared" si="15"/>
        <v>111</v>
      </c>
      <c r="AA32" s="1351">
        <f t="shared" si="3"/>
        <v>1</v>
      </c>
      <c r="AB32" s="1351">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800" t="s">
        <v>1695</v>
      </c>
      <c r="Q33" s="1350" t="str">
        <f t="shared" si="11"/>
        <v>建筑类型</v>
      </c>
      <c r="R33" s="704" t="s">
        <v>14</v>
      </c>
      <c r="S33" s="705">
        <f t="shared" si="12"/>
        <v>100</v>
      </c>
      <c r="T33" s="704" t="s">
        <v>14</v>
      </c>
      <c r="U33" s="705">
        <f t="shared" si="13"/>
        <v>100</v>
      </c>
      <c r="V33" s="704" t="s">
        <v>14</v>
      </c>
      <c r="W33" s="705">
        <f t="shared" si="14"/>
        <v>100</v>
      </c>
      <c r="X33" s="1353"/>
      <c r="Y33" s="3803" t="s">
        <v>1695</v>
      </c>
      <c r="Z33" s="1354" t="str">
        <f t="shared" si="15"/>
        <v>建筑类型</v>
      </c>
      <c r="AA33" s="1351">
        <f t="shared" si="3"/>
        <v>1</v>
      </c>
      <c r="AB33" s="1351">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1"/>
      <c r="Q34" s="706" t="str">
        <f t="shared" si="11"/>
        <v>项目建筑规模</v>
      </c>
      <c r="R34" s="707" t="s">
        <v>14</v>
      </c>
      <c r="S34" s="708" t="e">
        <f t="shared" si="12"/>
        <v>#N/A</v>
      </c>
      <c r="T34" s="707" t="s">
        <v>14</v>
      </c>
      <c r="U34" s="708" t="e">
        <f t="shared" si="13"/>
        <v>#N/A</v>
      </c>
      <c r="V34" s="707" t="s">
        <v>14</v>
      </c>
      <c r="W34" s="708" t="e">
        <f t="shared" si="14"/>
        <v>#N/A</v>
      </c>
      <c r="X34" s="709"/>
      <c r="Y34" s="3803"/>
      <c r="Z34" s="710" t="str">
        <f t="shared" si="15"/>
        <v>项目建筑规模</v>
      </c>
      <c r="AA34" s="1351" t="e">
        <f t="shared" si="3"/>
        <v>#N/A</v>
      </c>
      <c r="AB34" s="1351"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1"/>
      <c r="Q35" s="1350" t="str">
        <f t="shared" si="11"/>
        <v>建筑结构</v>
      </c>
      <c r="R35" s="704" t="s">
        <v>14</v>
      </c>
      <c r="S35" s="705">
        <f t="shared" si="12"/>
        <v>100</v>
      </c>
      <c r="T35" s="704" t="s">
        <v>14</v>
      </c>
      <c r="U35" s="705">
        <f t="shared" si="13"/>
        <v>100</v>
      </c>
      <c r="V35" s="704" t="s">
        <v>14</v>
      </c>
      <c r="W35" s="705">
        <f t="shared" si="14"/>
        <v>100</v>
      </c>
      <c r="X35" s="1353"/>
      <c r="Y35" s="3803"/>
      <c r="Z35" s="1354" t="str">
        <f t="shared" si="15"/>
        <v>建筑结构</v>
      </c>
      <c r="AA35" s="1351">
        <f t="shared" si="3"/>
        <v>1</v>
      </c>
      <c r="AB35" s="1351">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1"/>
      <c r="Q36" s="1350" t="str">
        <f t="shared" si="11"/>
        <v>公共部分装修</v>
      </c>
      <c r="R36" s="704" t="s">
        <v>14</v>
      </c>
      <c r="S36" s="705">
        <f t="shared" si="12"/>
        <v>100</v>
      </c>
      <c r="T36" s="704" t="s">
        <v>14</v>
      </c>
      <c r="U36" s="705">
        <f t="shared" si="13"/>
        <v>100</v>
      </c>
      <c r="V36" s="704" t="s">
        <v>14</v>
      </c>
      <c r="W36" s="705">
        <f t="shared" si="14"/>
        <v>100</v>
      </c>
      <c r="X36" s="1353"/>
      <c r="Y36" s="3803"/>
      <c r="Z36" s="1354" t="str">
        <f t="shared" si="15"/>
        <v>公共部分装修</v>
      </c>
      <c r="AA36" s="1351">
        <f t="shared" si="3"/>
        <v>1</v>
      </c>
      <c r="AB36" s="1351">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1"/>
      <c r="Q37" s="1350" t="str">
        <f t="shared" si="11"/>
        <v>成新度</v>
      </c>
      <c r="R37" s="704" t="s">
        <v>14</v>
      </c>
      <c r="S37" s="705" t="e">
        <f t="shared" si="12"/>
        <v>#N/A</v>
      </c>
      <c r="T37" s="704" t="s">
        <v>14</v>
      </c>
      <c r="U37" s="705" t="e">
        <f t="shared" si="13"/>
        <v>#N/A</v>
      </c>
      <c r="V37" s="704" t="s">
        <v>14</v>
      </c>
      <c r="W37" s="705" t="e">
        <f t="shared" si="14"/>
        <v>#N/A</v>
      </c>
      <c r="X37" s="1353"/>
      <c r="Y37" s="3803"/>
      <c r="Z37" s="1354" t="str">
        <f t="shared" si="15"/>
        <v>成新度</v>
      </c>
      <c r="AA37" s="1351" t="e">
        <f t="shared" si="3"/>
        <v>#N/A</v>
      </c>
      <c r="AB37" s="1351"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1"/>
      <c r="Q38" s="1341" t="str">
        <f t="shared" si="11"/>
        <v>写字楼等级</v>
      </c>
      <c r="R38" s="700" t="s">
        <v>14</v>
      </c>
      <c r="S38" s="701">
        <f t="shared" si="12"/>
        <v>100</v>
      </c>
      <c r="T38" s="700" t="s">
        <v>14</v>
      </c>
      <c r="U38" s="701">
        <f t="shared" si="13"/>
        <v>100</v>
      </c>
      <c r="V38" s="700" t="s">
        <v>14</v>
      </c>
      <c r="W38" s="701">
        <f t="shared" si="14"/>
        <v>100</v>
      </c>
      <c r="X38" s="702"/>
      <c r="Y38" s="3803"/>
      <c r="Z38" s="52" t="str">
        <f t="shared" si="15"/>
        <v>写字楼等级</v>
      </c>
      <c r="AA38" s="703">
        <f t="shared" si="3"/>
        <v>1</v>
      </c>
      <c r="AB38" s="703">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1" t="s">
        <v>1695</v>
      </c>
      <c r="Q39" s="1350" t="str">
        <f t="shared" si="11"/>
        <v>物业管理</v>
      </c>
      <c r="R39" s="704" t="s">
        <v>14</v>
      </c>
      <c r="S39" s="705">
        <f t="shared" si="12"/>
        <v>100</v>
      </c>
      <c r="T39" s="704" t="s">
        <v>14</v>
      </c>
      <c r="U39" s="705">
        <f t="shared" si="13"/>
        <v>100</v>
      </c>
      <c r="V39" s="704" t="s">
        <v>14</v>
      </c>
      <c r="W39" s="705">
        <f t="shared" si="14"/>
        <v>100</v>
      </c>
      <c r="X39" s="1353"/>
      <c r="Y39" s="3803" t="s">
        <v>1695</v>
      </c>
      <c r="Z39" s="1354" t="str">
        <f t="shared" si="15"/>
        <v>物业管理</v>
      </c>
      <c r="AA39" s="1351">
        <f t="shared" si="3"/>
        <v>1</v>
      </c>
      <c r="AB39" s="1351">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1"/>
      <c r="Q40" s="1350" t="str">
        <f t="shared" si="11"/>
        <v>市政基础设施</v>
      </c>
      <c r="R40" s="704" t="s">
        <v>14</v>
      </c>
      <c r="S40" s="705">
        <f t="shared" si="12"/>
        <v>100</v>
      </c>
      <c r="T40" s="704" t="s">
        <v>14</v>
      </c>
      <c r="U40" s="705">
        <f t="shared" si="13"/>
        <v>100</v>
      </c>
      <c r="V40" s="704" t="s">
        <v>14</v>
      </c>
      <c r="W40" s="705">
        <f t="shared" si="14"/>
        <v>100</v>
      </c>
      <c r="X40" s="1353"/>
      <c r="Y40" s="3803"/>
      <c r="Z40" s="1354" t="str">
        <f t="shared" si="15"/>
        <v>市政基础设施</v>
      </c>
      <c r="AA40" s="1351">
        <f t="shared" si="3"/>
        <v>1</v>
      </c>
      <c r="AB40" s="1351">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1"/>
      <c r="Q41" s="1350" t="str">
        <f t="shared" si="11"/>
        <v>层高</v>
      </c>
      <c r="R41" s="704" t="s">
        <v>14</v>
      </c>
      <c r="S41" s="705">
        <f t="shared" si="12"/>
        <v>100</v>
      </c>
      <c r="T41" s="704" t="s">
        <v>14</v>
      </c>
      <c r="U41" s="705">
        <f t="shared" si="13"/>
        <v>100</v>
      </c>
      <c r="V41" s="704" t="s">
        <v>14</v>
      </c>
      <c r="W41" s="705">
        <f t="shared" si="14"/>
        <v>100</v>
      </c>
      <c r="X41" s="1353"/>
      <c r="Y41" s="3803"/>
      <c r="Z41" s="1354" t="str">
        <f t="shared" si="15"/>
        <v>层高</v>
      </c>
      <c r="AA41" s="1351">
        <f t="shared" si="3"/>
        <v>1</v>
      </c>
      <c r="AB41" s="1351">
        <f t="shared" si="4"/>
        <v>1</v>
      </c>
      <c r="AC41" s="1958">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1"/>
      <c r="Q42" s="706" t="str">
        <f t="shared" si="11"/>
        <v>单套建筑面积</v>
      </c>
      <c r="R42" s="707" t="s">
        <v>14</v>
      </c>
      <c r="S42" s="708">
        <f t="shared" si="12"/>
        <v>100</v>
      </c>
      <c r="T42" s="707" t="s">
        <v>14</v>
      </c>
      <c r="U42" s="708">
        <f t="shared" si="13"/>
        <v>100</v>
      </c>
      <c r="V42" s="707" t="s">
        <v>14</v>
      </c>
      <c r="W42" s="708">
        <f t="shared" si="14"/>
        <v>100</v>
      </c>
      <c r="X42" s="709"/>
      <c r="Y42" s="3803"/>
      <c r="Z42" s="710" t="str">
        <f t="shared" si="15"/>
        <v>单套建筑面积</v>
      </c>
      <c r="AA42" s="1351">
        <f t="shared" si="3"/>
        <v>1</v>
      </c>
      <c r="AB42" s="1351">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1"/>
      <c r="Q43" s="1350" t="str">
        <f t="shared" si="11"/>
        <v>内部装修</v>
      </c>
      <c r="R43" s="704" t="s">
        <v>14</v>
      </c>
      <c r="S43" s="705">
        <f t="shared" si="12"/>
        <v>100</v>
      </c>
      <c r="T43" s="704" t="s">
        <v>14</v>
      </c>
      <c r="U43" s="705">
        <f t="shared" si="13"/>
        <v>100</v>
      </c>
      <c r="V43" s="704" t="s">
        <v>14</v>
      </c>
      <c r="W43" s="705">
        <f t="shared" si="14"/>
        <v>100</v>
      </c>
      <c r="X43" s="1353"/>
      <c r="Y43" s="3803"/>
      <c r="Z43" s="1354" t="str">
        <f t="shared" si="15"/>
        <v>内部装修</v>
      </c>
      <c r="AA43" s="1351">
        <f t="shared" si="3"/>
        <v>1</v>
      </c>
      <c r="AB43" s="1351">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801"/>
      <c r="Q44" s="1350" t="str">
        <f t="shared" si="11"/>
        <v>内部装修维护情况</v>
      </c>
      <c r="R44" s="704" t="s">
        <v>14</v>
      </c>
      <c r="S44" s="705">
        <f t="shared" si="12"/>
        <v>100</v>
      </c>
      <c r="T44" s="704" t="s">
        <v>14</v>
      </c>
      <c r="U44" s="705">
        <f t="shared" si="13"/>
        <v>100</v>
      </c>
      <c r="V44" s="704" t="s">
        <v>14</v>
      </c>
      <c r="W44" s="705">
        <f t="shared" si="14"/>
        <v>100</v>
      </c>
      <c r="X44" s="1353"/>
      <c r="Y44" s="3803"/>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1"/>
      <c r="Q45" s="1341">
        <f t="shared" si="11"/>
        <v>111</v>
      </c>
      <c r="R45" s="700" t="s">
        <v>14</v>
      </c>
      <c r="S45" s="701">
        <f t="shared" si="12"/>
        <v>100</v>
      </c>
      <c r="T45" s="700" t="s">
        <v>14</v>
      </c>
      <c r="U45" s="701">
        <f t="shared" si="13"/>
        <v>100</v>
      </c>
      <c r="V45" s="700" t="s">
        <v>14</v>
      </c>
      <c r="W45" s="701">
        <f t="shared" si="14"/>
        <v>100</v>
      </c>
      <c r="X45" s="702"/>
      <c r="Y45" s="3803"/>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1"/>
      <c r="Q46" s="1350">
        <f t="shared" si="11"/>
        <v>111</v>
      </c>
      <c r="R46" s="704" t="s">
        <v>14</v>
      </c>
      <c r="S46" s="705">
        <f t="shared" si="12"/>
        <v>100</v>
      </c>
      <c r="T46" s="704" t="s">
        <v>14</v>
      </c>
      <c r="U46" s="705">
        <f t="shared" si="13"/>
        <v>100</v>
      </c>
      <c r="V46" s="704" t="s">
        <v>14</v>
      </c>
      <c r="W46" s="705">
        <f t="shared" si="14"/>
        <v>100</v>
      </c>
      <c r="X46" s="1353"/>
      <c r="Y46" s="3803"/>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2"/>
      <c r="Q47" s="1350">
        <f t="shared" si="11"/>
        <v>111</v>
      </c>
      <c r="R47" s="704" t="s">
        <v>14</v>
      </c>
      <c r="S47" s="705">
        <f t="shared" si="12"/>
        <v>100</v>
      </c>
      <c r="T47" s="704" t="s">
        <v>14</v>
      </c>
      <c r="U47" s="705">
        <f t="shared" si="13"/>
        <v>100</v>
      </c>
      <c r="V47" s="704" t="s">
        <v>14</v>
      </c>
      <c r="W47" s="705">
        <f t="shared" si="14"/>
        <v>100</v>
      </c>
      <c r="X47" s="1353"/>
      <c r="Y47" s="3804"/>
      <c r="Z47" s="1354">
        <f t="shared" si="15"/>
        <v>111</v>
      </c>
      <c r="AA47" s="1351">
        <f t="shared" si="3"/>
        <v>1</v>
      </c>
      <c r="AB47" s="1351">
        <f t="shared" si="4"/>
        <v>1</v>
      </c>
      <c r="AC47" s="1958">
        <f t="shared" si="5"/>
        <v>1</v>
      </c>
    </row>
    <row r="48" spans="1:29" ht="15">
      <c r="A48" s="430" t="s">
        <v>1707</v>
      </c>
      <c r="B48" s="431"/>
      <c r="C48" s="1153" t="s">
        <v>0</v>
      </c>
      <c r="D48" s="1154"/>
      <c r="E48" s="1155"/>
      <c r="F48" s="1156"/>
      <c r="G48" s="1157"/>
      <c r="H48" s="1158"/>
      <c r="I48" s="1155"/>
      <c r="J48" s="436"/>
      <c r="K48" s="713"/>
      <c r="L48" s="2718"/>
      <c r="M48" s="2710"/>
      <c r="N48" s="2710"/>
      <c r="O48" s="2710"/>
      <c r="P48" s="3778" t="str">
        <f>A48</f>
        <v>成交单价（元/平方米）</v>
      </c>
      <c r="Q48" s="3796"/>
      <c r="R48" s="3797">
        <f>E48</f>
        <v>0</v>
      </c>
      <c r="S48" s="3797"/>
      <c r="T48" s="3797">
        <f>G48</f>
        <v>0</v>
      </c>
      <c r="U48" s="3797"/>
      <c r="V48" s="3797">
        <f>I48</f>
        <v>0</v>
      </c>
      <c r="W48" s="3797"/>
      <c r="X48" s="397"/>
      <c r="Y48" s="711"/>
      <c r="Z48" s="397"/>
      <c r="AA48" s="397"/>
      <c r="AB48" s="397"/>
      <c r="AC48" s="577"/>
    </row>
    <row r="49" spans="1:29" ht="15.75" thickBot="1">
      <c r="A49" s="437" t="s">
        <v>1792</v>
      </c>
      <c r="B49" s="438"/>
      <c r="C49" s="1159" t="e">
        <f>R50</f>
        <v>#DIV/0!</v>
      </c>
      <c r="D49" s="2313" t="s">
        <v>2137</v>
      </c>
      <c r="E49" s="1160" t="e">
        <f>R49</f>
        <v>#DIV/0!</v>
      </c>
      <c r="F49" s="2314"/>
      <c r="G49" s="1159" t="e">
        <f>T49</f>
        <v>#DIV/0!</v>
      </c>
      <c r="H49" s="2314"/>
      <c r="I49" s="1160" t="e">
        <f>V49</f>
        <v>#DIV/0!</v>
      </c>
      <c r="J49" s="2314"/>
      <c r="K49" s="2316">
        <f>F49+H49+J49</f>
        <v>0</v>
      </c>
      <c r="L49" s="2718"/>
      <c r="M49" s="2710"/>
      <c r="N49" s="2710"/>
      <c r="O49" s="2710"/>
      <c r="P49" s="3778" t="str">
        <f>A49</f>
        <v>比较价值（元/平方米）</v>
      </c>
      <c r="Q49" s="3796"/>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18"/>
      <c r="M50" s="2710"/>
      <c r="N50" s="2710"/>
      <c r="O50" s="2710"/>
      <c r="P50" s="3819" t="str">
        <f>A50</f>
        <v>估价对象XX用房的比较价值（楼面单价，元/平方米）</v>
      </c>
      <c r="Q50" s="3820"/>
      <c r="R50" s="3821" t="e">
        <f>IF(F1="售价",ROUND(IF(D49="简单平均",AVERAGE(R49:V49),R49*F49+T49*H49+V49*J49),0),ROUND(IF(D49="简单平均",AVERAGE(R49:V49),R49*F49+T49*H49+V49*J49),1))</f>
        <v>#DIV/0!</v>
      </c>
      <c r="S50" s="3821"/>
      <c r="T50" s="3821"/>
      <c r="U50" s="3821"/>
      <c r="V50" s="3821"/>
      <c r="W50" s="3821"/>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1797</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7" t="s">
        <v>1798</v>
      </c>
      <c r="D83" s="607" t="s">
        <v>1799</v>
      </c>
      <c r="E83" s="607" t="s">
        <v>1800</v>
      </c>
      <c r="F83" s="607" t="s">
        <v>1801</v>
      </c>
      <c r="G83" s="607" t="s">
        <v>1802</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1824</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3" t="s">
        <v>1825</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25743.170000000006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79" t="s">
        <v>1769</v>
      </c>
      <c r="D4" s="3780"/>
      <c r="E4" s="3781" t="s">
        <v>1770</v>
      </c>
      <c r="F4" s="3782"/>
      <c r="G4" s="3779" t="s">
        <v>1771</v>
      </c>
      <c r="H4" s="3780"/>
      <c r="I4" s="3779" t="s">
        <v>1772</v>
      </c>
      <c r="J4" s="3780"/>
      <c r="K4" s="559" t="s">
        <v>1773</v>
      </c>
      <c r="L4" s="912"/>
      <c r="M4" s="913"/>
      <c r="N4" s="913"/>
      <c r="O4" s="913"/>
      <c r="P4" s="3783" t="s">
        <v>1774</v>
      </c>
      <c r="Q4" s="3784"/>
      <c r="R4" s="3766" t="s">
        <v>1770</v>
      </c>
      <c r="S4" s="3767"/>
      <c r="T4" s="3766" t="s">
        <v>1771</v>
      </c>
      <c r="U4" s="3767"/>
      <c r="V4" s="3791" t="s">
        <v>1772</v>
      </c>
      <c r="W4" s="3791"/>
      <c r="X4" s="1353"/>
      <c r="Y4" s="3766" t="s">
        <v>1774</v>
      </c>
      <c r="Z4" s="3767"/>
      <c r="AA4" s="3761" t="s">
        <v>1770</v>
      </c>
      <c r="AB4" s="3762" t="s">
        <v>1771</v>
      </c>
      <c r="AC4" s="3761" t="s">
        <v>1772</v>
      </c>
    </row>
    <row r="5" spans="1:29" ht="15">
      <c r="A5" s="358"/>
      <c r="B5" s="359"/>
      <c r="C5" s="3772" t="s">
        <v>1672</v>
      </c>
      <c r="D5" s="3773"/>
      <c r="E5" s="3770" t="s">
        <v>1673</v>
      </c>
      <c r="F5" s="3771"/>
      <c r="G5" s="3772" t="s">
        <v>1674</v>
      </c>
      <c r="H5" s="3773"/>
      <c r="I5" s="3772" t="s">
        <v>1675</v>
      </c>
      <c r="J5" s="3773"/>
      <c r="K5" s="559"/>
      <c r="L5" s="912"/>
      <c r="M5" s="913"/>
      <c r="N5" s="913"/>
      <c r="O5" s="913"/>
      <c r="P5" s="3785"/>
      <c r="Q5" s="3786"/>
      <c r="R5" s="3768"/>
      <c r="S5" s="3769"/>
      <c r="T5" s="3768"/>
      <c r="U5" s="3769"/>
      <c r="V5" s="3791"/>
      <c r="W5" s="3791"/>
      <c r="X5" s="1353"/>
      <c r="Y5" s="3768"/>
      <c r="Z5" s="3769"/>
      <c r="AA5" s="3762"/>
      <c r="AB5" s="3762"/>
      <c r="AC5" s="3762"/>
    </row>
    <row r="6" spans="1:29" ht="15.75" thickBot="1">
      <c r="A6" s="360"/>
      <c r="B6" s="361"/>
      <c r="C6" s="3774" t="s">
        <v>1676</v>
      </c>
      <c r="D6" s="3775"/>
      <c r="E6" s="3776" t="s">
        <v>1676</v>
      </c>
      <c r="F6" s="3777"/>
      <c r="G6" s="3774" t="s">
        <v>1676</v>
      </c>
      <c r="H6" s="3775"/>
      <c r="I6" s="3774" t="s">
        <v>1676</v>
      </c>
      <c r="J6" s="3775"/>
      <c r="K6" s="559" t="s">
        <v>1677</v>
      </c>
      <c r="L6" s="912"/>
      <c r="M6" s="913"/>
      <c r="N6" s="913"/>
      <c r="O6" s="913"/>
      <c r="P6" s="3787"/>
      <c r="Q6" s="3788"/>
      <c r="R6" s="3768"/>
      <c r="S6" s="3769"/>
      <c r="T6" s="3789"/>
      <c r="U6" s="3790"/>
      <c r="V6" s="3791"/>
      <c r="W6" s="3791"/>
      <c r="X6" s="1353"/>
      <c r="Y6" s="3789"/>
      <c r="Z6" s="3790"/>
      <c r="AA6" s="3763"/>
      <c r="AB6" s="3763"/>
      <c r="AC6" s="3763"/>
    </row>
    <row r="7" spans="1:29" s="108" customFormat="1" ht="15.75" thickBot="1">
      <c r="A7" s="362" t="s">
        <v>1678</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64" t="s">
        <v>1679</v>
      </c>
      <c r="Q7" s="3792"/>
      <c r="R7" s="700" t="s">
        <v>14</v>
      </c>
      <c r="S7" s="701">
        <f t="shared" ref="S7:S15" si="0">F7</f>
        <v>0</v>
      </c>
      <c r="T7" s="700" t="s">
        <v>14</v>
      </c>
      <c r="U7" s="701">
        <f t="shared" ref="U7:U15" si="1">H7</f>
        <v>0</v>
      </c>
      <c r="V7" s="700" t="s">
        <v>14</v>
      </c>
      <c r="W7" s="701">
        <f t="shared" ref="W7:W15" si="2">J7</f>
        <v>0</v>
      </c>
      <c r="X7" s="702"/>
      <c r="Y7" s="3764" t="s">
        <v>1679</v>
      </c>
      <c r="Z7" s="3765"/>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64" t="s">
        <v>1682</v>
      </c>
      <c r="Q8" s="3765"/>
      <c r="R8" s="700" t="s">
        <v>14</v>
      </c>
      <c r="S8" s="701">
        <f t="shared" si="0"/>
        <v>100</v>
      </c>
      <c r="T8" s="700" t="s">
        <v>14</v>
      </c>
      <c r="U8" s="701">
        <f t="shared" si="1"/>
        <v>100</v>
      </c>
      <c r="V8" s="700" t="s">
        <v>14</v>
      </c>
      <c r="W8" s="701">
        <f t="shared" si="2"/>
        <v>100</v>
      </c>
      <c r="X8" s="702"/>
      <c r="Y8" s="3764" t="s">
        <v>1682</v>
      </c>
      <c r="Z8" s="3765"/>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6" t="s">
        <v>1685</v>
      </c>
      <c r="Q9" s="1341" t="str">
        <f t="shared" ref="Q9:Q15" si="6">B9</f>
        <v>用途</v>
      </c>
      <c r="R9" s="700" t="s">
        <v>14</v>
      </c>
      <c r="S9" s="701">
        <f t="shared" si="0"/>
        <v>100</v>
      </c>
      <c r="T9" s="700" t="s">
        <v>14</v>
      </c>
      <c r="U9" s="701">
        <f t="shared" si="1"/>
        <v>100</v>
      </c>
      <c r="V9" s="700" t="s">
        <v>14</v>
      </c>
      <c r="W9" s="701">
        <f t="shared" si="2"/>
        <v>100</v>
      </c>
      <c r="X9" s="702"/>
      <c r="Y9" s="3710"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96"/>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6"/>
      <c r="Q11" s="1341"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96"/>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96"/>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96"/>
      <c r="Q14" s="1341">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1689</v>
      </c>
      <c r="B15" s="61" t="s">
        <v>1826</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8" t="s">
        <v>1690</v>
      </c>
      <c r="Q15" s="1350" t="str">
        <f t="shared" si="6"/>
        <v>产业集聚程度</v>
      </c>
      <c r="R15" s="704" t="s">
        <v>14</v>
      </c>
      <c r="S15" s="705">
        <f t="shared" si="0"/>
        <v>100</v>
      </c>
      <c r="T15" s="704" t="s">
        <v>14</v>
      </c>
      <c r="U15" s="705">
        <f t="shared" si="1"/>
        <v>100</v>
      </c>
      <c r="V15" s="704" t="s">
        <v>14</v>
      </c>
      <c r="W15" s="705">
        <f t="shared" si="2"/>
        <v>100</v>
      </c>
      <c r="X15" s="1353"/>
      <c r="Y15" s="3798"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99"/>
      <c r="Q16" s="1350"/>
      <c r="R16" s="704"/>
      <c r="S16" s="705"/>
      <c r="T16" s="704"/>
      <c r="U16" s="705"/>
      <c r="V16" s="704"/>
      <c r="W16" s="705"/>
      <c r="X16" s="1353"/>
      <c r="Y16" s="3799"/>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9"/>
      <c r="Q17" s="1350" t="str">
        <f>B17</f>
        <v>交通便捷度</v>
      </c>
      <c r="R17" s="704" t="s">
        <v>14</v>
      </c>
      <c r="S17" s="705">
        <f>F17</f>
        <v>100</v>
      </c>
      <c r="T17" s="704" t="s">
        <v>14</v>
      </c>
      <c r="U17" s="705">
        <f>H17</f>
        <v>100</v>
      </c>
      <c r="V17" s="704" t="s">
        <v>14</v>
      </c>
      <c r="W17" s="705">
        <f>J17</f>
        <v>100</v>
      </c>
      <c r="X17" s="1353"/>
      <c r="Y17" s="379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99"/>
      <c r="Q18" s="1350"/>
      <c r="R18" s="704"/>
      <c r="S18" s="705"/>
      <c r="T18" s="704"/>
      <c r="U18" s="705"/>
      <c r="V18" s="704"/>
      <c r="W18" s="705"/>
      <c r="X18" s="1353"/>
      <c r="Y18" s="3799"/>
      <c r="Z18" s="1354"/>
      <c r="AA18" s="1351">
        <v>1</v>
      </c>
      <c r="AB18" s="1351">
        <v>1</v>
      </c>
      <c r="AC18" s="1351">
        <v>1</v>
      </c>
    </row>
    <row r="19" spans="1:29" ht="15">
      <c r="A19" s="379"/>
      <c r="B19" s="402" t="s">
        <v>1811</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9"/>
      <c r="Q19" s="1350" t="str">
        <f>B19</f>
        <v>公共配套设施</v>
      </c>
      <c r="R19" s="704" t="s">
        <v>14</v>
      </c>
      <c r="S19" s="705">
        <f>F19</f>
        <v>100</v>
      </c>
      <c r="T19" s="704" t="s">
        <v>14</v>
      </c>
      <c r="U19" s="705">
        <f>H19</f>
        <v>100</v>
      </c>
      <c r="V19" s="704" t="s">
        <v>14</v>
      </c>
      <c r="W19" s="705">
        <f>J19</f>
        <v>100</v>
      </c>
      <c r="X19" s="1353"/>
      <c r="Y19" s="379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99"/>
      <c r="Q20" s="1350"/>
      <c r="R20" s="704"/>
      <c r="S20" s="705"/>
      <c r="T20" s="704"/>
      <c r="U20" s="705"/>
      <c r="V20" s="704"/>
      <c r="W20" s="705"/>
      <c r="X20" s="1353"/>
      <c r="Y20" s="3799"/>
      <c r="Z20" s="1354"/>
      <c r="AA20" s="1351">
        <v>1</v>
      </c>
      <c r="AB20" s="1351">
        <v>1</v>
      </c>
      <c r="AC20" s="1351">
        <v>1</v>
      </c>
    </row>
    <row r="21" spans="1:29" ht="15">
      <c r="A21" s="379"/>
      <c r="B21" s="1130" t="s">
        <v>1812</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9"/>
      <c r="Q21" s="1350" t="str">
        <f>B21</f>
        <v>基础设施水平</v>
      </c>
      <c r="R21" s="704" t="s">
        <v>14</v>
      </c>
      <c r="S21" s="705">
        <f>F21</f>
        <v>100</v>
      </c>
      <c r="T21" s="704" t="s">
        <v>14</v>
      </c>
      <c r="U21" s="705">
        <f>H21</f>
        <v>100</v>
      </c>
      <c r="V21" s="704" t="s">
        <v>14</v>
      </c>
      <c r="W21" s="705">
        <f>J21</f>
        <v>100</v>
      </c>
      <c r="X21" s="1353"/>
      <c r="Y21" s="379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99"/>
      <c r="Q22" s="1350"/>
      <c r="R22" s="704"/>
      <c r="S22" s="705"/>
      <c r="T22" s="704"/>
      <c r="U22" s="705"/>
      <c r="V22" s="704"/>
      <c r="W22" s="705"/>
      <c r="X22" s="1353"/>
      <c r="Y22" s="3799"/>
      <c r="Z22" s="1354"/>
      <c r="AA22" s="1351">
        <v>1</v>
      </c>
      <c r="AB22" s="1351">
        <v>1</v>
      </c>
      <c r="AC22" s="1351">
        <v>1</v>
      </c>
    </row>
    <row r="23" spans="1:29" ht="15">
      <c r="A23" s="379"/>
      <c r="B23" s="402" t="s">
        <v>1813</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9"/>
      <c r="Q23" s="1350" t="str">
        <f>B23</f>
        <v>环境质量</v>
      </c>
      <c r="R23" s="704" t="s">
        <v>14</v>
      </c>
      <c r="S23" s="705">
        <f>F23</f>
        <v>100</v>
      </c>
      <c r="T23" s="704" t="s">
        <v>14</v>
      </c>
      <c r="U23" s="705">
        <f>H23</f>
        <v>100</v>
      </c>
      <c r="V23" s="704" t="s">
        <v>14</v>
      </c>
      <c r="W23" s="705">
        <f>J23</f>
        <v>100</v>
      </c>
      <c r="X23" s="1353"/>
      <c r="Y23" s="379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99"/>
      <c r="Q24" s="1350"/>
      <c r="R24" s="704"/>
      <c r="S24" s="705"/>
      <c r="T24" s="704"/>
      <c r="U24" s="705"/>
      <c r="V24" s="704"/>
      <c r="W24" s="705"/>
      <c r="X24" s="1353"/>
      <c r="Y24" s="379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9"/>
      <c r="Q25" s="1350">
        <f>B25</f>
        <v>111</v>
      </c>
      <c r="R25" s="704" t="s">
        <v>14</v>
      </c>
      <c r="S25" s="705">
        <f>F25</f>
        <v>100</v>
      </c>
      <c r="T25" s="704" t="s">
        <v>14</v>
      </c>
      <c r="U25" s="705">
        <f>H25</f>
        <v>100</v>
      </c>
      <c r="V25" s="704" t="s">
        <v>14</v>
      </c>
      <c r="W25" s="705">
        <f>J25</f>
        <v>100</v>
      </c>
      <c r="X25" s="1353"/>
      <c r="Y25" s="379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9"/>
      <c r="Q26" s="1350">
        <f t="shared" ref="Q26:Q40" si="11">B26</f>
        <v>111</v>
      </c>
      <c r="R26" s="704" t="s">
        <v>14</v>
      </c>
      <c r="S26" s="705">
        <f>F26</f>
        <v>100</v>
      </c>
      <c r="T26" s="704" t="s">
        <v>14</v>
      </c>
      <c r="U26" s="705">
        <f>H26</f>
        <v>100</v>
      </c>
      <c r="V26" s="704" t="s">
        <v>14</v>
      </c>
      <c r="W26" s="705">
        <f>J26</f>
        <v>100</v>
      </c>
      <c r="X26" s="1353"/>
      <c r="Y26" s="379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9"/>
      <c r="Q27" s="1341">
        <f t="shared" si="11"/>
        <v>111</v>
      </c>
      <c r="R27" s="700" t="s">
        <v>14</v>
      </c>
      <c r="S27" s="701">
        <f>F27</f>
        <v>100</v>
      </c>
      <c r="T27" s="700" t="s">
        <v>14</v>
      </c>
      <c r="U27" s="701">
        <f>H27</f>
        <v>100</v>
      </c>
      <c r="V27" s="700" t="s">
        <v>14</v>
      </c>
      <c r="W27" s="701">
        <f>J27</f>
        <v>100</v>
      </c>
      <c r="X27" s="702"/>
      <c r="Y27" s="3799"/>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9"/>
      <c r="Q28" s="1350">
        <f t="shared" si="11"/>
        <v>111</v>
      </c>
      <c r="R28" s="704" t="s">
        <v>14</v>
      </c>
      <c r="S28" s="705">
        <f t="shared" ref="S28:S40" si="12">F28</f>
        <v>100</v>
      </c>
      <c r="T28" s="704" t="s">
        <v>14</v>
      </c>
      <c r="U28" s="705">
        <f t="shared" ref="U28:U40" si="13">H28</f>
        <v>100</v>
      </c>
      <c r="V28" s="704" t="s">
        <v>14</v>
      </c>
      <c r="W28" s="705">
        <f t="shared" ref="W28:W40" si="14">J28</f>
        <v>100</v>
      </c>
      <c r="X28" s="1353"/>
      <c r="Y28" s="3799"/>
      <c r="Z28" s="1354">
        <f t="shared" ref="Z28:Z40" si="15">Q28</f>
        <v>111</v>
      </c>
      <c r="AA28" s="1351">
        <f t="shared" si="3"/>
        <v>1</v>
      </c>
      <c r="AB28" s="1351">
        <f t="shared" si="4"/>
        <v>1</v>
      </c>
      <c r="AC28" s="1351">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22" t="s">
        <v>1695</v>
      </c>
      <c r="Q29" s="1350" t="str">
        <f t="shared" si="11"/>
        <v>建筑类型</v>
      </c>
      <c r="R29" s="704" t="s">
        <v>14</v>
      </c>
      <c r="S29" s="705">
        <f t="shared" si="12"/>
        <v>100</v>
      </c>
      <c r="T29" s="704" t="s">
        <v>14</v>
      </c>
      <c r="U29" s="705">
        <f t="shared" si="13"/>
        <v>100</v>
      </c>
      <c r="V29" s="704" t="s">
        <v>14</v>
      </c>
      <c r="W29" s="705">
        <f t="shared" si="14"/>
        <v>100</v>
      </c>
      <c r="X29" s="1353"/>
      <c r="Y29" s="3803"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3"/>
      <c r="Q30" s="706" t="str">
        <f t="shared" si="11"/>
        <v>项目建筑规模</v>
      </c>
      <c r="R30" s="707" t="s">
        <v>14</v>
      </c>
      <c r="S30" s="708" t="e">
        <f t="shared" si="12"/>
        <v>#N/A</v>
      </c>
      <c r="T30" s="707" t="s">
        <v>14</v>
      </c>
      <c r="U30" s="708" t="e">
        <f t="shared" si="13"/>
        <v>#N/A</v>
      </c>
      <c r="V30" s="707" t="s">
        <v>14</v>
      </c>
      <c r="W30" s="708" t="e">
        <f t="shared" si="14"/>
        <v>#N/A</v>
      </c>
      <c r="X30" s="709"/>
      <c r="Y30" s="3803"/>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3"/>
      <c r="Q31" s="1350" t="str">
        <f t="shared" si="11"/>
        <v>建筑结构</v>
      </c>
      <c r="R31" s="704" t="s">
        <v>14</v>
      </c>
      <c r="S31" s="705">
        <f t="shared" si="12"/>
        <v>100</v>
      </c>
      <c r="T31" s="704" t="s">
        <v>14</v>
      </c>
      <c r="U31" s="705">
        <f t="shared" si="13"/>
        <v>100</v>
      </c>
      <c r="V31" s="704" t="s">
        <v>14</v>
      </c>
      <c r="W31" s="705">
        <f t="shared" si="14"/>
        <v>100</v>
      </c>
      <c r="X31" s="1353"/>
      <c r="Y31" s="3803"/>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3"/>
      <c r="Q32" s="1350" t="str">
        <f t="shared" si="11"/>
        <v>公共部分装修</v>
      </c>
      <c r="R32" s="704" t="s">
        <v>14</v>
      </c>
      <c r="S32" s="705">
        <f t="shared" si="12"/>
        <v>100</v>
      </c>
      <c r="T32" s="704" t="s">
        <v>14</v>
      </c>
      <c r="U32" s="705">
        <f t="shared" si="13"/>
        <v>100</v>
      </c>
      <c r="V32" s="704" t="s">
        <v>14</v>
      </c>
      <c r="W32" s="705">
        <f t="shared" si="14"/>
        <v>100</v>
      </c>
      <c r="X32" s="1353"/>
      <c r="Y32" s="3803"/>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3"/>
      <c r="Q33" s="1350" t="str">
        <f t="shared" si="11"/>
        <v>成新度</v>
      </c>
      <c r="R33" s="704" t="s">
        <v>14</v>
      </c>
      <c r="S33" s="705" t="e">
        <f t="shared" si="12"/>
        <v>#N/A</v>
      </c>
      <c r="T33" s="704" t="s">
        <v>14</v>
      </c>
      <c r="U33" s="705" t="e">
        <f t="shared" si="13"/>
        <v>#N/A</v>
      </c>
      <c r="V33" s="704" t="s">
        <v>14</v>
      </c>
      <c r="W33" s="705" t="e">
        <f t="shared" si="14"/>
        <v>#N/A</v>
      </c>
      <c r="X33" s="1353"/>
      <c r="Y33" s="3803"/>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3"/>
      <c r="Q34" s="1341" t="str">
        <f t="shared" si="11"/>
        <v>物业管理</v>
      </c>
      <c r="R34" s="700" t="s">
        <v>14</v>
      </c>
      <c r="S34" s="701">
        <f t="shared" si="12"/>
        <v>100</v>
      </c>
      <c r="T34" s="700" t="s">
        <v>14</v>
      </c>
      <c r="U34" s="701">
        <f t="shared" si="13"/>
        <v>100</v>
      </c>
      <c r="V34" s="700" t="s">
        <v>14</v>
      </c>
      <c r="W34" s="701">
        <f t="shared" si="14"/>
        <v>100</v>
      </c>
      <c r="X34" s="702"/>
      <c r="Y34" s="380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3" t="s">
        <v>1695</v>
      </c>
      <c r="Q35" s="1350" t="str">
        <f t="shared" si="11"/>
        <v>市政基础设施</v>
      </c>
      <c r="R35" s="704" t="s">
        <v>14</v>
      </c>
      <c r="S35" s="705">
        <f t="shared" si="12"/>
        <v>100</v>
      </c>
      <c r="T35" s="704" t="s">
        <v>14</v>
      </c>
      <c r="U35" s="705">
        <f t="shared" si="13"/>
        <v>100</v>
      </c>
      <c r="V35" s="704" t="s">
        <v>14</v>
      </c>
      <c r="W35" s="705">
        <f t="shared" si="14"/>
        <v>100</v>
      </c>
      <c r="X35" s="1353"/>
      <c r="Y35" s="3803"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3"/>
      <c r="Q36" s="1350" t="str">
        <f t="shared" si="11"/>
        <v>内部装修</v>
      </c>
      <c r="R36" s="704" t="s">
        <v>14</v>
      </c>
      <c r="S36" s="705">
        <f t="shared" si="12"/>
        <v>100</v>
      </c>
      <c r="T36" s="704" t="s">
        <v>14</v>
      </c>
      <c r="U36" s="705">
        <f t="shared" si="13"/>
        <v>100</v>
      </c>
      <c r="V36" s="704" t="s">
        <v>14</v>
      </c>
      <c r="W36" s="705">
        <f t="shared" si="14"/>
        <v>100</v>
      </c>
      <c r="X36" s="1353"/>
      <c r="Y36" s="3803"/>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3"/>
      <c r="Q37" s="1350" t="str">
        <f t="shared" si="11"/>
        <v>内部装修状况</v>
      </c>
      <c r="R37" s="704" t="s">
        <v>14</v>
      </c>
      <c r="S37" s="705">
        <f t="shared" si="12"/>
        <v>100</v>
      </c>
      <c r="T37" s="704" t="s">
        <v>14</v>
      </c>
      <c r="U37" s="705">
        <f t="shared" si="13"/>
        <v>100</v>
      </c>
      <c r="V37" s="704" t="s">
        <v>14</v>
      </c>
      <c r="W37" s="705">
        <f t="shared" si="14"/>
        <v>100</v>
      </c>
      <c r="X37" s="1353"/>
      <c r="Y37" s="380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3"/>
      <c r="Q38" s="706">
        <f t="shared" si="11"/>
        <v>111</v>
      </c>
      <c r="R38" s="707" t="s">
        <v>14</v>
      </c>
      <c r="S38" s="708">
        <f t="shared" si="12"/>
        <v>100</v>
      </c>
      <c r="T38" s="707" t="s">
        <v>14</v>
      </c>
      <c r="U38" s="708">
        <f t="shared" si="13"/>
        <v>100</v>
      </c>
      <c r="V38" s="707" t="s">
        <v>14</v>
      </c>
      <c r="W38" s="708">
        <f t="shared" si="14"/>
        <v>100</v>
      </c>
      <c r="X38" s="709"/>
      <c r="Y38" s="3803"/>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3"/>
      <c r="Q39" s="1350">
        <f t="shared" si="11"/>
        <v>111</v>
      </c>
      <c r="R39" s="704" t="s">
        <v>14</v>
      </c>
      <c r="S39" s="705">
        <f t="shared" si="12"/>
        <v>100</v>
      </c>
      <c r="T39" s="704" t="s">
        <v>14</v>
      </c>
      <c r="U39" s="705">
        <f t="shared" si="13"/>
        <v>100</v>
      </c>
      <c r="V39" s="704" t="s">
        <v>14</v>
      </c>
      <c r="W39" s="705">
        <f t="shared" si="14"/>
        <v>100</v>
      </c>
      <c r="X39" s="1353"/>
      <c r="Y39" s="380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4"/>
      <c r="Q40" s="1350">
        <f t="shared" si="11"/>
        <v>111</v>
      </c>
      <c r="R40" s="704" t="s">
        <v>14</v>
      </c>
      <c r="S40" s="705">
        <f t="shared" si="12"/>
        <v>100</v>
      </c>
      <c r="T40" s="704" t="s">
        <v>14</v>
      </c>
      <c r="U40" s="705">
        <f t="shared" si="13"/>
        <v>100</v>
      </c>
      <c r="V40" s="704" t="s">
        <v>14</v>
      </c>
      <c r="W40" s="705">
        <f t="shared" si="14"/>
        <v>100</v>
      </c>
      <c r="X40" s="1353"/>
      <c r="Y40" s="3804"/>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796" t="str">
        <f>A41</f>
        <v>成交单价（元/平方米）</v>
      </c>
      <c r="Q41" s="3796"/>
      <c r="R41" s="3797">
        <f>E41</f>
        <v>0</v>
      </c>
      <c r="S41" s="3797"/>
      <c r="T41" s="3797">
        <f>G41</f>
        <v>0</v>
      </c>
      <c r="U41" s="3797"/>
      <c r="V41" s="3797">
        <f>I41</f>
        <v>0</v>
      </c>
      <c r="W41" s="3797"/>
      <c r="X41" s="689"/>
      <c r="Y41" s="711"/>
      <c r="Z41" s="689"/>
      <c r="AA41" s="689"/>
      <c r="AB41" s="689"/>
      <c r="AC41" s="689"/>
    </row>
    <row r="42" spans="1:29" ht="15.75" thickBot="1">
      <c r="A42" s="437" t="s">
        <v>1792</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796" t="str">
        <f>A42</f>
        <v>比较价值（元/平方米）</v>
      </c>
      <c r="Q42" s="3796"/>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93" t="str">
        <f>A43</f>
        <v>估价对象XX用房的比较价值（楼面单价，元/平方米）</v>
      </c>
      <c r="Q43" s="3794"/>
      <c r="R43" s="3795" t="e">
        <f>IF(F1="售价",ROUND(IF(D42="简单平均",AVERAGE(R42:V42),R42*F42+T42*H42+V42*J42),0),ROUND(IF(D42="简单平均",AVERAGE(R42:V42),R42*F42+T42*H42+V42*J42),1))</f>
        <v>#DIV/0!</v>
      </c>
      <c r="S43" s="3795"/>
      <c r="T43" s="3795"/>
      <c r="U43" s="3795"/>
      <c r="V43" s="3795"/>
      <c r="W43" s="3795"/>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受贵公司委托，我公司对北京市昌平区回龙观东大街318号院1号楼-1至5层房地产房地产市场价值进行了预评估。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26199.81平方米，建筑面积为25743.17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26199.81平方米，规划建筑面积为25743.17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3327</v>
      </c>
      <c r="C1" s="1222" t="s">
        <v>1661</v>
      </c>
      <c r="D1" s="1223"/>
      <c r="E1" s="3427"/>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1768</v>
      </c>
      <c r="B4" s="356"/>
      <c r="C4" s="3779" t="s">
        <v>1769</v>
      </c>
      <c r="D4" s="3780"/>
      <c r="E4" s="3781" t="s">
        <v>1770</v>
      </c>
      <c r="F4" s="3782"/>
      <c r="G4" s="3779" t="s">
        <v>1771</v>
      </c>
      <c r="H4" s="3780"/>
      <c r="I4" s="3779" t="s">
        <v>1772</v>
      </c>
      <c r="J4" s="3780"/>
      <c r="K4" s="559" t="s">
        <v>1773</v>
      </c>
      <c r="L4" s="2709"/>
      <c r="M4" s="2710"/>
      <c r="N4" s="2710"/>
      <c r="O4" s="2710"/>
      <c r="P4" s="3783" t="s">
        <v>1774</v>
      </c>
      <c r="Q4" s="3784"/>
      <c r="R4" s="3766" t="s">
        <v>1770</v>
      </c>
      <c r="S4" s="3767"/>
      <c r="T4" s="3766" t="s">
        <v>1771</v>
      </c>
      <c r="U4" s="3767"/>
      <c r="V4" s="3791" t="s">
        <v>1772</v>
      </c>
      <c r="W4" s="3791"/>
      <c r="X4" s="1353"/>
      <c r="Y4" s="3766" t="s">
        <v>1774</v>
      </c>
      <c r="Z4" s="3767"/>
      <c r="AA4" s="3761" t="s">
        <v>1770</v>
      </c>
      <c r="AB4" s="3762" t="s">
        <v>1771</v>
      </c>
      <c r="AC4" s="3761" t="s">
        <v>1772</v>
      </c>
    </row>
    <row r="5" spans="1:29" ht="15">
      <c r="A5" s="358"/>
      <c r="B5" s="359"/>
      <c r="C5" s="3772" t="s">
        <v>1672</v>
      </c>
      <c r="D5" s="3773"/>
      <c r="E5" s="3770" t="s">
        <v>1673</v>
      </c>
      <c r="F5" s="3771"/>
      <c r="G5" s="3772" t="s">
        <v>1674</v>
      </c>
      <c r="H5" s="3773"/>
      <c r="I5" s="3772" t="s">
        <v>1675</v>
      </c>
      <c r="J5" s="3773"/>
      <c r="K5" s="559"/>
      <c r="L5" s="2709"/>
      <c r="M5" s="2710"/>
      <c r="N5" s="2710"/>
      <c r="O5" s="2710"/>
      <c r="P5" s="3785"/>
      <c r="Q5" s="3786"/>
      <c r="R5" s="3768"/>
      <c r="S5" s="3769"/>
      <c r="T5" s="3768"/>
      <c r="U5" s="3769"/>
      <c r="V5" s="3791"/>
      <c r="W5" s="3791"/>
      <c r="X5" s="1353"/>
      <c r="Y5" s="3768"/>
      <c r="Z5" s="3769"/>
      <c r="AA5" s="3762"/>
      <c r="AB5" s="3762"/>
      <c r="AC5" s="3762"/>
    </row>
    <row r="6" spans="1:29" ht="15.75" thickBot="1">
      <c r="A6" s="360"/>
      <c r="B6" s="361"/>
      <c r="C6" s="3774" t="s">
        <v>1676</v>
      </c>
      <c r="D6" s="3775"/>
      <c r="E6" s="3776" t="s">
        <v>1676</v>
      </c>
      <c r="F6" s="3777"/>
      <c r="G6" s="3774" t="s">
        <v>1676</v>
      </c>
      <c r="H6" s="3775"/>
      <c r="I6" s="3774" t="s">
        <v>1676</v>
      </c>
      <c r="J6" s="3775"/>
      <c r="K6" s="559" t="s">
        <v>1677</v>
      </c>
      <c r="L6" s="2709"/>
      <c r="M6" s="2710"/>
      <c r="N6" s="2710"/>
      <c r="O6" s="2710"/>
      <c r="P6" s="3787"/>
      <c r="Q6" s="3788"/>
      <c r="R6" s="3768"/>
      <c r="S6" s="3769"/>
      <c r="T6" s="3789"/>
      <c r="U6" s="3790"/>
      <c r="V6" s="3791"/>
      <c r="W6" s="3791"/>
      <c r="X6" s="1353"/>
      <c r="Y6" s="3789"/>
      <c r="Z6" s="3790"/>
      <c r="AA6" s="3763"/>
      <c r="AB6" s="3763"/>
      <c r="AC6" s="3763"/>
    </row>
    <row r="7" spans="1:29" s="108" customFormat="1" ht="15.75" thickBot="1">
      <c r="A7" s="362" t="s">
        <v>1678</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64" t="s">
        <v>1679</v>
      </c>
      <c r="Q7" s="3792"/>
      <c r="R7" s="700" t="s">
        <v>14</v>
      </c>
      <c r="S7" s="701">
        <f t="shared" ref="S7:S14" si="0">F7</f>
        <v>0</v>
      </c>
      <c r="T7" s="700" t="s">
        <v>14</v>
      </c>
      <c r="U7" s="701">
        <f t="shared" ref="U7:U14" si="1">H7</f>
        <v>0</v>
      </c>
      <c r="V7" s="700" t="s">
        <v>14</v>
      </c>
      <c r="W7" s="701">
        <f t="shared" ref="W7:W14" si="2">J7</f>
        <v>0</v>
      </c>
      <c r="X7" s="702"/>
      <c r="Y7" s="3764" t="s">
        <v>1679</v>
      </c>
      <c r="Z7" s="3765"/>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64" t="s">
        <v>1682</v>
      </c>
      <c r="Q8" s="3765"/>
      <c r="R8" s="700" t="s">
        <v>14</v>
      </c>
      <c r="S8" s="701">
        <f t="shared" si="0"/>
        <v>100</v>
      </c>
      <c r="T8" s="700" t="s">
        <v>14</v>
      </c>
      <c r="U8" s="701">
        <f t="shared" si="1"/>
        <v>100</v>
      </c>
      <c r="V8" s="700" t="s">
        <v>14</v>
      </c>
      <c r="W8" s="701">
        <f t="shared" si="2"/>
        <v>100</v>
      </c>
      <c r="X8" s="702"/>
      <c r="Y8" s="3764" t="s">
        <v>1682</v>
      </c>
      <c r="Z8" s="3765"/>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96" t="s">
        <v>1685</v>
      </c>
      <c r="Q9" s="1341" t="str">
        <f t="shared" ref="Q9:Q14" si="6">B9</f>
        <v>用途</v>
      </c>
      <c r="R9" s="700" t="s">
        <v>14</v>
      </c>
      <c r="S9" s="701">
        <f t="shared" si="0"/>
        <v>100</v>
      </c>
      <c r="T9" s="700" t="s">
        <v>14</v>
      </c>
      <c r="U9" s="701">
        <f t="shared" si="1"/>
        <v>100</v>
      </c>
      <c r="V9" s="700" t="s">
        <v>14</v>
      </c>
      <c r="W9" s="701">
        <f t="shared" si="2"/>
        <v>100</v>
      </c>
      <c r="X9" s="702"/>
      <c r="Y9" s="3710" t="s">
        <v>1686</v>
      </c>
      <c r="Z9" s="52" t="str">
        <f t="shared" ref="Z9:Z14" si="7">Q9</f>
        <v>用途</v>
      </c>
      <c r="AA9" s="703">
        <f t="shared" si="3"/>
        <v>1</v>
      </c>
      <c r="AB9" s="703">
        <f t="shared" si="4"/>
        <v>1</v>
      </c>
      <c r="AC9" s="703">
        <f t="shared" si="5"/>
        <v>1</v>
      </c>
    </row>
    <row r="10" spans="1:29" s="378" customFormat="1" ht="27">
      <c r="A10" s="588"/>
      <c r="B10" s="589"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96"/>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96"/>
      <c r="Q11" s="1341">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96"/>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96"/>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55" t="s">
        <v>1689</v>
      </c>
      <c r="B14" s="576" t="s">
        <v>1832</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98" t="s">
        <v>1690</v>
      </c>
      <c r="Q14" s="1350" t="str">
        <f t="shared" si="6"/>
        <v>交通便捷度</v>
      </c>
      <c r="R14" s="704" t="s">
        <v>14</v>
      </c>
      <c r="S14" s="705">
        <f t="shared" si="0"/>
        <v>100</v>
      </c>
      <c r="T14" s="704" t="s">
        <v>14</v>
      </c>
      <c r="U14" s="705">
        <f t="shared" si="1"/>
        <v>100</v>
      </c>
      <c r="V14" s="704" t="s">
        <v>14</v>
      </c>
      <c r="W14" s="705">
        <f t="shared" si="2"/>
        <v>100</v>
      </c>
      <c r="X14" s="1353"/>
      <c r="Y14" s="3798"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799"/>
      <c r="Q15" s="1350"/>
      <c r="R15" s="704"/>
      <c r="S15" s="705"/>
      <c r="T15" s="704"/>
      <c r="U15" s="705"/>
      <c r="V15" s="704"/>
      <c r="W15" s="705"/>
      <c r="X15" s="1353"/>
      <c r="Y15" s="3799"/>
      <c r="Z15" s="1354"/>
      <c r="AA15" s="1351">
        <v>1</v>
      </c>
      <c r="AB15" s="1351">
        <v>1</v>
      </c>
      <c r="AC15" s="1351">
        <v>1</v>
      </c>
    </row>
    <row r="16" spans="1:29" ht="15">
      <c r="A16" s="358"/>
      <c r="B16" s="578" t="s">
        <v>1811</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99"/>
      <c r="Q16" s="1350" t="str">
        <f>B16</f>
        <v>公共配套设施</v>
      </c>
      <c r="R16" s="704" t="s">
        <v>14</v>
      </c>
      <c r="S16" s="705">
        <f>F16</f>
        <v>100</v>
      </c>
      <c r="T16" s="704" t="s">
        <v>14</v>
      </c>
      <c r="U16" s="705">
        <f>H16</f>
        <v>100</v>
      </c>
      <c r="V16" s="704" t="s">
        <v>14</v>
      </c>
      <c r="W16" s="705">
        <f>J16</f>
        <v>100</v>
      </c>
      <c r="X16" s="1353"/>
      <c r="Y16" s="3799"/>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799"/>
      <c r="Q17" s="1350"/>
      <c r="R17" s="704"/>
      <c r="S17" s="705"/>
      <c r="T17" s="704"/>
      <c r="U17" s="705"/>
      <c r="V17" s="704"/>
      <c r="W17" s="705"/>
      <c r="X17" s="1353"/>
      <c r="Y17" s="3799"/>
      <c r="Z17" s="1354"/>
      <c r="AA17" s="1351">
        <v>1</v>
      </c>
      <c r="AB17" s="1351">
        <v>1</v>
      </c>
      <c r="AC17" s="1351">
        <v>1</v>
      </c>
    </row>
    <row r="18" spans="1:29" ht="15">
      <c r="A18" s="358"/>
      <c r="B18" s="580" t="s">
        <v>1812</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99"/>
      <c r="Q18" s="1350" t="str">
        <f>B18</f>
        <v>基础设施水平</v>
      </c>
      <c r="R18" s="704" t="s">
        <v>14</v>
      </c>
      <c r="S18" s="705">
        <f>F18</f>
        <v>100</v>
      </c>
      <c r="T18" s="704" t="s">
        <v>14</v>
      </c>
      <c r="U18" s="705">
        <f>H18</f>
        <v>100</v>
      </c>
      <c r="V18" s="704" t="s">
        <v>14</v>
      </c>
      <c r="W18" s="705">
        <f>J18</f>
        <v>100</v>
      </c>
      <c r="X18" s="1353"/>
      <c r="Y18" s="3799"/>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6"/>
      <c r="M19" s="2710"/>
      <c r="N19" s="2710"/>
      <c r="O19" s="2710"/>
      <c r="P19" s="3799"/>
      <c r="Q19" s="1350"/>
      <c r="R19" s="704"/>
      <c r="S19" s="705"/>
      <c r="T19" s="704"/>
      <c r="U19" s="705"/>
      <c r="V19" s="704"/>
      <c r="W19" s="705"/>
      <c r="X19" s="1353"/>
      <c r="Y19" s="3799"/>
      <c r="Z19" s="1354"/>
      <c r="AA19" s="1351">
        <v>1</v>
      </c>
      <c r="AB19" s="1351">
        <v>1</v>
      </c>
      <c r="AC19" s="1351">
        <v>1</v>
      </c>
    </row>
    <row r="20" spans="1:29" ht="15">
      <c r="A20" s="358"/>
      <c r="B20" s="578" t="s">
        <v>1833</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99"/>
      <c r="Q20" s="1350" t="str">
        <f>B20</f>
        <v>自然及人文环境</v>
      </c>
      <c r="R20" s="704" t="s">
        <v>14</v>
      </c>
      <c r="S20" s="705">
        <f>F20</f>
        <v>100</v>
      </c>
      <c r="T20" s="704" t="s">
        <v>14</v>
      </c>
      <c r="U20" s="705">
        <f>H20</f>
        <v>100</v>
      </c>
      <c r="V20" s="704" t="s">
        <v>14</v>
      </c>
      <c r="W20" s="705">
        <f>J20</f>
        <v>100</v>
      </c>
      <c r="X20" s="1353"/>
      <c r="Y20" s="3799"/>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799"/>
      <c r="Q21" s="1350"/>
      <c r="R21" s="704"/>
      <c r="S21" s="705"/>
      <c r="T21" s="704"/>
      <c r="U21" s="705"/>
      <c r="V21" s="704"/>
      <c r="W21" s="705"/>
      <c r="X21" s="1353"/>
      <c r="Y21" s="3799"/>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99"/>
      <c r="Q22" s="1350" t="str">
        <f>B22</f>
        <v>楼层</v>
      </c>
      <c r="R22" s="704" t="s">
        <v>14</v>
      </c>
      <c r="S22" s="705">
        <f>F22</f>
        <v>100</v>
      </c>
      <c r="T22" s="704" t="s">
        <v>14</v>
      </c>
      <c r="U22" s="705">
        <f>H22</f>
        <v>100</v>
      </c>
      <c r="V22" s="704" t="s">
        <v>14</v>
      </c>
      <c r="W22" s="705">
        <f>J22</f>
        <v>100</v>
      </c>
      <c r="X22" s="1353"/>
      <c r="Y22" s="3799"/>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99"/>
      <c r="Q23" s="1350">
        <f>B23</f>
        <v>111</v>
      </c>
      <c r="R23" s="704" t="s">
        <v>14</v>
      </c>
      <c r="S23" s="705">
        <f>F23</f>
        <v>100</v>
      </c>
      <c r="T23" s="704" t="s">
        <v>14</v>
      </c>
      <c r="U23" s="705">
        <f>H23</f>
        <v>100</v>
      </c>
      <c r="V23" s="704" t="s">
        <v>14</v>
      </c>
      <c r="W23" s="705">
        <f>J23</f>
        <v>100</v>
      </c>
      <c r="X23" s="1353"/>
      <c r="Y23" s="3799"/>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99"/>
      <c r="Q24" s="1350">
        <f t="shared" ref="Q24:Q36" si="11">B24</f>
        <v>111</v>
      </c>
      <c r="R24" s="704" t="s">
        <v>14</v>
      </c>
      <c r="S24" s="705">
        <f>F24</f>
        <v>100</v>
      </c>
      <c r="T24" s="704" t="s">
        <v>14</v>
      </c>
      <c r="U24" s="705">
        <f>H24</f>
        <v>100</v>
      </c>
      <c r="V24" s="704" t="s">
        <v>14</v>
      </c>
      <c r="W24" s="705">
        <f>J24</f>
        <v>100</v>
      </c>
      <c r="X24" s="1353"/>
      <c r="Y24" s="3799"/>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99"/>
      <c r="Q25" s="1341">
        <f t="shared" si="11"/>
        <v>111</v>
      </c>
      <c r="R25" s="700" t="s">
        <v>14</v>
      </c>
      <c r="S25" s="701">
        <f>F25</f>
        <v>100</v>
      </c>
      <c r="T25" s="700" t="s">
        <v>14</v>
      </c>
      <c r="U25" s="701">
        <f>H25</f>
        <v>100</v>
      </c>
      <c r="V25" s="700" t="s">
        <v>14</v>
      </c>
      <c r="W25" s="701">
        <f>J25</f>
        <v>100</v>
      </c>
      <c r="X25" s="702"/>
      <c r="Y25" s="3799"/>
      <c r="Z25" s="52">
        <f>Q25</f>
        <v>111</v>
      </c>
      <c r="AA25" s="1351">
        <f>D25/F25</f>
        <v>1</v>
      </c>
      <c r="AB25" s="1351">
        <f>D25/H25</f>
        <v>1</v>
      </c>
      <c r="AC25" s="1351">
        <f>D25/J25</f>
        <v>1</v>
      </c>
    </row>
    <row r="26" spans="1:29" ht="28.5">
      <c r="A26" s="599"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22"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03"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803"/>
      <c r="Q27" s="706" t="str">
        <f t="shared" si="11"/>
        <v>项目停车位配比</v>
      </c>
      <c r="R27" s="707" t="s">
        <v>14</v>
      </c>
      <c r="S27" s="708">
        <f t="shared" si="12"/>
        <v>100</v>
      </c>
      <c r="T27" s="707" t="s">
        <v>14</v>
      </c>
      <c r="U27" s="708">
        <f t="shared" si="13"/>
        <v>100</v>
      </c>
      <c r="V27" s="707" t="s">
        <v>14</v>
      </c>
      <c r="W27" s="708">
        <f t="shared" si="14"/>
        <v>100</v>
      </c>
      <c r="X27" s="709"/>
      <c r="Y27" s="3803"/>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03"/>
      <c r="Q28" s="1350" t="str">
        <f t="shared" si="11"/>
        <v>公共部分装修</v>
      </c>
      <c r="R28" s="704" t="s">
        <v>14</v>
      </c>
      <c r="S28" s="705">
        <f t="shared" si="12"/>
        <v>100</v>
      </c>
      <c r="T28" s="704" t="s">
        <v>14</v>
      </c>
      <c r="U28" s="705">
        <f t="shared" si="13"/>
        <v>100</v>
      </c>
      <c r="V28" s="704" t="s">
        <v>14</v>
      </c>
      <c r="W28" s="705">
        <f t="shared" si="14"/>
        <v>100</v>
      </c>
      <c r="X28" s="1353"/>
      <c r="Y28" s="3803"/>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03"/>
      <c r="Q29" s="1350" t="str">
        <f t="shared" si="11"/>
        <v>成新率</v>
      </c>
      <c r="R29" s="704" t="s">
        <v>14</v>
      </c>
      <c r="S29" s="705" t="e">
        <f t="shared" si="12"/>
        <v>#N/A</v>
      </c>
      <c r="T29" s="704" t="s">
        <v>14</v>
      </c>
      <c r="U29" s="705" t="e">
        <f t="shared" si="13"/>
        <v>#N/A</v>
      </c>
      <c r="V29" s="704" t="s">
        <v>14</v>
      </c>
      <c r="W29" s="705" t="e">
        <f t="shared" si="14"/>
        <v>#N/A</v>
      </c>
      <c r="X29" s="1353"/>
      <c r="Y29" s="3803"/>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803"/>
      <c r="Q30" s="1350" t="str">
        <f t="shared" si="11"/>
        <v>物业等级</v>
      </c>
      <c r="R30" s="704" t="s">
        <v>14</v>
      </c>
      <c r="S30" s="705">
        <f t="shared" si="12"/>
        <v>100</v>
      </c>
      <c r="T30" s="704" t="s">
        <v>14</v>
      </c>
      <c r="U30" s="705">
        <f t="shared" si="13"/>
        <v>100</v>
      </c>
      <c r="V30" s="704" t="s">
        <v>14</v>
      </c>
      <c r="W30" s="705">
        <f t="shared" si="14"/>
        <v>100</v>
      </c>
      <c r="X30" s="1353"/>
      <c r="Y30" s="3803"/>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03"/>
      <c r="Q31" s="1341" t="str">
        <f t="shared" si="11"/>
        <v>停车位面积</v>
      </c>
      <c r="R31" s="700" t="s">
        <v>14</v>
      </c>
      <c r="S31" s="701" t="e">
        <f t="shared" si="12"/>
        <v>#N/A</v>
      </c>
      <c r="T31" s="700" t="s">
        <v>14</v>
      </c>
      <c r="U31" s="701" t="e">
        <f t="shared" si="13"/>
        <v>#N/A</v>
      </c>
      <c r="V31" s="700" t="s">
        <v>14</v>
      </c>
      <c r="W31" s="701" t="e">
        <f t="shared" si="14"/>
        <v>#N/A</v>
      </c>
      <c r="X31" s="702"/>
      <c r="Y31" s="3803"/>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03" t="s">
        <v>1695</v>
      </c>
      <c r="Q32" s="1350" t="str">
        <f t="shared" si="11"/>
        <v>车位类型</v>
      </c>
      <c r="R32" s="704" t="s">
        <v>14</v>
      </c>
      <c r="S32" s="705">
        <f t="shared" si="12"/>
        <v>100</v>
      </c>
      <c r="T32" s="704" t="s">
        <v>14</v>
      </c>
      <c r="U32" s="705">
        <f t="shared" si="13"/>
        <v>100</v>
      </c>
      <c r="V32" s="704" t="s">
        <v>14</v>
      </c>
      <c r="W32" s="705">
        <f t="shared" si="14"/>
        <v>100</v>
      </c>
      <c r="X32" s="1353"/>
      <c r="Y32" s="3803"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03"/>
      <c r="Q33" s="1350" t="str">
        <f t="shared" si="11"/>
        <v>是否直接入户</v>
      </c>
      <c r="R33" s="704" t="s">
        <v>14</v>
      </c>
      <c r="S33" s="705">
        <f t="shared" si="12"/>
        <v>100</v>
      </c>
      <c r="T33" s="704" t="s">
        <v>14</v>
      </c>
      <c r="U33" s="705">
        <f t="shared" si="13"/>
        <v>100</v>
      </c>
      <c r="V33" s="704" t="s">
        <v>14</v>
      </c>
      <c r="W33" s="705">
        <f t="shared" si="14"/>
        <v>100</v>
      </c>
      <c r="X33" s="1353"/>
      <c r="Y33" s="3803"/>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03"/>
      <c r="Q34" s="1350">
        <f t="shared" si="11"/>
        <v>111</v>
      </c>
      <c r="R34" s="704" t="s">
        <v>14</v>
      </c>
      <c r="S34" s="705">
        <f t="shared" si="12"/>
        <v>100</v>
      </c>
      <c r="T34" s="704" t="s">
        <v>14</v>
      </c>
      <c r="U34" s="705">
        <f t="shared" si="13"/>
        <v>100</v>
      </c>
      <c r="V34" s="704" t="s">
        <v>14</v>
      </c>
      <c r="W34" s="705">
        <f t="shared" si="14"/>
        <v>100</v>
      </c>
      <c r="X34" s="1353"/>
      <c r="Y34" s="3803"/>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03"/>
      <c r="Q35" s="706">
        <f t="shared" si="11"/>
        <v>111</v>
      </c>
      <c r="R35" s="707" t="s">
        <v>14</v>
      </c>
      <c r="S35" s="708">
        <f t="shared" si="12"/>
        <v>100</v>
      </c>
      <c r="T35" s="707" t="s">
        <v>14</v>
      </c>
      <c r="U35" s="708">
        <f t="shared" si="13"/>
        <v>100</v>
      </c>
      <c r="V35" s="707" t="s">
        <v>14</v>
      </c>
      <c r="W35" s="708">
        <f t="shared" si="14"/>
        <v>100</v>
      </c>
      <c r="X35" s="709"/>
      <c r="Y35" s="3803"/>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03"/>
      <c r="Q36" s="1350">
        <f t="shared" si="11"/>
        <v>111</v>
      </c>
      <c r="R36" s="704" t="s">
        <v>14</v>
      </c>
      <c r="S36" s="705">
        <f t="shared" si="12"/>
        <v>100</v>
      </c>
      <c r="T36" s="704" t="s">
        <v>14</v>
      </c>
      <c r="U36" s="705">
        <f t="shared" si="13"/>
        <v>100</v>
      </c>
      <c r="V36" s="704" t="s">
        <v>14</v>
      </c>
      <c r="W36" s="705">
        <f t="shared" si="14"/>
        <v>100</v>
      </c>
      <c r="X36" s="1353"/>
      <c r="Y36" s="3803"/>
      <c r="Z36" s="1354">
        <f t="shared" si="15"/>
        <v>111</v>
      </c>
      <c r="AA36" s="1351">
        <f t="shared" si="3"/>
        <v>1</v>
      </c>
      <c r="AB36" s="1351">
        <f t="shared" si="4"/>
        <v>1</v>
      </c>
      <c r="AC36" s="1351">
        <f t="shared" si="5"/>
        <v>1</v>
      </c>
    </row>
    <row r="37" spans="1:29" ht="15">
      <c r="A37" s="430" t="s">
        <v>1843</v>
      </c>
      <c r="B37" s="1969" t="s">
        <v>3348</v>
      </c>
      <c r="C37" s="1153" t="s">
        <v>0</v>
      </c>
      <c r="D37" s="1154"/>
      <c r="E37" s="1155"/>
      <c r="F37" s="1156"/>
      <c r="G37" s="1157"/>
      <c r="H37" s="1158"/>
      <c r="I37" s="1155"/>
      <c r="J37" s="1158"/>
      <c r="K37" s="567"/>
      <c r="L37" s="2718"/>
      <c r="M37" s="2719"/>
      <c r="N37" s="2710"/>
      <c r="O37" s="2719"/>
      <c r="P37" s="3796" t="str">
        <f>A37</f>
        <v>成交单价</v>
      </c>
      <c r="Q37" s="3796"/>
      <c r="R37" s="3797">
        <f>E37</f>
        <v>0</v>
      </c>
      <c r="S37" s="3797"/>
      <c r="T37" s="3797">
        <f>G37</f>
        <v>0</v>
      </c>
      <c r="U37" s="3797"/>
      <c r="V37" s="3797">
        <f>I37</f>
        <v>0</v>
      </c>
      <c r="W37" s="3797"/>
      <c r="X37" s="689"/>
      <c r="Y37" s="711"/>
      <c r="Z37" s="689"/>
      <c r="AA37" s="689"/>
      <c r="AB37" s="689"/>
      <c r="AC37" s="689"/>
    </row>
    <row r="38" spans="1:29" ht="15.75" thickBot="1">
      <c r="A38" s="437" t="s">
        <v>1844</v>
      </c>
      <c r="B38" s="438" t="str">
        <f>B37</f>
        <v>元/平方米</v>
      </c>
      <c r="C38" s="1159" t="e">
        <f>R39</f>
        <v>#DIV/0!</v>
      </c>
      <c r="D38" s="2313" t="s">
        <v>2137</v>
      </c>
      <c r="E38" s="1160" t="e">
        <f>R38</f>
        <v>#DIV/0!</v>
      </c>
      <c r="F38" s="2314"/>
      <c r="G38" s="1159" t="e">
        <f>T38</f>
        <v>#DIV/0!</v>
      </c>
      <c r="H38" s="2314"/>
      <c r="I38" s="1160" t="e">
        <f>V38</f>
        <v>#DIV/0!</v>
      </c>
      <c r="J38" s="2314"/>
      <c r="K38" s="2316">
        <f>F38+H38+J38</f>
        <v>0</v>
      </c>
      <c r="L38" s="2718"/>
      <c r="M38" s="2719"/>
      <c r="N38" s="2719"/>
      <c r="O38" s="2719"/>
      <c r="P38" s="3796" t="str">
        <f>A38</f>
        <v>比较价值（元/平方米）</v>
      </c>
      <c r="Q38" s="3796"/>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18"/>
      <c r="M39" s="2719"/>
      <c r="N39" s="2719"/>
      <c r="O39" s="2719"/>
      <c r="P39" s="3793" t="str">
        <f>A39</f>
        <v>估价对象XX用房的比较价值（楼面单价，元/平方米）</v>
      </c>
      <c r="Q39" s="3794"/>
      <c r="R39" s="3823" t="e">
        <f>IF(F1="售价",ROUND(IF(D38="简单平均",AVERAGE(R38:W38),R38*F38+T38*H38+V38*J38),0),ROUND(IF(D38="简单平均",AVERAGE(R38:V38),R38*F38+T38*H38+V38*J38),1))</f>
        <v>#DIV/0!</v>
      </c>
      <c r="S39" s="3823"/>
      <c r="T39" s="3823"/>
      <c r="U39" s="3823"/>
      <c r="V39" s="3823"/>
      <c r="W39" s="3823"/>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1849</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7" t="s">
        <v>1798</v>
      </c>
      <c r="D67" s="607" t="s">
        <v>1799</v>
      </c>
      <c r="E67" s="607" t="s">
        <v>1800</v>
      </c>
      <c r="F67" s="607" t="s">
        <v>1801</v>
      </c>
      <c r="G67" s="607" t="s">
        <v>1802</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3328</v>
      </c>
      <c r="C1" s="1222" t="s">
        <v>1661</v>
      </c>
      <c r="D1" s="1223"/>
      <c r="E1" s="3427"/>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79" t="s">
        <v>1769</v>
      </c>
      <c r="D4" s="3780"/>
      <c r="E4" s="3781" t="s">
        <v>1770</v>
      </c>
      <c r="F4" s="3782"/>
      <c r="G4" s="3779" t="s">
        <v>1771</v>
      </c>
      <c r="H4" s="3780"/>
      <c r="I4" s="3779" t="s">
        <v>1772</v>
      </c>
      <c r="J4" s="3780"/>
      <c r="K4" s="559" t="s">
        <v>1773</v>
      </c>
      <c r="L4" s="2709"/>
      <c r="M4" s="2710"/>
      <c r="N4" s="2710"/>
      <c r="O4" s="2710"/>
      <c r="P4" s="3783" t="s">
        <v>1774</v>
      </c>
      <c r="Q4" s="3784"/>
      <c r="R4" s="3766" t="s">
        <v>1770</v>
      </c>
      <c r="S4" s="3767"/>
      <c r="T4" s="3766" t="s">
        <v>1771</v>
      </c>
      <c r="U4" s="3767"/>
      <c r="V4" s="3791" t="s">
        <v>1772</v>
      </c>
      <c r="W4" s="3791"/>
      <c r="X4" s="1353"/>
      <c r="Y4" s="3766" t="s">
        <v>1774</v>
      </c>
      <c r="Z4" s="3767"/>
      <c r="AA4" s="3761" t="s">
        <v>1770</v>
      </c>
      <c r="AB4" s="3762" t="s">
        <v>1771</v>
      </c>
      <c r="AC4" s="3761" t="s">
        <v>1772</v>
      </c>
    </row>
    <row r="5" spans="1:29" ht="15">
      <c r="A5" s="358"/>
      <c r="B5" s="359"/>
      <c r="C5" s="3772" t="s">
        <v>1672</v>
      </c>
      <c r="D5" s="3773"/>
      <c r="E5" s="3770" t="s">
        <v>1673</v>
      </c>
      <c r="F5" s="3771"/>
      <c r="G5" s="3772" t="s">
        <v>1674</v>
      </c>
      <c r="H5" s="3773"/>
      <c r="I5" s="3772" t="s">
        <v>1675</v>
      </c>
      <c r="J5" s="3773"/>
      <c r="K5" s="559"/>
      <c r="L5" s="2709"/>
      <c r="M5" s="2710"/>
      <c r="N5" s="2710"/>
      <c r="O5" s="2710"/>
      <c r="P5" s="3785"/>
      <c r="Q5" s="3786"/>
      <c r="R5" s="3768"/>
      <c r="S5" s="3769"/>
      <c r="T5" s="3768"/>
      <c r="U5" s="3769"/>
      <c r="V5" s="3791"/>
      <c r="W5" s="3791"/>
      <c r="X5" s="1353"/>
      <c r="Y5" s="3768"/>
      <c r="Z5" s="3769"/>
      <c r="AA5" s="3762"/>
      <c r="AB5" s="3762"/>
      <c r="AC5" s="3762"/>
    </row>
    <row r="6" spans="1:29" ht="15.75" thickBot="1">
      <c r="A6" s="360"/>
      <c r="B6" s="361"/>
      <c r="C6" s="3774" t="s">
        <v>1676</v>
      </c>
      <c r="D6" s="3775"/>
      <c r="E6" s="3776" t="s">
        <v>1676</v>
      </c>
      <c r="F6" s="3777"/>
      <c r="G6" s="3774" t="s">
        <v>1676</v>
      </c>
      <c r="H6" s="3775"/>
      <c r="I6" s="3774" t="s">
        <v>1676</v>
      </c>
      <c r="J6" s="3775"/>
      <c r="K6" s="559" t="s">
        <v>1677</v>
      </c>
      <c r="L6" s="2709"/>
      <c r="M6" s="2710"/>
      <c r="N6" s="2710"/>
      <c r="O6" s="2710"/>
      <c r="P6" s="3787"/>
      <c r="Q6" s="3788"/>
      <c r="R6" s="3768"/>
      <c r="S6" s="3769"/>
      <c r="T6" s="3789"/>
      <c r="U6" s="3790"/>
      <c r="V6" s="3791"/>
      <c r="W6" s="3791"/>
      <c r="X6" s="1353"/>
      <c r="Y6" s="3789"/>
      <c r="Z6" s="3790"/>
      <c r="AA6" s="3763"/>
      <c r="AB6" s="3763"/>
      <c r="AC6" s="3763"/>
    </row>
    <row r="7" spans="1:29" s="108" customFormat="1" ht="15.75" thickBot="1">
      <c r="A7" s="362" t="s">
        <v>1678</v>
      </c>
      <c r="B7" s="363"/>
      <c r="C7" s="364">
        <f>'数据-取费表'!B2</f>
        <v>45163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64" t="s">
        <v>1679</v>
      </c>
      <c r="Q7" s="3792"/>
      <c r="R7" s="700" t="s">
        <v>14</v>
      </c>
      <c r="S7" s="701">
        <f t="shared" ref="S7:S14" si="0">F7</f>
        <v>0</v>
      </c>
      <c r="T7" s="700" t="s">
        <v>14</v>
      </c>
      <c r="U7" s="701">
        <f t="shared" ref="U7:U14" si="1">H7</f>
        <v>0</v>
      </c>
      <c r="V7" s="700" t="s">
        <v>14</v>
      </c>
      <c r="W7" s="701">
        <f t="shared" ref="W7:W14" si="2">J7</f>
        <v>0</v>
      </c>
      <c r="X7" s="702"/>
      <c r="Y7" s="3764" t="s">
        <v>1679</v>
      </c>
      <c r="Z7" s="3765"/>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64" t="s">
        <v>1682</v>
      </c>
      <c r="Q8" s="3765"/>
      <c r="R8" s="700" t="s">
        <v>14</v>
      </c>
      <c r="S8" s="701">
        <f t="shared" si="0"/>
        <v>100</v>
      </c>
      <c r="T8" s="700" t="s">
        <v>14</v>
      </c>
      <c r="U8" s="701">
        <f t="shared" si="1"/>
        <v>100</v>
      </c>
      <c r="V8" s="700" t="s">
        <v>14</v>
      </c>
      <c r="W8" s="701">
        <f t="shared" si="2"/>
        <v>100</v>
      </c>
      <c r="X8" s="702"/>
      <c r="Y8" s="3764" t="s">
        <v>1682</v>
      </c>
      <c r="Z8" s="3765"/>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96" t="s">
        <v>1685</v>
      </c>
      <c r="Q9" s="1341" t="str">
        <f t="shared" ref="Q9:Q14" si="6">B9</f>
        <v>用途</v>
      </c>
      <c r="R9" s="700" t="s">
        <v>14</v>
      </c>
      <c r="S9" s="701">
        <f t="shared" si="0"/>
        <v>100</v>
      </c>
      <c r="T9" s="700" t="s">
        <v>14</v>
      </c>
      <c r="U9" s="701">
        <f t="shared" si="1"/>
        <v>100</v>
      </c>
      <c r="V9" s="700" t="s">
        <v>14</v>
      </c>
      <c r="W9" s="701">
        <f t="shared" si="2"/>
        <v>100</v>
      </c>
      <c r="X9" s="702"/>
      <c r="Y9" s="3710" t="s">
        <v>1686</v>
      </c>
      <c r="Z9" s="52" t="str">
        <f t="shared" ref="Z9:Z14" si="7">Q9</f>
        <v>用途</v>
      </c>
      <c r="AA9" s="703">
        <f t="shared" si="3"/>
        <v>1</v>
      </c>
      <c r="AB9" s="703">
        <f t="shared" si="4"/>
        <v>1</v>
      </c>
      <c r="AC9" s="703">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96"/>
      <c r="Q10" s="1341"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96"/>
      <c r="Q11" s="1341">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96"/>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96"/>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91" t="s">
        <v>1689</v>
      </c>
      <c r="B14" s="61" t="s">
        <v>1832</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98" t="s">
        <v>1690</v>
      </c>
      <c r="Q14" s="1350" t="str">
        <f t="shared" si="6"/>
        <v>交通便捷度</v>
      </c>
      <c r="R14" s="704" t="s">
        <v>14</v>
      </c>
      <c r="S14" s="705">
        <f t="shared" si="0"/>
        <v>100</v>
      </c>
      <c r="T14" s="704" t="s">
        <v>14</v>
      </c>
      <c r="U14" s="705">
        <f t="shared" si="1"/>
        <v>100</v>
      </c>
      <c r="V14" s="704" t="s">
        <v>14</v>
      </c>
      <c r="W14" s="705">
        <f t="shared" si="2"/>
        <v>100</v>
      </c>
      <c r="X14" s="1353"/>
      <c r="Y14" s="3798"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99"/>
      <c r="Q15" s="1350"/>
      <c r="R15" s="704"/>
      <c r="S15" s="705"/>
      <c r="T15" s="704"/>
      <c r="U15" s="705"/>
      <c r="V15" s="704"/>
      <c r="W15" s="705"/>
      <c r="X15" s="1353"/>
      <c r="Y15" s="3799"/>
      <c r="Z15" s="1354"/>
      <c r="AA15" s="1351">
        <v>1</v>
      </c>
      <c r="AB15" s="1351">
        <v>1</v>
      </c>
      <c r="AC15" s="1351">
        <v>1</v>
      </c>
    </row>
    <row r="16" spans="1:29" ht="15">
      <c r="A16" s="379"/>
      <c r="B16" s="402" t="s">
        <v>1811</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99"/>
      <c r="Q16" s="1350" t="str">
        <f>B16</f>
        <v>公共配套设施</v>
      </c>
      <c r="R16" s="704" t="s">
        <v>14</v>
      </c>
      <c r="S16" s="705">
        <f>F16</f>
        <v>100</v>
      </c>
      <c r="T16" s="704" t="s">
        <v>14</v>
      </c>
      <c r="U16" s="705">
        <f>H16</f>
        <v>100</v>
      </c>
      <c r="V16" s="704" t="s">
        <v>14</v>
      </c>
      <c r="W16" s="705">
        <f>J16</f>
        <v>100</v>
      </c>
      <c r="X16" s="1353"/>
      <c r="Y16" s="379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99"/>
      <c r="Q17" s="1350"/>
      <c r="R17" s="704"/>
      <c r="S17" s="705"/>
      <c r="T17" s="704"/>
      <c r="U17" s="705"/>
      <c r="V17" s="704"/>
      <c r="W17" s="705"/>
      <c r="X17" s="1353"/>
      <c r="Y17" s="3799"/>
      <c r="Z17" s="1354"/>
      <c r="AA17" s="1351">
        <v>1</v>
      </c>
      <c r="AB17" s="1351">
        <v>1</v>
      </c>
      <c r="AC17" s="1351">
        <v>1</v>
      </c>
    </row>
    <row r="18" spans="1:29" ht="15">
      <c r="A18" s="379"/>
      <c r="B18" s="1130" t="s">
        <v>1812</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99"/>
      <c r="Q18" s="1350" t="str">
        <f>B18</f>
        <v>基础设施水平</v>
      </c>
      <c r="R18" s="704" t="s">
        <v>14</v>
      </c>
      <c r="S18" s="705">
        <f>F18</f>
        <v>100</v>
      </c>
      <c r="T18" s="704" t="s">
        <v>14</v>
      </c>
      <c r="U18" s="705">
        <f>H18</f>
        <v>100</v>
      </c>
      <c r="V18" s="704" t="s">
        <v>14</v>
      </c>
      <c r="W18" s="705">
        <f>J18</f>
        <v>100</v>
      </c>
      <c r="X18" s="1353"/>
      <c r="Y18" s="379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99"/>
      <c r="Q19" s="1350"/>
      <c r="R19" s="704"/>
      <c r="S19" s="705"/>
      <c r="T19" s="704"/>
      <c r="U19" s="705"/>
      <c r="V19" s="704"/>
      <c r="W19" s="705"/>
      <c r="X19" s="1353"/>
      <c r="Y19" s="3799"/>
      <c r="Z19" s="1354"/>
      <c r="AA19" s="1351">
        <v>1</v>
      </c>
      <c r="AB19" s="1351">
        <v>1</v>
      </c>
      <c r="AC19" s="1351">
        <v>1</v>
      </c>
    </row>
    <row r="20" spans="1:29" ht="15">
      <c r="A20" s="379"/>
      <c r="B20" s="402" t="s">
        <v>1833</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99"/>
      <c r="Q20" s="1350" t="str">
        <f>B20</f>
        <v>自然及人文环境</v>
      </c>
      <c r="R20" s="704" t="s">
        <v>14</v>
      </c>
      <c r="S20" s="705">
        <f>F20</f>
        <v>100</v>
      </c>
      <c r="T20" s="704" t="s">
        <v>14</v>
      </c>
      <c r="U20" s="705">
        <f>H20</f>
        <v>100</v>
      </c>
      <c r="V20" s="704" t="s">
        <v>14</v>
      </c>
      <c r="W20" s="705">
        <f>J20</f>
        <v>100</v>
      </c>
      <c r="X20" s="1353"/>
      <c r="Y20" s="379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99"/>
      <c r="Q21" s="1350"/>
      <c r="R21" s="704"/>
      <c r="S21" s="705"/>
      <c r="T21" s="704"/>
      <c r="U21" s="705"/>
      <c r="V21" s="704"/>
      <c r="W21" s="705"/>
      <c r="X21" s="1353"/>
      <c r="Y21" s="3799"/>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99"/>
      <c r="Q22" s="1350" t="str">
        <f>B22</f>
        <v>楼层</v>
      </c>
      <c r="R22" s="704" t="s">
        <v>14</v>
      </c>
      <c r="S22" s="705">
        <f>F22</f>
        <v>100</v>
      </c>
      <c r="T22" s="704" t="s">
        <v>14</v>
      </c>
      <c r="U22" s="705">
        <f>H22</f>
        <v>100</v>
      </c>
      <c r="V22" s="704" t="s">
        <v>14</v>
      </c>
      <c r="W22" s="705">
        <f>J22</f>
        <v>100</v>
      </c>
      <c r="X22" s="1353"/>
      <c r="Y22" s="379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99"/>
      <c r="Q23" s="1350">
        <f>B23</f>
        <v>111</v>
      </c>
      <c r="R23" s="704" t="s">
        <v>14</v>
      </c>
      <c r="S23" s="705">
        <f>F23</f>
        <v>100</v>
      </c>
      <c r="T23" s="704" t="s">
        <v>14</v>
      </c>
      <c r="U23" s="705">
        <f>H23</f>
        <v>100</v>
      </c>
      <c r="V23" s="704" t="s">
        <v>14</v>
      </c>
      <c r="W23" s="705">
        <f>J23</f>
        <v>100</v>
      </c>
      <c r="X23" s="1353"/>
      <c r="Y23" s="379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99"/>
      <c r="Q24" s="1350">
        <f t="shared" ref="Q24:Q34" si="11">B24</f>
        <v>111</v>
      </c>
      <c r="R24" s="704" t="s">
        <v>14</v>
      </c>
      <c r="S24" s="705">
        <f>F24</f>
        <v>100</v>
      </c>
      <c r="T24" s="704" t="s">
        <v>14</v>
      </c>
      <c r="U24" s="705">
        <f>H24</f>
        <v>100</v>
      </c>
      <c r="V24" s="704" t="s">
        <v>14</v>
      </c>
      <c r="W24" s="705">
        <f>J24</f>
        <v>100</v>
      </c>
      <c r="X24" s="1353"/>
      <c r="Y24" s="3799"/>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1"/>
      <c r="M25" s="2712"/>
      <c r="N25" s="2712"/>
      <c r="O25" s="2766"/>
      <c r="P25" s="3799"/>
      <c r="Q25" s="1341">
        <f t="shared" si="11"/>
        <v>111</v>
      </c>
      <c r="R25" s="700" t="s">
        <v>14</v>
      </c>
      <c r="S25" s="701">
        <f>F25</f>
        <v>100</v>
      </c>
      <c r="T25" s="700" t="s">
        <v>14</v>
      </c>
      <c r="U25" s="701">
        <f>H25</f>
        <v>100</v>
      </c>
      <c r="V25" s="700" t="s">
        <v>14</v>
      </c>
      <c r="W25" s="701">
        <f>J25</f>
        <v>100</v>
      </c>
      <c r="X25" s="702"/>
      <c r="Y25" s="3799"/>
      <c r="Z25" s="52">
        <f>Q25</f>
        <v>111</v>
      </c>
      <c r="AA25" s="1351">
        <f>D25/F25</f>
        <v>1</v>
      </c>
      <c r="AB25" s="1351">
        <f>D25/H25</f>
        <v>1</v>
      </c>
      <c r="AC25" s="1351">
        <f>D25/J25</f>
        <v>1</v>
      </c>
    </row>
    <row r="26" spans="1:29" ht="28.5">
      <c r="A26" s="417" t="s">
        <v>1693</v>
      </c>
      <c r="B26" s="63" t="s">
        <v>1837</v>
      </c>
      <c r="C26" s="1963"/>
      <c r="D26" s="418">
        <v>100</v>
      </c>
      <c r="E26" s="1963"/>
      <c r="F26" s="614">
        <f>SUMIF(77:77,E26,78:78)-SUMIF(77:77,C26,78:78)+100</f>
        <v>100</v>
      </c>
      <c r="G26" s="1963"/>
      <c r="H26" s="418">
        <f>SUMIF(77:77,G26,78:78)-SUMIF(77:77,C26,78:78)+100</f>
        <v>100</v>
      </c>
      <c r="I26" s="1963"/>
      <c r="J26" s="418">
        <f>SUMIF(77:77,I26,78:78)-SUMIF(77:77,C26,78:78)+100</f>
        <v>100</v>
      </c>
      <c r="K26" s="561"/>
      <c r="L26" s="2716"/>
      <c r="M26" s="2710"/>
      <c r="N26" s="2710"/>
      <c r="O26" s="2768"/>
      <c r="P26" s="3822"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03"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03"/>
      <c r="Q27" s="706" t="str">
        <f t="shared" si="11"/>
        <v>成新率</v>
      </c>
      <c r="R27" s="707" t="s">
        <v>14</v>
      </c>
      <c r="S27" s="708" t="e">
        <f t="shared" si="12"/>
        <v>#N/A</v>
      </c>
      <c r="T27" s="707" t="s">
        <v>14</v>
      </c>
      <c r="U27" s="708" t="e">
        <f t="shared" si="13"/>
        <v>#N/A</v>
      </c>
      <c r="V27" s="707" t="s">
        <v>14</v>
      </c>
      <c r="W27" s="708" t="e">
        <f t="shared" si="14"/>
        <v>#N/A</v>
      </c>
      <c r="X27" s="709"/>
      <c r="Y27" s="3803"/>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03"/>
      <c r="Q28" s="1350" t="str">
        <f t="shared" si="11"/>
        <v>物业等级</v>
      </c>
      <c r="R28" s="704" t="s">
        <v>14</v>
      </c>
      <c r="S28" s="705">
        <f t="shared" si="12"/>
        <v>100</v>
      </c>
      <c r="T28" s="704" t="s">
        <v>14</v>
      </c>
      <c r="U28" s="705">
        <f t="shared" si="13"/>
        <v>100</v>
      </c>
      <c r="V28" s="704" t="s">
        <v>14</v>
      </c>
      <c r="W28" s="705">
        <f t="shared" si="14"/>
        <v>100</v>
      </c>
      <c r="X28" s="1353"/>
      <c r="Y28" s="3803"/>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803"/>
      <c r="Q29" s="1350" t="str">
        <f t="shared" si="11"/>
        <v>有无电梯</v>
      </c>
      <c r="R29" s="704" t="s">
        <v>14</v>
      </c>
      <c r="S29" s="705">
        <f t="shared" si="12"/>
        <v>100</v>
      </c>
      <c r="T29" s="704" t="s">
        <v>14</v>
      </c>
      <c r="U29" s="705">
        <f t="shared" si="13"/>
        <v>100</v>
      </c>
      <c r="V29" s="704" t="s">
        <v>14</v>
      </c>
      <c r="W29" s="705">
        <f t="shared" si="14"/>
        <v>100</v>
      </c>
      <c r="X29" s="1353"/>
      <c r="Y29" s="3803"/>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03"/>
      <c r="Q30" s="1350" t="str">
        <f t="shared" si="11"/>
        <v>建筑面积</v>
      </c>
      <c r="R30" s="704" t="s">
        <v>14</v>
      </c>
      <c r="S30" s="705" t="e">
        <f t="shared" si="12"/>
        <v>#N/A</v>
      </c>
      <c r="T30" s="704" t="s">
        <v>14</v>
      </c>
      <c r="U30" s="705" t="e">
        <f t="shared" si="13"/>
        <v>#N/A</v>
      </c>
      <c r="V30" s="704" t="s">
        <v>14</v>
      </c>
      <c r="W30" s="705" t="e">
        <f t="shared" si="14"/>
        <v>#N/A</v>
      </c>
      <c r="X30" s="1353"/>
      <c r="Y30" s="3803"/>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803"/>
      <c r="Q31" s="1341" t="str">
        <f t="shared" si="11"/>
        <v>是否封闭</v>
      </c>
      <c r="R31" s="700" t="s">
        <v>14</v>
      </c>
      <c r="S31" s="701">
        <f t="shared" si="12"/>
        <v>100</v>
      </c>
      <c r="T31" s="700" t="s">
        <v>14</v>
      </c>
      <c r="U31" s="701">
        <f t="shared" si="13"/>
        <v>100</v>
      </c>
      <c r="V31" s="700" t="s">
        <v>14</v>
      </c>
      <c r="W31" s="701">
        <f t="shared" si="14"/>
        <v>100</v>
      </c>
      <c r="X31" s="702"/>
      <c r="Y31" s="380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03" t="s">
        <v>1695</v>
      </c>
      <c r="Q32" s="1350">
        <f t="shared" si="11"/>
        <v>111</v>
      </c>
      <c r="R32" s="704" t="s">
        <v>14</v>
      </c>
      <c r="S32" s="705">
        <f t="shared" si="12"/>
        <v>100</v>
      </c>
      <c r="T32" s="704" t="s">
        <v>14</v>
      </c>
      <c r="U32" s="705">
        <f t="shared" si="13"/>
        <v>100</v>
      </c>
      <c r="V32" s="704" t="s">
        <v>14</v>
      </c>
      <c r="W32" s="705">
        <f t="shared" si="14"/>
        <v>100</v>
      </c>
      <c r="X32" s="1353"/>
      <c r="Y32" s="3803"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03"/>
      <c r="Q33" s="1350">
        <f t="shared" si="11"/>
        <v>111</v>
      </c>
      <c r="R33" s="704" t="s">
        <v>14</v>
      </c>
      <c r="S33" s="705">
        <f t="shared" si="12"/>
        <v>100</v>
      </c>
      <c r="T33" s="704" t="s">
        <v>14</v>
      </c>
      <c r="U33" s="705">
        <f t="shared" si="13"/>
        <v>100</v>
      </c>
      <c r="V33" s="704" t="s">
        <v>14</v>
      </c>
      <c r="W33" s="705">
        <f t="shared" si="14"/>
        <v>100</v>
      </c>
      <c r="X33" s="1353"/>
      <c r="Y33" s="3803"/>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803"/>
      <c r="Q34" s="1350">
        <f t="shared" si="11"/>
        <v>111</v>
      </c>
      <c r="R34" s="704" t="s">
        <v>14</v>
      </c>
      <c r="S34" s="705">
        <f t="shared" si="12"/>
        <v>100</v>
      </c>
      <c r="T34" s="704" t="s">
        <v>14</v>
      </c>
      <c r="U34" s="705">
        <f t="shared" si="13"/>
        <v>100</v>
      </c>
      <c r="V34" s="704" t="s">
        <v>14</v>
      </c>
      <c r="W34" s="705">
        <f t="shared" si="14"/>
        <v>100</v>
      </c>
      <c r="X34" s="1353"/>
      <c r="Y34" s="3803"/>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18"/>
      <c r="M35" s="2719"/>
      <c r="N35" s="2710"/>
      <c r="O35" s="2719"/>
      <c r="P35" s="3796" t="str">
        <f>A35</f>
        <v>成交单价（元/平方米）</v>
      </c>
      <c r="Q35" s="3796"/>
      <c r="R35" s="3797">
        <f>E35</f>
        <v>0</v>
      </c>
      <c r="S35" s="3797"/>
      <c r="T35" s="3797">
        <f>G35</f>
        <v>0</v>
      </c>
      <c r="U35" s="3797"/>
      <c r="V35" s="3797">
        <f>I35</f>
        <v>0</v>
      </c>
      <c r="W35" s="3797"/>
      <c r="X35" s="689"/>
      <c r="Y35" s="711"/>
      <c r="Z35" s="689"/>
      <c r="AA35" s="689"/>
      <c r="AB35" s="689"/>
      <c r="AC35" s="689"/>
    </row>
    <row r="36" spans="1:30" ht="15.75" thickBot="1">
      <c r="A36" s="437" t="s">
        <v>1792</v>
      </c>
      <c r="B36" s="438"/>
      <c r="C36" s="1159" t="e">
        <f>R37</f>
        <v>#DIV/0!</v>
      </c>
      <c r="D36" s="2313" t="s">
        <v>2137</v>
      </c>
      <c r="E36" s="1160" t="e">
        <f>R36</f>
        <v>#DIV/0!</v>
      </c>
      <c r="F36" s="2314"/>
      <c r="G36" s="1159" t="e">
        <f>T36</f>
        <v>#DIV/0!</v>
      </c>
      <c r="H36" s="2314"/>
      <c r="I36" s="1160" t="e">
        <f>V36</f>
        <v>#DIV/0!</v>
      </c>
      <c r="J36" s="2314"/>
      <c r="K36" s="2316">
        <f>F36+H36+J36</f>
        <v>0</v>
      </c>
      <c r="L36" s="2718"/>
      <c r="M36" s="2719"/>
      <c r="N36" s="2710"/>
      <c r="O36" s="2719"/>
      <c r="P36" s="3796" t="str">
        <f>A36</f>
        <v>比较价值（元/平方米）</v>
      </c>
      <c r="Q36" s="3796"/>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18"/>
      <c r="M37" s="2719"/>
      <c r="N37" s="2719"/>
      <c r="O37" s="2719"/>
      <c r="P37" s="3793" t="str">
        <f>A37</f>
        <v>估价对象XX用房的比较价值（楼面单价，元/平方米）</v>
      </c>
      <c r="Q37" s="3794"/>
      <c r="R37" s="3823" t="e">
        <f>IF(F1="售价",ROUND(IF(D36="简单平均",AVERAGE(R36:W36),R36*F36+T36*H36+V36*J36),0),ROUND(IF(D36="简单平均",AVERAGE(R36:V36),R36*F36+T36*H36+V36*J36),1))</f>
        <v>#DIV/0!</v>
      </c>
      <c r="S37" s="3823"/>
      <c r="T37" s="3823"/>
      <c r="U37" s="3823"/>
      <c r="V37" s="3823"/>
      <c r="W37" s="3823"/>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1797</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7" t="s">
        <v>1798</v>
      </c>
      <c r="D65" s="607" t="s">
        <v>1799</v>
      </c>
      <c r="E65" s="607" t="s">
        <v>1800</v>
      </c>
      <c r="F65" s="607" t="s">
        <v>1801</v>
      </c>
      <c r="G65" s="607" t="s">
        <v>1802</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8" zoomScale="80" zoomScaleNormal="60" zoomScaleSheetLayoutView="80" workbookViewId="0">
      <selection activeCell="I47" sqref="I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42373</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16460</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1768</v>
      </c>
      <c r="B4" s="356"/>
      <c r="C4" s="3779" t="s">
        <v>1769</v>
      </c>
      <c r="D4" s="3780"/>
      <c r="E4" s="3781" t="s">
        <v>1770</v>
      </c>
      <c r="F4" s="3782"/>
      <c r="G4" s="3779" t="s">
        <v>1771</v>
      </c>
      <c r="H4" s="3780"/>
      <c r="I4" s="3779" t="s">
        <v>1772</v>
      </c>
      <c r="J4" s="3780"/>
      <c r="K4" s="559" t="s">
        <v>1773</v>
      </c>
      <c r="L4" s="2709"/>
      <c r="M4" s="2710"/>
      <c r="N4" s="2710"/>
      <c r="O4" s="2710"/>
      <c r="P4" s="3783" t="s">
        <v>1774</v>
      </c>
      <c r="Q4" s="3784"/>
      <c r="R4" s="3766" t="s">
        <v>1770</v>
      </c>
      <c r="S4" s="3767"/>
      <c r="T4" s="3766" t="s">
        <v>1771</v>
      </c>
      <c r="U4" s="3767"/>
      <c r="V4" s="3791" t="s">
        <v>1772</v>
      </c>
      <c r="W4" s="3791"/>
      <c r="X4" s="1353"/>
      <c r="Y4" s="3766" t="s">
        <v>1774</v>
      </c>
      <c r="Z4" s="3767"/>
      <c r="AA4" s="3761" t="s">
        <v>1770</v>
      </c>
      <c r="AB4" s="3762" t="s">
        <v>1771</v>
      </c>
      <c r="AC4" s="3761" t="s">
        <v>1772</v>
      </c>
    </row>
    <row r="5" spans="1:30" ht="56.25" customHeight="1">
      <c r="A5" s="358"/>
      <c r="B5" s="359"/>
      <c r="C5" s="3772" t="s">
        <v>1672</v>
      </c>
      <c r="D5" s="3773"/>
      <c r="E5" s="3824" t="str">
        <f>土地案例!A2</f>
        <v>北京市海淀区西北旺镇永丰产业基地(新)HD00-0403-004地块F3其他类多功能用地</v>
      </c>
      <c r="F5" s="3825"/>
      <c r="G5" s="3824" t="str">
        <f>土地案例!A3</f>
        <v>北京市海淀区西北旺镇永丰产业基地(新)HD00-0403-009地块F3其他类多功能用地</v>
      </c>
      <c r="H5" s="3825"/>
      <c r="I5" s="3824" t="str">
        <f>土地案例!A4</f>
        <v>北京市丰台区丽泽金融商务区D-01地块B4综合性商业金融服务业用地</v>
      </c>
      <c r="J5" s="3825"/>
      <c r="K5" s="559"/>
      <c r="L5" s="2709"/>
      <c r="M5" s="2710"/>
      <c r="N5" s="2710"/>
      <c r="O5" s="2710"/>
      <c r="P5" s="3785"/>
      <c r="Q5" s="3786"/>
      <c r="R5" s="3768"/>
      <c r="S5" s="3769"/>
      <c r="T5" s="3768"/>
      <c r="U5" s="3769"/>
      <c r="V5" s="3791"/>
      <c r="W5" s="3791"/>
      <c r="X5" s="1353"/>
      <c r="Y5" s="3768"/>
      <c r="Z5" s="3769"/>
      <c r="AA5" s="3762"/>
      <c r="AB5" s="3762"/>
      <c r="AC5" s="3762"/>
    </row>
    <row r="6" spans="1:30" ht="15.75" thickBot="1">
      <c r="A6" s="360"/>
      <c r="B6" s="361"/>
      <c r="C6" s="3774" t="s">
        <v>1676</v>
      </c>
      <c r="D6" s="3775"/>
      <c r="E6" s="3776" t="s">
        <v>1676</v>
      </c>
      <c r="F6" s="3777"/>
      <c r="G6" s="3774" t="s">
        <v>1676</v>
      </c>
      <c r="H6" s="3775"/>
      <c r="I6" s="3774" t="s">
        <v>1676</v>
      </c>
      <c r="J6" s="3775"/>
      <c r="K6" s="559" t="s">
        <v>1677</v>
      </c>
      <c r="L6" s="2709"/>
      <c r="M6" s="2710"/>
      <c r="N6" s="2710"/>
      <c r="O6" s="2710"/>
      <c r="P6" s="3787"/>
      <c r="Q6" s="3788"/>
      <c r="R6" s="3768"/>
      <c r="S6" s="3769"/>
      <c r="T6" s="3789"/>
      <c r="U6" s="3790"/>
      <c r="V6" s="3791"/>
      <c r="W6" s="3791"/>
      <c r="X6" s="1353"/>
      <c r="Y6" s="3789"/>
      <c r="Z6" s="3790"/>
      <c r="AA6" s="3763"/>
      <c r="AB6" s="3763"/>
      <c r="AC6" s="3763"/>
    </row>
    <row r="7" spans="1:30" s="108" customFormat="1" ht="15.75" thickBot="1">
      <c r="A7" s="362" t="s">
        <v>1678</v>
      </c>
      <c r="B7" s="363"/>
      <c r="C7" s="364">
        <f>'数据-取费表'!B2</f>
        <v>45163</v>
      </c>
      <c r="D7" s="365">
        <v>100</v>
      </c>
      <c r="E7" s="366">
        <f>土地案例!AC2</f>
        <v>45141.000497685185</v>
      </c>
      <c r="F7" s="367">
        <f>SUMIF(69:69,YEAR(E7)&amp;"-"&amp;INT((MONTH(E7)+2)/3),70:70)</f>
        <v>100</v>
      </c>
      <c r="G7" s="1970">
        <f>土地案例!AC3</f>
        <v>44865.000497685185</v>
      </c>
      <c r="H7" s="365">
        <f>SUMIF(69:69,YEAR(G7)&amp;"-"&amp;INT((MONTH(G7)+2)/3),70:70)</f>
        <v>98.5</v>
      </c>
      <c r="I7" s="1970">
        <f>土地案例!AC4</f>
        <v>44798.000497685185</v>
      </c>
      <c r="J7" s="365">
        <f>SUMIF(69:69,YEAR(I7)&amp;"-"&amp;INT((MONTH(I7)+2)/3),70:70)</f>
        <v>98</v>
      </c>
      <c r="K7" s="560"/>
      <c r="L7" s="2711"/>
      <c r="M7" s="2712"/>
      <c r="N7" s="2712"/>
      <c r="O7" s="2712"/>
      <c r="P7" s="3764" t="s">
        <v>1679</v>
      </c>
      <c r="Q7" s="3792"/>
      <c r="R7" s="700" t="s">
        <v>14</v>
      </c>
      <c r="S7" s="701">
        <f t="shared" ref="S7:S15" si="0">F7</f>
        <v>100</v>
      </c>
      <c r="T7" s="700" t="s">
        <v>14</v>
      </c>
      <c r="U7" s="701">
        <f t="shared" ref="U7:U15" si="1">H7</f>
        <v>98.5</v>
      </c>
      <c r="V7" s="700" t="s">
        <v>14</v>
      </c>
      <c r="W7" s="701">
        <f t="shared" ref="W7:W15" si="2">J7</f>
        <v>98</v>
      </c>
      <c r="X7" s="702"/>
      <c r="Y7" s="3764" t="s">
        <v>1679</v>
      </c>
      <c r="Z7" s="3765"/>
      <c r="AA7" s="703">
        <f>D7/F7</f>
        <v>1</v>
      </c>
      <c r="AB7" s="703">
        <f>D7/H7</f>
        <v>1.015228426395939</v>
      </c>
      <c r="AC7" s="703">
        <f>D7/J7</f>
        <v>1.0204081632653061</v>
      </c>
    </row>
    <row r="8" spans="1:30" s="108" customFormat="1" ht="15.75" thickBot="1">
      <c r="A8" s="362" t="s">
        <v>1680</v>
      </c>
      <c r="B8" s="363"/>
      <c r="C8" s="368" t="s">
        <v>1681</v>
      </c>
      <c r="D8" s="365">
        <v>100</v>
      </c>
      <c r="E8" s="368" t="s">
        <v>3399</v>
      </c>
      <c r="F8" s="367">
        <f>SUMIF(72:72,E8,73:73)-SUMIF(72:72,C8,73:73)+100</f>
        <v>100</v>
      </c>
      <c r="G8" s="368" t="s">
        <v>3399</v>
      </c>
      <c r="H8" s="365">
        <f>SUMIF(72:72,G8,73:73)-SUMIF(72:72,C8,73:73)+100</f>
        <v>100</v>
      </c>
      <c r="I8" s="368" t="s">
        <v>3399</v>
      </c>
      <c r="J8" s="365">
        <f>SUMIF(72:72,I8,73:73)-SUMIF(72:72,C8,73:73)+100</f>
        <v>100</v>
      </c>
      <c r="K8" s="560"/>
      <c r="L8" s="2711"/>
      <c r="M8" s="2712"/>
      <c r="N8" s="2712"/>
      <c r="O8" s="2712"/>
      <c r="P8" s="3764" t="s">
        <v>1682</v>
      </c>
      <c r="Q8" s="3765"/>
      <c r="R8" s="700" t="s">
        <v>14</v>
      </c>
      <c r="S8" s="701">
        <f t="shared" si="0"/>
        <v>100</v>
      </c>
      <c r="T8" s="700" t="s">
        <v>14</v>
      </c>
      <c r="U8" s="701">
        <f t="shared" si="1"/>
        <v>100</v>
      </c>
      <c r="V8" s="700" t="s">
        <v>14</v>
      </c>
      <c r="W8" s="701">
        <f t="shared" si="2"/>
        <v>100</v>
      </c>
      <c r="X8" s="702"/>
      <c r="Y8" s="3764" t="s">
        <v>1682</v>
      </c>
      <c r="Z8" s="3765"/>
      <c r="AA8" s="703">
        <f t="shared" ref="AA8:AA45" si="3">D8/F8</f>
        <v>1</v>
      </c>
      <c r="AB8" s="703">
        <f t="shared" ref="AB8:AB45" si="4">D8/H8</f>
        <v>1</v>
      </c>
      <c r="AC8" s="703">
        <f t="shared" ref="AC8:AC45" si="5">D8/J8</f>
        <v>1</v>
      </c>
    </row>
    <row r="9" spans="1:30" s="108" customFormat="1" ht="28.5">
      <c r="A9" s="369" t="s">
        <v>1683</v>
      </c>
      <c r="B9" s="63" t="s">
        <v>1684</v>
      </c>
      <c r="C9" s="1973" t="s">
        <v>3530</v>
      </c>
      <c r="D9" s="126">
        <v>100</v>
      </c>
      <c r="E9" s="1973" t="s">
        <v>3525</v>
      </c>
      <c r="F9" s="126">
        <f>SUMIF(74:74,E9,75:75)-SUMIF(74:74,C9,75:75)+100</f>
        <v>98</v>
      </c>
      <c r="G9" s="1973" t="s">
        <v>3525</v>
      </c>
      <c r="H9" s="126">
        <f>SUMIF(74:74,G9,75:75)-SUMIF(74:74,C9,75:75)+100</f>
        <v>98</v>
      </c>
      <c r="I9" s="1973" t="s">
        <v>3530</v>
      </c>
      <c r="J9" s="126">
        <f>SUMIF(74:74,I9,75:75)-SUMIF(74:74,C9,75:75)+100</f>
        <v>100</v>
      </c>
      <c r="K9" s="560"/>
      <c r="L9" s="2711"/>
      <c r="M9" s="2712"/>
      <c r="N9" s="2712"/>
      <c r="O9" s="2766"/>
      <c r="P9" s="3796" t="s">
        <v>1685</v>
      </c>
      <c r="Q9" s="1341" t="str">
        <f t="shared" ref="Q9:Q15" si="6">B9</f>
        <v>用途</v>
      </c>
      <c r="R9" s="700" t="s">
        <v>14</v>
      </c>
      <c r="S9" s="701">
        <f t="shared" si="0"/>
        <v>98</v>
      </c>
      <c r="T9" s="700" t="s">
        <v>14</v>
      </c>
      <c r="U9" s="701">
        <f t="shared" si="1"/>
        <v>98</v>
      </c>
      <c r="V9" s="700" t="s">
        <v>14</v>
      </c>
      <c r="W9" s="701">
        <f t="shared" si="2"/>
        <v>100</v>
      </c>
      <c r="X9" s="702"/>
      <c r="Y9" s="3710" t="s">
        <v>1686</v>
      </c>
      <c r="Z9" s="52" t="str">
        <f t="shared" ref="Z9:Z15" si="7">Q9</f>
        <v>用途</v>
      </c>
      <c r="AA9" s="703">
        <f t="shared" si="3"/>
        <v>1.0204081632653061</v>
      </c>
      <c r="AB9" s="703">
        <f t="shared" si="4"/>
        <v>1.0204081632653061</v>
      </c>
      <c r="AC9" s="703">
        <f t="shared" si="5"/>
        <v>1</v>
      </c>
    </row>
    <row r="10" spans="1:30" s="378" customFormat="1" ht="27">
      <c r="A10" s="374"/>
      <c r="B10" s="375" t="s">
        <v>1687</v>
      </c>
      <c r="C10" s="383">
        <f>'数据-取费表'!F6</f>
        <v>25.7</v>
      </c>
      <c r="D10" s="127">
        <v>100</v>
      </c>
      <c r="E10" s="416" t="s">
        <v>3526</v>
      </c>
      <c r="F10" s="127">
        <f>ROUND(100/'数据-取费表'!G16,0)</f>
        <v>119</v>
      </c>
      <c r="G10" s="414" t="s">
        <v>3917</v>
      </c>
      <c r="H10" s="127">
        <f>ROUND(100/'数据-取费表'!G16,0)</f>
        <v>119</v>
      </c>
      <c r="I10" s="414" t="s">
        <v>3531</v>
      </c>
      <c r="J10" s="127">
        <f>ROUND(100/'数据-取费表'!G16,0)</f>
        <v>119</v>
      </c>
      <c r="K10" s="619"/>
      <c r="L10" s="2713"/>
      <c r="M10" s="2714"/>
      <c r="N10" s="2714"/>
      <c r="O10" s="2767"/>
      <c r="P10" s="3796"/>
      <c r="Q10" s="1341" t="str">
        <f t="shared" si="6"/>
        <v>土地使用年限（年）</v>
      </c>
      <c r="R10" s="700" t="s">
        <v>14</v>
      </c>
      <c r="S10" s="701">
        <f t="shared" si="0"/>
        <v>119</v>
      </c>
      <c r="T10" s="700" t="s">
        <v>14</v>
      </c>
      <c r="U10" s="701">
        <f t="shared" si="1"/>
        <v>119</v>
      </c>
      <c r="V10" s="700" t="s">
        <v>14</v>
      </c>
      <c r="W10" s="701">
        <f t="shared" si="2"/>
        <v>119</v>
      </c>
      <c r="X10" s="702"/>
      <c r="Y10" s="3710"/>
      <c r="Z10" s="52" t="str">
        <f t="shared" si="7"/>
        <v>土地使用年限（年）</v>
      </c>
      <c r="AA10" s="703">
        <f t="shared" si="3"/>
        <v>0.84033613445378152</v>
      </c>
      <c r="AB10" s="703">
        <f t="shared" si="4"/>
        <v>0.84033613445378152</v>
      </c>
      <c r="AC10" s="703">
        <f t="shared" si="5"/>
        <v>0.84033613445378152</v>
      </c>
    </row>
    <row r="11" spans="1:30" ht="15">
      <c r="A11" s="379"/>
      <c r="B11" s="375" t="s">
        <v>1688</v>
      </c>
      <c r="C11" s="380">
        <f>'数据-汇总表'!I3</f>
        <v>0.98</v>
      </c>
      <c r="D11" s="127">
        <v>100</v>
      </c>
      <c r="E11" s="380">
        <f>土地案例!K2</f>
        <v>2.2000000000000002</v>
      </c>
      <c r="F11" s="127">
        <f>LOOKUP(E11,79:79,80:80)-LOOKUP(C11,79:79,80:80)+100</f>
        <v>98</v>
      </c>
      <c r="G11" s="381">
        <f>土地案例!K3</f>
        <v>2.2000000000000002</v>
      </c>
      <c r="H11" s="127">
        <f>LOOKUP(G11,79:79,80:80)-LOOKUP(C11,79:79,80:80)+100</f>
        <v>98</v>
      </c>
      <c r="I11" s="380">
        <f>土地案例!K4</f>
        <v>6.33</v>
      </c>
      <c r="J11" s="127">
        <f>LOOKUP(I11,79:79,80:80)-LOOKUP(C11,79:79,80:80)+100</f>
        <v>94</v>
      </c>
      <c r="K11" s="620">
        <v>1</v>
      </c>
      <c r="L11" s="2715"/>
      <c r="M11" s="2710"/>
      <c r="N11" s="2710"/>
      <c r="O11" s="2768"/>
      <c r="P11" s="3796"/>
      <c r="Q11" s="1341" t="str">
        <f t="shared" si="6"/>
        <v>容积率</v>
      </c>
      <c r="R11" s="700" t="s">
        <v>14</v>
      </c>
      <c r="S11" s="701">
        <f t="shared" si="0"/>
        <v>98</v>
      </c>
      <c r="T11" s="700" t="s">
        <v>14</v>
      </c>
      <c r="U11" s="701">
        <f t="shared" si="1"/>
        <v>98</v>
      </c>
      <c r="V11" s="700" t="s">
        <v>14</v>
      </c>
      <c r="W11" s="701">
        <f t="shared" si="2"/>
        <v>94</v>
      </c>
      <c r="X11" s="702"/>
      <c r="Y11" s="3710"/>
      <c r="Z11" s="52" t="str">
        <f t="shared" si="7"/>
        <v>容积率</v>
      </c>
      <c r="AA11" s="703">
        <f t="shared" si="3"/>
        <v>1.0204081632653061</v>
      </c>
      <c r="AB11" s="703">
        <f t="shared" si="4"/>
        <v>1.0204081632653061</v>
      </c>
      <c r="AC11" s="703">
        <f t="shared" si="5"/>
        <v>1.0638297872340425</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96"/>
      <c r="Q12" s="1341" t="str">
        <f t="shared" si="6"/>
        <v>配建</v>
      </c>
      <c r="R12" s="700" t="s">
        <v>14</v>
      </c>
      <c r="S12" s="701">
        <f t="shared" si="0"/>
        <v>100</v>
      </c>
      <c r="T12" s="700" t="s">
        <v>14</v>
      </c>
      <c r="U12" s="701">
        <f t="shared" si="1"/>
        <v>100</v>
      </c>
      <c r="V12" s="700" t="s">
        <v>14</v>
      </c>
      <c r="W12" s="701">
        <f t="shared" si="2"/>
        <v>100</v>
      </c>
      <c r="X12" s="702"/>
      <c r="Y12" s="3710"/>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96"/>
      <c r="Q13" s="1341">
        <f t="shared" si="6"/>
        <v>111</v>
      </c>
      <c r="R13" s="700" t="s">
        <v>14</v>
      </c>
      <c r="S13" s="701">
        <f t="shared" si="0"/>
        <v>100</v>
      </c>
      <c r="T13" s="700" t="s">
        <v>14</v>
      </c>
      <c r="U13" s="701">
        <f t="shared" si="1"/>
        <v>100</v>
      </c>
      <c r="V13" s="700" t="s">
        <v>14</v>
      </c>
      <c r="W13" s="701">
        <f t="shared" si="2"/>
        <v>100</v>
      </c>
      <c r="X13" s="702"/>
      <c r="Y13" s="3710"/>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96"/>
      <c r="Q14" s="1341">
        <f t="shared" si="6"/>
        <v>111</v>
      </c>
      <c r="R14" s="700" t="s">
        <v>14</v>
      </c>
      <c r="S14" s="701">
        <f t="shared" si="0"/>
        <v>100</v>
      </c>
      <c r="T14" s="700" t="s">
        <v>14</v>
      </c>
      <c r="U14" s="701">
        <f t="shared" si="1"/>
        <v>100</v>
      </c>
      <c r="V14" s="700" t="s">
        <v>14</v>
      </c>
      <c r="W14" s="701">
        <f t="shared" si="2"/>
        <v>100</v>
      </c>
      <c r="X14" s="702"/>
      <c r="Y14" s="3710"/>
      <c r="Z14" s="52">
        <f t="shared" si="7"/>
        <v>111</v>
      </c>
      <c r="AA14" s="703">
        <f>D14/F14</f>
        <v>1</v>
      </c>
      <c r="AB14" s="703">
        <f>D14/H14</f>
        <v>1</v>
      </c>
      <c r="AC14" s="703">
        <f>D14/J14</f>
        <v>1</v>
      </c>
    </row>
    <row r="15" spans="1:30" ht="15" hidden="1">
      <c r="A15" s="391" t="s">
        <v>1689</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98" t="s">
        <v>1690</v>
      </c>
      <c r="Q15" s="1350" t="str">
        <f t="shared" si="6"/>
        <v>居住社区成熟度</v>
      </c>
      <c r="R15" s="704" t="s">
        <v>14</v>
      </c>
      <c r="S15" s="705">
        <f t="shared" si="0"/>
        <v>100</v>
      </c>
      <c r="T15" s="704" t="s">
        <v>14</v>
      </c>
      <c r="U15" s="705">
        <f t="shared" si="1"/>
        <v>100</v>
      </c>
      <c r="V15" s="704" t="s">
        <v>14</v>
      </c>
      <c r="W15" s="705">
        <f t="shared" si="2"/>
        <v>100</v>
      </c>
      <c r="X15" s="1353"/>
      <c r="Y15" s="3798" t="s">
        <v>1690</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6"/>
      <c r="M16" s="2710"/>
      <c r="N16" s="2710"/>
      <c r="O16" s="2768"/>
      <c r="P16" s="3799"/>
      <c r="Q16" s="1350"/>
      <c r="R16" s="704"/>
      <c r="S16" s="705"/>
      <c r="T16" s="704"/>
      <c r="U16" s="705"/>
      <c r="V16" s="704"/>
      <c r="W16" s="705"/>
      <c r="X16" s="1353"/>
      <c r="Y16" s="3799"/>
      <c r="Z16" s="1354"/>
      <c r="AA16" s="1351">
        <v>1</v>
      </c>
      <c r="AB16" s="1351">
        <v>1</v>
      </c>
      <c r="AC16" s="1351">
        <v>1</v>
      </c>
    </row>
    <row r="17" spans="1:29" ht="15">
      <c r="A17" s="379"/>
      <c r="B17" s="402" t="s">
        <v>1776</v>
      </c>
      <c r="C17" s="1951" t="str">
        <f>估价对象房地状况!C16</f>
        <v>一般</v>
      </c>
      <c r="D17" s="401">
        <v>100</v>
      </c>
      <c r="E17" s="403" t="s">
        <v>3497</v>
      </c>
      <c r="F17" s="401">
        <f>SUMIF(89:89,E18,90:90)-SUMIF(89:89,C18,90:90)+100</f>
        <v>100</v>
      </c>
      <c r="G17" s="403" t="s">
        <v>3497</v>
      </c>
      <c r="H17" s="406">
        <f>SUMIF(89:89,G18,90:90)-SUMIF(89:89,C18,90:90)+100</f>
        <v>100</v>
      </c>
      <c r="I17" s="405" t="s">
        <v>3392</v>
      </c>
      <c r="J17" s="406">
        <f>SUMIF(89:89,I18,90:90)-SUMIF(89:89,C18,90:90)+100</f>
        <v>102</v>
      </c>
      <c r="K17" s="620">
        <v>2</v>
      </c>
      <c r="L17" s="2716"/>
      <c r="M17" s="2710"/>
      <c r="N17" s="2710"/>
      <c r="O17" s="2768"/>
      <c r="P17" s="3799"/>
      <c r="Q17" s="1350" t="str">
        <f>B17</f>
        <v>商业繁华度</v>
      </c>
      <c r="R17" s="704" t="s">
        <v>14</v>
      </c>
      <c r="S17" s="705">
        <f>F17</f>
        <v>100</v>
      </c>
      <c r="T17" s="704" t="s">
        <v>14</v>
      </c>
      <c r="U17" s="705">
        <f>H17</f>
        <v>100</v>
      </c>
      <c r="V17" s="704" t="s">
        <v>14</v>
      </c>
      <c r="W17" s="705">
        <f>J17</f>
        <v>102</v>
      </c>
      <c r="X17" s="1353"/>
      <c r="Y17" s="3799"/>
      <c r="Z17" s="1354" t="str">
        <f>Q17</f>
        <v>商业繁华度</v>
      </c>
      <c r="AA17" s="1351">
        <f t="shared" si="3"/>
        <v>1</v>
      </c>
      <c r="AB17" s="1351">
        <f t="shared" si="4"/>
        <v>1</v>
      </c>
      <c r="AC17" s="1351">
        <f t="shared" si="5"/>
        <v>0.98039215686274506</v>
      </c>
    </row>
    <row r="18" spans="1:29" ht="15">
      <c r="A18" s="379"/>
      <c r="B18" s="407"/>
      <c r="C18" s="1899" t="s">
        <v>3497</v>
      </c>
      <c r="D18" s="401"/>
      <c r="E18" s="1896" t="s">
        <v>3497</v>
      </c>
      <c r="F18" s="401"/>
      <c r="G18" s="1896" t="s">
        <v>3497</v>
      </c>
      <c r="H18" s="399"/>
      <c r="I18" s="398" t="s">
        <v>3392</v>
      </c>
      <c r="J18" s="399"/>
      <c r="K18" s="619"/>
      <c r="L18" s="2716"/>
      <c r="M18" s="2710"/>
      <c r="N18" s="2710"/>
      <c r="O18" s="2768"/>
      <c r="P18" s="3799"/>
      <c r="Q18" s="1350"/>
      <c r="R18" s="704"/>
      <c r="S18" s="705"/>
      <c r="T18" s="704"/>
      <c r="U18" s="705"/>
      <c r="V18" s="704"/>
      <c r="W18" s="705"/>
      <c r="X18" s="1353"/>
      <c r="Y18" s="3799"/>
      <c r="Z18" s="1354"/>
      <c r="AA18" s="1351">
        <v>1</v>
      </c>
      <c r="AB18" s="1351">
        <v>1</v>
      </c>
      <c r="AC18" s="1351">
        <v>1</v>
      </c>
    </row>
    <row r="19" spans="1:29" ht="15" hidden="1">
      <c r="A19" s="379"/>
      <c r="B19" s="402" t="s">
        <v>1810</v>
      </c>
      <c r="C19" s="1951" t="str">
        <f>估价对象房地状况!C17</f>
        <v>一般</v>
      </c>
      <c r="D19" s="406">
        <v>100</v>
      </c>
      <c r="E19" s="408" t="s">
        <v>3527</v>
      </c>
      <c r="F19" s="406">
        <f>SUMIF(91:91,E20,92:92)-SUMIF(91:91,C20,92:92)+100</f>
        <v>100</v>
      </c>
      <c r="G19" s="408" t="s">
        <v>3527</v>
      </c>
      <c r="H19" s="401">
        <f>SUMIF(91:91,G20,92:92)-SUMIF(91:91,C20,92:92)+100</f>
        <v>100</v>
      </c>
      <c r="I19" s="405" t="s">
        <v>3392</v>
      </c>
      <c r="J19" s="401">
        <f>SUMIF(91:91,I20,92:92)-SUMIF(91:91,C20,92:92)+100</f>
        <v>100</v>
      </c>
      <c r="K19" s="620">
        <v>2</v>
      </c>
      <c r="L19" s="2716"/>
      <c r="M19" s="2710"/>
      <c r="N19" s="2710"/>
      <c r="O19" s="2768"/>
      <c r="P19" s="3799"/>
      <c r="Q19" s="1350" t="str">
        <f>B19</f>
        <v>办公集聚程度</v>
      </c>
      <c r="R19" s="704" t="s">
        <v>14</v>
      </c>
      <c r="S19" s="705">
        <f>F19</f>
        <v>100</v>
      </c>
      <c r="T19" s="704" t="s">
        <v>14</v>
      </c>
      <c r="U19" s="705">
        <f>H19</f>
        <v>100</v>
      </c>
      <c r="V19" s="704" t="s">
        <v>14</v>
      </c>
      <c r="W19" s="705">
        <f>J19</f>
        <v>100</v>
      </c>
      <c r="X19" s="1353"/>
      <c r="Y19" s="3799"/>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6"/>
      <c r="M20" s="2710"/>
      <c r="N20" s="2710"/>
      <c r="O20" s="2768"/>
      <c r="P20" s="3799"/>
      <c r="Q20" s="1350"/>
      <c r="R20" s="704"/>
      <c r="S20" s="705"/>
      <c r="T20" s="704"/>
      <c r="U20" s="705"/>
      <c r="V20" s="704"/>
      <c r="W20" s="705"/>
      <c r="X20" s="1353"/>
      <c r="Y20" s="3799"/>
      <c r="Z20" s="1354"/>
      <c r="AA20" s="1351">
        <v>1</v>
      </c>
      <c r="AB20" s="1351">
        <v>1</v>
      </c>
      <c r="AC20" s="1351">
        <v>1</v>
      </c>
    </row>
    <row r="21" spans="1:29" ht="15">
      <c r="A21" s="379"/>
      <c r="B21" s="402" t="s">
        <v>1832</v>
      </c>
      <c r="C21" s="1898" t="str">
        <f>估价对象房地状况!C18</f>
        <v>一般</v>
      </c>
      <c r="D21" s="401">
        <v>100</v>
      </c>
      <c r="E21" s="403" t="s">
        <v>3497</v>
      </c>
      <c r="F21" s="406">
        <f>SUMIF(93:93,E22,94:94)-SUMIF(93:93,C22,94:94)+100</f>
        <v>100</v>
      </c>
      <c r="G21" s="403" t="s">
        <v>3497</v>
      </c>
      <c r="H21" s="401">
        <f>SUMIF(93:93,G22,94:94)-SUMIF(93:93,C22,94:94)+100</f>
        <v>100</v>
      </c>
      <c r="I21" s="405" t="s">
        <v>3392</v>
      </c>
      <c r="J21" s="401">
        <f>SUMIF(93:93,I22,94:94)-SUMIF(93:93,C22,94:94)+100</f>
        <v>102</v>
      </c>
      <c r="K21" s="620">
        <v>2</v>
      </c>
      <c r="L21" s="2716"/>
      <c r="M21" s="2710"/>
      <c r="N21" s="2710"/>
      <c r="O21" s="2768"/>
      <c r="P21" s="3799"/>
      <c r="Q21" s="1350" t="str">
        <f>B21</f>
        <v>交通便捷度</v>
      </c>
      <c r="R21" s="704" t="s">
        <v>14</v>
      </c>
      <c r="S21" s="705">
        <f>F21</f>
        <v>100</v>
      </c>
      <c r="T21" s="704" t="s">
        <v>14</v>
      </c>
      <c r="U21" s="705">
        <f>H21</f>
        <v>100</v>
      </c>
      <c r="V21" s="704" t="s">
        <v>14</v>
      </c>
      <c r="W21" s="705">
        <f>J21</f>
        <v>102</v>
      </c>
      <c r="X21" s="1353"/>
      <c r="Y21" s="3799"/>
      <c r="Z21" s="1354" t="str">
        <f>Q21</f>
        <v>交通便捷度</v>
      </c>
      <c r="AA21" s="1351">
        <f t="shared" si="3"/>
        <v>1</v>
      </c>
      <c r="AB21" s="1351">
        <f t="shared" si="4"/>
        <v>1</v>
      </c>
      <c r="AC21" s="1351">
        <f t="shared" si="5"/>
        <v>0.98039215686274506</v>
      </c>
    </row>
    <row r="22" spans="1:29" ht="15">
      <c r="A22" s="379"/>
      <c r="B22" s="1130"/>
      <c r="C22" s="398" t="s">
        <v>3497</v>
      </c>
      <c r="D22" s="401"/>
      <c r="E22" s="1896" t="s">
        <v>3497</v>
      </c>
      <c r="F22" s="399"/>
      <c r="G22" s="1896" t="s">
        <v>3497</v>
      </c>
      <c r="H22" s="399"/>
      <c r="I22" s="398" t="s">
        <v>3392</v>
      </c>
      <c r="J22" s="399"/>
      <c r="K22" s="619"/>
      <c r="L22" s="2716"/>
      <c r="M22" s="2710"/>
      <c r="N22" s="2710"/>
      <c r="O22" s="2768"/>
      <c r="P22" s="3799"/>
      <c r="Q22" s="1350"/>
      <c r="R22" s="704"/>
      <c r="S22" s="705"/>
      <c r="T22" s="704"/>
      <c r="U22" s="705"/>
      <c r="V22" s="704"/>
      <c r="W22" s="705"/>
      <c r="X22" s="1353"/>
      <c r="Y22" s="3799"/>
      <c r="Z22" s="1354"/>
      <c r="AA22" s="1351">
        <v>1</v>
      </c>
      <c r="AB22" s="1351">
        <v>1</v>
      </c>
      <c r="AC22" s="1351">
        <v>1</v>
      </c>
    </row>
    <row r="23" spans="1:29" ht="15">
      <c r="A23" s="358"/>
      <c r="B23" s="402" t="s">
        <v>1870</v>
      </c>
      <c r="C23" s="1135" t="str">
        <f>估价对象房地状况!C19</f>
        <v>较好</v>
      </c>
      <c r="D23" s="406">
        <v>100</v>
      </c>
      <c r="E23" s="405" t="s">
        <v>3392</v>
      </c>
      <c r="F23" s="406">
        <f>SUMIF(95:95,E24,96:96)-SUMIF(95:95,C24,96:96)+100</f>
        <v>100</v>
      </c>
      <c r="G23" s="405" t="s">
        <v>3392</v>
      </c>
      <c r="H23" s="406">
        <f>SUMIF(95:95,G24,96:96)-SUMIF(95:95,C24,96:96)+100</f>
        <v>100</v>
      </c>
      <c r="I23" s="405" t="s">
        <v>3392</v>
      </c>
      <c r="J23" s="406">
        <f>SUMIF(95:95,I24,96:96)-SUMIF(95:95,C24,96:96)+100</f>
        <v>100</v>
      </c>
      <c r="K23" s="620">
        <v>2</v>
      </c>
      <c r="L23" s="2716"/>
      <c r="M23" s="2710"/>
      <c r="N23" s="2710"/>
      <c r="O23" s="2768"/>
      <c r="P23" s="3799"/>
      <c r="Q23" s="1350" t="str">
        <f t="shared" ref="Q23:Q37" si="8">B23</f>
        <v>区域土地利用方向</v>
      </c>
      <c r="R23" s="704" t="s">
        <v>14</v>
      </c>
      <c r="S23" s="705">
        <f>F23</f>
        <v>100</v>
      </c>
      <c r="T23" s="704" t="s">
        <v>14</v>
      </c>
      <c r="U23" s="705">
        <f>H23</f>
        <v>100</v>
      </c>
      <c r="V23" s="704" t="s">
        <v>14</v>
      </c>
      <c r="W23" s="705">
        <f>J23</f>
        <v>100</v>
      </c>
      <c r="X23" s="1353"/>
      <c r="Y23" s="3799"/>
      <c r="Z23" s="1354" t="str">
        <f>Q23</f>
        <v>区域土地利用方向</v>
      </c>
      <c r="AA23" s="1351">
        <f t="shared" si="3"/>
        <v>1</v>
      </c>
      <c r="AB23" s="1351">
        <f t="shared" si="4"/>
        <v>1</v>
      </c>
      <c r="AC23" s="1351">
        <f t="shared" si="5"/>
        <v>1</v>
      </c>
    </row>
    <row r="24" spans="1:29" ht="15">
      <c r="A24" s="358"/>
      <c r="B24" s="407"/>
      <c r="C24" s="565" t="s">
        <v>3392</v>
      </c>
      <c r="D24" s="399"/>
      <c r="E24" s="398" t="s">
        <v>3392</v>
      </c>
      <c r="F24" s="399"/>
      <c r="G24" s="398" t="s">
        <v>3392</v>
      </c>
      <c r="H24" s="399"/>
      <c r="I24" s="398" t="s">
        <v>3392</v>
      </c>
      <c r="J24" s="399"/>
      <c r="K24" s="739"/>
      <c r="L24" s="2716"/>
      <c r="M24" s="2710"/>
      <c r="N24" s="2710"/>
      <c r="O24" s="2768"/>
      <c r="P24" s="3799"/>
      <c r="Q24" s="1350"/>
      <c r="R24" s="704"/>
      <c r="S24" s="705"/>
      <c r="T24" s="704"/>
      <c r="U24" s="705"/>
      <c r="V24" s="704"/>
      <c r="W24" s="705"/>
      <c r="X24" s="1353"/>
      <c r="Y24" s="3799"/>
      <c r="Z24" s="1354"/>
      <c r="AA24" s="1351"/>
      <c r="AB24" s="1351"/>
      <c r="AC24" s="1351"/>
    </row>
    <row r="25" spans="1:29" ht="27">
      <c r="A25" s="358"/>
      <c r="B25" s="1130" t="s">
        <v>1871</v>
      </c>
      <c r="C25" s="1951" t="str">
        <f>估价对象房地状况!C20</f>
        <v>一般</v>
      </c>
      <c r="D25" s="401">
        <v>100</v>
      </c>
      <c r="E25" s="403" t="s">
        <v>3497</v>
      </c>
      <c r="F25" s="401">
        <f>SUMIF(97:97,E26,98:98)-SUMIF(97:97,C26,98:98)+100</f>
        <v>100</v>
      </c>
      <c r="G25" s="403" t="s">
        <v>3497</v>
      </c>
      <c r="H25" s="401">
        <f>SUMIF(97:97,G26,98:98)-SUMIF(97:97,C26,98:98)+100</f>
        <v>100</v>
      </c>
      <c r="I25" s="405" t="s">
        <v>3392</v>
      </c>
      <c r="J25" s="401">
        <f>SUMIF(97:97,I26,98:98)-SUMIF(97:97,C26,98:98)+100</f>
        <v>102</v>
      </c>
      <c r="K25" s="620">
        <v>2</v>
      </c>
      <c r="L25" s="2716"/>
      <c r="M25" s="2710"/>
      <c r="N25" s="2710"/>
      <c r="O25" s="2768"/>
      <c r="P25" s="3799"/>
      <c r="Q25" s="1350" t="str">
        <f t="shared" si="8"/>
        <v>自然及人文环境状况</v>
      </c>
      <c r="R25" s="704" t="s">
        <v>14</v>
      </c>
      <c r="S25" s="705">
        <f>F25</f>
        <v>100</v>
      </c>
      <c r="T25" s="704" t="s">
        <v>14</v>
      </c>
      <c r="U25" s="705">
        <f>H25</f>
        <v>100</v>
      </c>
      <c r="V25" s="704" t="s">
        <v>14</v>
      </c>
      <c r="W25" s="705">
        <f>J25</f>
        <v>102</v>
      </c>
      <c r="X25" s="1353"/>
      <c r="Y25" s="3799"/>
      <c r="Z25" s="1354" t="str">
        <f>Q25</f>
        <v>自然及人文环境状况</v>
      </c>
      <c r="AA25" s="1351">
        <f t="shared" si="3"/>
        <v>1</v>
      </c>
      <c r="AB25" s="1351">
        <f t="shared" si="4"/>
        <v>1</v>
      </c>
      <c r="AC25" s="1351">
        <f t="shared" si="5"/>
        <v>0.98039215686274506</v>
      </c>
    </row>
    <row r="26" spans="1:29" ht="15">
      <c r="A26" s="358"/>
      <c r="B26" s="407"/>
      <c r="C26" s="398" t="s">
        <v>3497</v>
      </c>
      <c r="D26" s="399"/>
      <c r="E26" s="1896" t="s">
        <v>3497</v>
      </c>
      <c r="F26" s="399"/>
      <c r="G26" s="1896" t="s">
        <v>3497</v>
      </c>
      <c r="H26" s="399"/>
      <c r="I26" s="398" t="s">
        <v>3392</v>
      </c>
      <c r="J26" s="399"/>
      <c r="K26" s="619"/>
      <c r="L26" s="2716"/>
      <c r="M26" s="2710"/>
      <c r="N26" s="2710"/>
      <c r="O26" s="2768"/>
      <c r="P26" s="3799"/>
      <c r="Q26" s="1350"/>
      <c r="R26" s="704"/>
      <c r="S26" s="705"/>
      <c r="T26" s="704"/>
      <c r="U26" s="705"/>
      <c r="V26" s="704"/>
      <c r="W26" s="705"/>
      <c r="X26" s="1353"/>
      <c r="Y26" s="3799"/>
      <c r="Z26" s="1354"/>
      <c r="AA26" s="1351">
        <v>1</v>
      </c>
      <c r="AB26" s="1351">
        <v>1</v>
      </c>
      <c r="AC26" s="1351">
        <v>1</v>
      </c>
    </row>
    <row r="27" spans="1:29" s="108" customFormat="1" ht="15">
      <c r="A27" s="596"/>
      <c r="B27" s="1130" t="s">
        <v>1777</v>
      </c>
      <c r="C27" s="1898" t="str">
        <f>估价对象房地状况!C21</f>
        <v>较好</v>
      </c>
      <c r="D27" s="401">
        <v>100</v>
      </c>
      <c r="E27" s="403" t="s">
        <v>3392</v>
      </c>
      <c r="F27" s="401">
        <f>SUMIF(99:99,E28,100:100)-SUMIF(99:99,C28,100:100)+100</f>
        <v>100</v>
      </c>
      <c r="G27" s="403" t="s">
        <v>3392</v>
      </c>
      <c r="H27" s="401">
        <f>SUMIF(99:99,G28,100:100)-SUMIF(99:99,C28,100:100)+100</f>
        <v>100</v>
      </c>
      <c r="I27" s="405" t="s">
        <v>3392</v>
      </c>
      <c r="J27" s="401">
        <f>SUMIF(99:99,I28,100:100)-SUMIF(99:99,C28,100:100)+100</f>
        <v>100</v>
      </c>
      <c r="K27" s="620">
        <v>2</v>
      </c>
      <c r="L27" s="2711"/>
      <c r="M27" s="2712"/>
      <c r="N27" s="2712"/>
      <c r="O27" s="2766"/>
      <c r="P27" s="3799"/>
      <c r="Q27" s="1341" t="str">
        <f t="shared" si="8"/>
        <v>公共配套设施</v>
      </c>
      <c r="R27" s="700" t="s">
        <v>14</v>
      </c>
      <c r="S27" s="701">
        <f>F27</f>
        <v>100</v>
      </c>
      <c r="T27" s="700" t="s">
        <v>14</v>
      </c>
      <c r="U27" s="701">
        <f>H27</f>
        <v>100</v>
      </c>
      <c r="V27" s="700" t="s">
        <v>14</v>
      </c>
      <c r="W27" s="701">
        <f>J27</f>
        <v>100</v>
      </c>
      <c r="X27" s="702"/>
      <c r="Y27" s="3799"/>
      <c r="Z27" s="52" t="str">
        <f>Q27</f>
        <v>公共配套设施</v>
      </c>
      <c r="AA27" s="1351">
        <f>D27/F27</f>
        <v>1</v>
      </c>
      <c r="AB27" s="1351">
        <f>D27/H27</f>
        <v>1</v>
      </c>
      <c r="AC27" s="1351">
        <f>D27/J27</f>
        <v>1</v>
      </c>
    </row>
    <row r="28" spans="1:29" s="108" customFormat="1" ht="15">
      <c r="A28" s="596"/>
      <c r="B28" s="407"/>
      <c r="C28" s="1974" t="s">
        <v>3392</v>
      </c>
      <c r="D28" s="399"/>
      <c r="E28" s="1902" t="s">
        <v>3392</v>
      </c>
      <c r="F28" s="399"/>
      <c r="G28" s="1902" t="s">
        <v>3392</v>
      </c>
      <c r="H28" s="399"/>
      <c r="I28" s="398" t="s">
        <v>3392</v>
      </c>
      <c r="J28" s="399"/>
      <c r="K28" s="619"/>
      <c r="L28" s="2711"/>
      <c r="M28" s="2712"/>
      <c r="N28" s="2712"/>
      <c r="O28" s="2766"/>
      <c r="P28" s="3799"/>
      <c r="Q28" s="1341"/>
      <c r="R28" s="700"/>
      <c r="S28" s="701"/>
      <c r="T28" s="700"/>
      <c r="U28" s="701"/>
      <c r="V28" s="700"/>
      <c r="W28" s="701"/>
      <c r="X28" s="702"/>
      <c r="Y28" s="3799"/>
      <c r="Z28" s="52"/>
      <c r="AA28" s="1351">
        <v>1</v>
      </c>
      <c r="AB28" s="1351">
        <v>1</v>
      </c>
      <c r="AC28" s="1351">
        <v>1</v>
      </c>
    </row>
    <row r="29" spans="1:29" s="108" customFormat="1" ht="15">
      <c r="A29" s="596"/>
      <c r="B29" s="1130" t="s">
        <v>1778</v>
      </c>
      <c r="C29" s="1898"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0">
        <v>1</v>
      </c>
      <c r="L29" s="2711"/>
      <c r="M29" s="2712"/>
      <c r="N29" s="2712"/>
      <c r="O29" s="2766"/>
      <c r="P29" s="3799"/>
      <c r="Q29" s="1341" t="str">
        <f t="shared" ref="Q29" si="9">B29</f>
        <v>基础设施水平</v>
      </c>
      <c r="R29" s="700" t="s">
        <v>14</v>
      </c>
      <c r="S29" s="701">
        <f>F29</f>
        <v>100</v>
      </c>
      <c r="T29" s="700" t="s">
        <v>14</v>
      </c>
      <c r="U29" s="701">
        <f>H29</f>
        <v>100</v>
      </c>
      <c r="V29" s="700" t="s">
        <v>14</v>
      </c>
      <c r="W29" s="701">
        <f>J29</f>
        <v>100</v>
      </c>
      <c r="X29" s="702"/>
      <c r="Y29" s="3799"/>
      <c r="Z29" s="52" t="str">
        <f>Q29</f>
        <v>基础设施水平</v>
      </c>
      <c r="AA29" s="1351">
        <f>D29/F29</f>
        <v>1</v>
      </c>
      <c r="AB29" s="1351">
        <f>D29/H29</f>
        <v>1</v>
      </c>
      <c r="AC29" s="1351">
        <f>D29/J29</f>
        <v>1</v>
      </c>
    </row>
    <row r="30" spans="1:29" s="108" customFormat="1" ht="15">
      <c r="A30" s="596"/>
      <c r="B30" s="407"/>
      <c r="C30" s="1974" t="s">
        <v>3393</v>
      </c>
      <c r="D30" s="399"/>
      <c r="E30" s="1975" t="s">
        <v>3393</v>
      </c>
      <c r="F30" s="399"/>
      <c r="G30" s="1975" t="s">
        <v>3393</v>
      </c>
      <c r="H30" s="399"/>
      <c r="I30" s="1975" t="s">
        <v>3393</v>
      </c>
      <c r="J30" s="399"/>
      <c r="K30" s="619"/>
      <c r="L30" s="2711"/>
      <c r="M30" s="2712"/>
      <c r="N30" s="2712"/>
      <c r="O30" s="2766"/>
      <c r="P30" s="3799"/>
      <c r="Q30" s="1341"/>
      <c r="R30" s="700"/>
      <c r="S30" s="701"/>
      <c r="T30" s="700"/>
      <c r="U30" s="701"/>
      <c r="V30" s="700"/>
      <c r="W30" s="701"/>
      <c r="X30" s="702"/>
      <c r="Y30" s="3799"/>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9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99"/>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99"/>
      <c r="Q32" s="1350" t="str">
        <f t="shared" si="8"/>
        <v>毗邻道路的类型与等级</v>
      </c>
      <c r="R32" s="704" t="s">
        <v>14</v>
      </c>
      <c r="S32" s="705">
        <f t="shared" si="10"/>
        <v>100</v>
      </c>
      <c r="T32" s="704" t="s">
        <v>14</v>
      </c>
      <c r="U32" s="705">
        <f t="shared" si="11"/>
        <v>100</v>
      </c>
      <c r="V32" s="704" t="s">
        <v>14</v>
      </c>
      <c r="W32" s="705">
        <f t="shared" si="12"/>
        <v>100</v>
      </c>
      <c r="X32" s="1353"/>
      <c r="Y32" s="379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99"/>
      <c r="Q33" s="1350"/>
      <c r="R33" s="704"/>
      <c r="S33" s="705"/>
      <c r="T33" s="704"/>
      <c r="U33" s="705"/>
      <c r="V33" s="704"/>
      <c r="W33" s="705"/>
      <c r="X33" s="1353"/>
      <c r="Y33" s="3799"/>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99"/>
      <c r="Q34" s="1350" t="str">
        <f t="shared" si="8"/>
        <v>土地级别</v>
      </c>
      <c r="R34" s="704" t="s">
        <v>14</v>
      </c>
      <c r="S34" s="705">
        <f t="shared" si="10"/>
        <v>100</v>
      </c>
      <c r="T34" s="704" t="s">
        <v>14</v>
      </c>
      <c r="U34" s="705">
        <f t="shared" si="11"/>
        <v>100</v>
      </c>
      <c r="V34" s="704" t="s">
        <v>14</v>
      </c>
      <c r="W34" s="705">
        <f t="shared" si="12"/>
        <v>100</v>
      </c>
      <c r="X34" s="1353"/>
      <c r="Y34" s="3799"/>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99"/>
      <c r="Q35" s="1350">
        <f t="shared" si="8"/>
        <v>111</v>
      </c>
      <c r="R35" s="704" t="s">
        <v>14</v>
      </c>
      <c r="S35" s="705">
        <f t="shared" si="10"/>
        <v>100</v>
      </c>
      <c r="T35" s="704" t="s">
        <v>14</v>
      </c>
      <c r="U35" s="705">
        <f t="shared" si="11"/>
        <v>100</v>
      </c>
      <c r="V35" s="704" t="s">
        <v>14</v>
      </c>
      <c r="W35" s="705">
        <f t="shared" si="12"/>
        <v>100</v>
      </c>
      <c r="X35" s="1353"/>
      <c r="Y35" s="3799"/>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822" t="s">
        <v>1695</v>
      </c>
      <c r="Q36" s="1350">
        <f t="shared" si="8"/>
        <v>111</v>
      </c>
      <c r="R36" s="704" t="s">
        <v>14</v>
      </c>
      <c r="S36" s="705">
        <f t="shared" si="10"/>
        <v>100</v>
      </c>
      <c r="T36" s="704" t="s">
        <v>14</v>
      </c>
      <c r="U36" s="705">
        <f t="shared" si="11"/>
        <v>100</v>
      </c>
      <c r="V36" s="704" t="s">
        <v>14</v>
      </c>
      <c r="W36" s="705">
        <f t="shared" si="12"/>
        <v>100</v>
      </c>
      <c r="X36" s="1353"/>
      <c r="Y36" s="3803"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803"/>
      <c r="Q37" s="1350">
        <f t="shared" si="8"/>
        <v>111</v>
      </c>
      <c r="R37" s="707" t="s">
        <v>14</v>
      </c>
      <c r="S37" s="708">
        <f t="shared" si="10"/>
        <v>100</v>
      </c>
      <c r="T37" s="707" t="s">
        <v>14</v>
      </c>
      <c r="U37" s="708">
        <f t="shared" si="11"/>
        <v>100</v>
      </c>
      <c r="V37" s="707" t="s">
        <v>14</v>
      </c>
      <c r="W37" s="708">
        <f t="shared" si="12"/>
        <v>100</v>
      </c>
      <c r="X37" s="709"/>
      <c r="Y37" s="3803"/>
      <c r="Z37" s="710">
        <f t="shared" si="13"/>
        <v>111</v>
      </c>
      <c r="AA37" s="1351">
        <f t="shared" si="3"/>
        <v>1</v>
      </c>
      <c r="AB37" s="1351">
        <f t="shared" si="4"/>
        <v>1</v>
      </c>
      <c r="AC37" s="1351">
        <f t="shared" si="5"/>
        <v>1</v>
      </c>
    </row>
    <row r="38" spans="1:29" ht="15">
      <c r="A38" s="423" t="s">
        <v>1693</v>
      </c>
      <c r="B38" s="407" t="s">
        <v>1873</v>
      </c>
      <c r="C38" s="626">
        <f>'数据-汇总表'!D3</f>
        <v>26199.81</v>
      </c>
      <c r="D38" s="418">
        <v>100</v>
      </c>
      <c r="E38" s="626">
        <f>土地案例!I2</f>
        <v>49900.54</v>
      </c>
      <c r="F38" s="418">
        <f>LOOKUP(E38,116:116,117:117)-LOOKUP(C38,116:116,117:117)+100</f>
        <v>102</v>
      </c>
      <c r="G38" s="626">
        <f>土地案例!I3</f>
        <v>32733.22</v>
      </c>
      <c r="H38" s="418">
        <f>LOOKUP(G38,116:116,117:117)-LOOKUP(C38,116:116,117:117)+100</f>
        <v>101</v>
      </c>
      <c r="I38" s="479">
        <f>土地案例!I4</f>
        <v>12629.88</v>
      </c>
      <c r="J38" s="418">
        <f>LOOKUP(I38,116:116,117:117)-LOOKUP(C38,116:116,117:117)+100</f>
        <v>99</v>
      </c>
      <c r="K38" s="562"/>
      <c r="L38" s="2716"/>
      <c r="M38" s="2710"/>
      <c r="N38" s="2710"/>
      <c r="O38" s="2768"/>
      <c r="P38" s="3803"/>
      <c r="Q38" s="1350" t="str">
        <f>B38</f>
        <v>宗地面积</v>
      </c>
      <c r="R38" s="704" t="s">
        <v>14</v>
      </c>
      <c r="S38" s="705">
        <f t="shared" si="10"/>
        <v>102</v>
      </c>
      <c r="T38" s="704" t="s">
        <v>14</v>
      </c>
      <c r="U38" s="705">
        <f t="shared" si="11"/>
        <v>101</v>
      </c>
      <c r="V38" s="704" t="s">
        <v>14</v>
      </c>
      <c r="W38" s="705">
        <f t="shared" si="12"/>
        <v>99</v>
      </c>
      <c r="X38" s="1353"/>
      <c r="Y38" s="3803"/>
      <c r="Z38" s="1354" t="str">
        <f t="shared" si="13"/>
        <v>宗地面积</v>
      </c>
      <c r="AA38" s="1351">
        <f t="shared" si="3"/>
        <v>0.98039215686274506</v>
      </c>
      <c r="AB38" s="1351">
        <f t="shared" si="4"/>
        <v>0.99009900990099009</v>
      </c>
      <c r="AC38" s="1351">
        <f t="shared" si="5"/>
        <v>1.0101010101010102</v>
      </c>
    </row>
    <row r="39" spans="1:29" ht="15">
      <c r="A39" s="423"/>
      <c r="B39" s="375" t="s">
        <v>1874</v>
      </c>
      <c r="C39" s="1904" t="s">
        <v>3528</v>
      </c>
      <c r="D39" s="386">
        <v>100</v>
      </c>
      <c r="E39" s="1904" t="s">
        <v>3528</v>
      </c>
      <c r="F39" s="386">
        <f>SUMIF(118:118,E39,119:119)-SUMIF(118:118,C39,119:119)+100</f>
        <v>100</v>
      </c>
      <c r="G39" s="1904" t="s">
        <v>3528</v>
      </c>
      <c r="H39" s="386">
        <f>SUMIF(118:118,G39,119:119)-SUMIF(118:118,C39,119:119)+100</f>
        <v>100</v>
      </c>
      <c r="I39" s="1904" t="s">
        <v>3528</v>
      </c>
      <c r="J39" s="386">
        <f>SUMIF(118:118,I39,119:119)-SUMIF(118:118,C39,119:119)+100</f>
        <v>100</v>
      </c>
      <c r="K39" s="561">
        <v>2</v>
      </c>
      <c r="L39" s="2716"/>
      <c r="M39" s="2710"/>
      <c r="N39" s="2710"/>
      <c r="O39" s="2768"/>
      <c r="P39" s="3803"/>
      <c r="Q39" s="1350" t="str">
        <f t="shared" ref="Q39:Q45" si="14">B39</f>
        <v>宗地形状</v>
      </c>
      <c r="R39" s="704" t="s">
        <v>14</v>
      </c>
      <c r="S39" s="705">
        <f t="shared" si="10"/>
        <v>100</v>
      </c>
      <c r="T39" s="704" t="s">
        <v>14</v>
      </c>
      <c r="U39" s="705">
        <f t="shared" si="11"/>
        <v>100</v>
      </c>
      <c r="V39" s="704" t="s">
        <v>14</v>
      </c>
      <c r="W39" s="705">
        <f t="shared" si="12"/>
        <v>100</v>
      </c>
      <c r="X39" s="1353"/>
      <c r="Y39" s="3803"/>
      <c r="Z39" s="1354" t="str">
        <f t="shared" si="13"/>
        <v>宗地形状</v>
      </c>
      <c r="AA39" s="1351">
        <f t="shared" si="3"/>
        <v>1</v>
      </c>
      <c r="AB39" s="1351">
        <f t="shared" si="4"/>
        <v>1</v>
      </c>
      <c r="AC39" s="1351">
        <f t="shared" si="5"/>
        <v>1</v>
      </c>
    </row>
    <row r="40" spans="1:29" ht="15">
      <c r="A40" s="423"/>
      <c r="B40" s="375" t="s">
        <v>1875</v>
      </c>
      <c r="C40" s="1904" t="s">
        <v>3493</v>
      </c>
      <c r="D40" s="386">
        <v>100</v>
      </c>
      <c r="E40" s="1904" t="s">
        <v>3493</v>
      </c>
      <c r="F40" s="386">
        <f>SUMIF(120:120,E40,121:121)-SUMIF(120:120,C40,121:121)+100</f>
        <v>100</v>
      </c>
      <c r="G40" s="1904" t="s">
        <v>3493</v>
      </c>
      <c r="H40" s="386">
        <f>SUMIF(120:120,G40,121:121)-SUMIF(120:120,C40,121:121)+100</f>
        <v>100</v>
      </c>
      <c r="I40" s="1904" t="s">
        <v>3493</v>
      </c>
      <c r="J40" s="386">
        <f>SUMIF(120:120,I40,121:121)-SUMIF(120:120,C40,121:121)+100</f>
        <v>100</v>
      </c>
      <c r="K40" s="561">
        <v>2</v>
      </c>
      <c r="L40" s="2716"/>
      <c r="M40" s="2710"/>
      <c r="N40" s="2710"/>
      <c r="O40" s="2768"/>
      <c r="P40" s="3803"/>
      <c r="Q40" s="1350" t="str">
        <f t="shared" si="14"/>
        <v>临街宽度及深度</v>
      </c>
      <c r="R40" s="704" t="s">
        <v>14</v>
      </c>
      <c r="S40" s="705">
        <f t="shared" si="10"/>
        <v>100</v>
      </c>
      <c r="T40" s="704" t="s">
        <v>14</v>
      </c>
      <c r="U40" s="705">
        <f t="shared" si="11"/>
        <v>100</v>
      </c>
      <c r="V40" s="704" t="s">
        <v>14</v>
      </c>
      <c r="W40" s="705">
        <f t="shared" si="12"/>
        <v>100</v>
      </c>
      <c r="X40" s="1353"/>
      <c r="Y40" s="3803"/>
      <c r="Z40" s="1354" t="str">
        <f t="shared" si="13"/>
        <v>临街宽度及深度</v>
      </c>
      <c r="AA40" s="1351">
        <f t="shared" si="3"/>
        <v>1</v>
      </c>
      <c r="AB40" s="1351">
        <f t="shared" si="4"/>
        <v>1</v>
      </c>
      <c r="AC40" s="1351">
        <f t="shared" si="5"/>
        <v>1</v>
      </c>
    </row>
    <row r="41" spans="1:29" s="108" customFormat="1" ht="15">
      <c r="A41" s="424"/>
      <c r="B41" s="375" t="s">
        <v>1876</v>
      </c>
      <c r="C41" s="1976" t="s">
        <v>3922</v>
      </c>
      <c r="D41" s="127">
        <v>100</v>
      </c>
      <c r="E41" s="1976" t="s">
        <v>3529</v>
      </c>
      <c r="F41" s="386">
        <f>SUMIF(122:122,E41,123:123)-SUMIF(122:122,C41,123:123)+100</f>
        <v>99</v>
      </c>
      <c r="G41" s="1976" t="s">
        <v>3529</v>
      </c>
      <c r="H41" s="386">
        <f>SUMIF(122:122,G41,123:123)-SUMIF(122:122,C41,123:123)+100</f>
        <v>99</v>
      </c>
      <c r="I41" s="1976" t="s">
        <v>3921</v>
      </c>
      <c r="J41" s="386">
        <f>SUMIF(122:122,I41,123:123)-SUMIF(122:122,C41,123:123)+100</f>
        <v>97</v>
      </c>
      <c r="K41" s="561">
        <v>1</v>
      </c>
      <c r="L41" s="2711"/>
      <c r="M41" s="2712"/>
      <c r="N41" s="2712"/>
      <c r="O41" s="2766"/>
      <c r="P41" s="3803"/>
      <c r="Q41" s="1350" t="str">
        <f t="shared" si="14"/>
        <v>宗地开发程度</v>
      </c>
      <c r="R41" s="700" t="s">
        <v>14</v>
      </c>
      <c r="S41" s="701">
        <f t="shared" si="10"/>
        <v>99</v>
      </c>
      <c r="T41" s="700" t="s">
        <v>14</v>
      </c>
      <c r="U41" s="701">
        <f t="shared" si="11"/>
        <v>99</v>
      </c>
      <c r="V41" s="700" t="s">
        <v>14</v>
      </c>
      <c r="W41" s="701">
        <f t="shared" si="12"/>
        <v>97</v>
      </c>
      <c r="X41" s="702"/>
      <c r="Y41" s="3803"/>
      <c r="Z41" s="52" t="str">
        <f t="shared" si="13"/>
        <v>宗地开发程度</v>
      </c>
      <c r="AA41" s="703">
        <f t="shared" si="3"/>
        <v>1.0101010101010102</v>
      </c>
      <c r="AB41" s="703">
        <f t="shared" si="4"/>
        <v>1.0101010101010102</v>
      </c>
      <c r="AC41" s="703">
        <f t="shared" si="5"/>
        <v>1.0309278350515463</v>
      </c>
    </row>
    <row r="42" spans="1:29" ht="15">
      <c r="A42" s="423"/>
      <c r="B42" s="375" t="s">
        <v>1877</v>
      </c>
      <c r="C42" s="1904" t="s">
        <v>3392</v>
      </c>
      <c r="D42" s="386">
        <v>100</v>
      </c>
      <c r="E42" s="1904" t="s">
        <v>3392</v>
      </c>
      <c r="F42" s="386">
        <f>SUMIF(124:124,E42,125:125)-SUMIF(124:124,C42,125:125)+100</f>
        <v>100</v>
      </c>
      <c r="G42" s="1904" t="s">
        <v>3392</v>
      </c>
      <c r="H42" s="386">
        <f>SUMIF(124:124,G42,125:125)-SUMIF(124:124,C42,125:125)+100</f>
        <v>100</v>
      </c>
      <c r="I42" s="1904" t="s">
        <v>3392</v>
      </c>
      <c r="J42" s="386">
        <f>SUMIF(124:124,I42,125:125)-SUMIF(124:124,C42,125:125)+100</f>
        <v>100</v>
      </c>
      <c r="K42" s="561">
        <v>2</v>
      </c>
      <c r="L42" s="2716"/>
      <c r="M42" s="2710"/>
      <c r="N42" s="2710"/>
      <c r="O42" s="2768"/>
      <c r="P42" s="3803" t="s">
        <v>1695</v>
      </c>
      <c r="Q42" s="1350" t="str">
        <f t="shared" si="14"/>
        <v>工程地质条件</v>
      </c>
      <c r="R42" s="704" t="s">
        <v>14</v>
      </c>
      <c r="S42" s="705">
        <f t="shared" si="10"/>
        <v>100</v>
      </c>
      <c r="T42" s="704" t="s">
        <v>14</v>
      </c>
      <c r="U42" s="705">
        <f t="shared" si="11"/>
        <v>100</v>
      </c>
      <c r="V42" s="704" t="s">
        <v>14</v>
      </c>
      <c r="W42" s="705">
        <f t="shared" si="12"/>
        <v>100</v>
      </c>
      <c r="X42" s="1353"/>
      <c r="Y42" s="3803"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803"/>
      <c r="Q43" s="1350">
        <f t="shared" si="14"/>
        <v>111</v>
      </c>
      <c r="R43" s="704" t="s">
        <v>14</v>
      </c>
      <c r="S43" s="705">
        <f t="shared" si="10"/>
        <v>100</v>
      </c>
      <c r="T43" s="704" t="s">
        <v>14</v>
      </c>
      <c r="U43" s="705">
        <f t="shared" si="11"/>
        <v>100</v>
      </c>
      <c r="V43" s="704" t="s">
        <v>14</v>
      </c>
      <c r="W43" s="705">
        <f t="shared" si="12"/>
        <v>100</v>
      </c>
      <c r="X43" s="1353"/>
      <c r="Y43" s="3803"/>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803"/>
      <c r="Q44" s="1350">
        <f t="shared" si="14"/>
        <v>111</v>
      </c>
      <c r="R44" s="704" t="s">
        <v>14</v>
      </c>
      <c r="S44" s="705">
        <f t="shared" si="10"/>
        <v>100</v>
      </c>
      <c r="T44" s="704" t="s">
        <v>14</v>
      </c>
      <c r="U44" s="705">
        <f t="shared" si="11"/>
        <v>100</v>
      </c>
      <c r="V44" s="704" t="s">
        <v>14</v>
      </c>
      <c r="W44" s="705">
        <f t="shared" si="12"/>
        <v>100</v>
      </c>
      <c r="X44" s="1353"/>
      <c r="Y44" s="3803"/>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803"/>
      <c r="Q45" s="1350">
        <f t="shared" si="14"/>
        <v>111</v>
      </c>
      <c r="R45" s="707" t="s">
        <v>14</v>
      </c>
      <c r="S45" s="708">
        <f t="shared" si="10"/>
        <v>100</v>
      </c>
      <c r="T45" s="707" t="s">
        <v>14</v>
      </c>
      <c r="U45" s="708">
        <f t="shared" si="11"/>
        <v>100</v>
      </c>
      <c r="V45" s="707" t="s">
        <v>14</v>
      </c>
      <c r="W45" s="708">
        <f t="shared" si="12"/>
        <v>100</v>
      </c>
      <c r="X45" s="709"/>
      <c r="Y45" s="3803"/>
      <c r="Z45" s="710">
        <f t="shared" si="13"/>
        <v>111</v>
      </c>
      <c r="AA45" s="1351">
        <f t="shared" si="3"/>
        <v>1</v>
      </c>
      <c r="AB45" s="1351">
        <f t="shared" si="4"/>
        <v>1</v>
      </c>
      <c r="AC45" s="1351">
        <f t="shared" si="5"/>
        <v>1</v>
      </c>
    </row>
    <row r="46" spans="1:29" ht="15">
      <c r="A46" s="430" t="s">
        <v>1843</v>
      </c>
      <c r="B46" s="1978" t="s">
        <v>1878</v>
      </c>
      <c r="C46" s="629" t="s">
        <v>0</v>
      </c>
      <c r="D46" s="432"/>
      <c r="E46" s="433">
        <f>土地案例!AP2</f>
        <v>20677</v>
      </c>
      <c r="F46" s="434"/>
      <c r="G46" s="435">
        <f>土地案例!AP3</f>
        <v>20691</v>
      </c>
      <c r="H46" s="436"/>
      <c r="I46" s="433">
        <f>土地案例!AP4</f>
        <v>20750</v>
      </c>
      <c r="J46" s="436"/>
      <c r="K46" s="713"/>
      <c r="L46" s="2718"/>
      <c r="M46" s="2719"/>
      <c r="N46" s="2710"/>
      <c r="O46" s="2719"/>
      <c r="P46" s="3796" t="str">
        <f>A46</f>
        <v>成交单价</v>
      </c>
      <c r="Q46" s="3796"/>
      <c r="R46" s="3791">
        <f>E46</f>
        <v>20677</v>
      </c>
      <c r="S46" s="3791"/>
      <c r="T46" s="3791">
        <f>G46</f>
        <v>20691</v>
      </c>
      <c r="U46" s="3791"/>
      <c r="V46" s="3791">
        <f>I46</f>
        <v>20750</v>
      </c>
      <c r="W46" s="3791"/>
      <c r="X46" s="689"/>
      <c r="Y46" s="711"/>
      <c r="Z46" s="689"/>
      <c r="AA46" s="689"/>
      <c r="AB46" s="689"/>
      <c r="AC46" s="689"/>
    </row>
    <row r="47" spans="1:29" ht="15.75" thickBot="1">
      <c r="A47" s="437" t="s">
        <v>1792</v>
      </c>
      <c r="B47" s="630"/>
      <c r="C47" s="440">
        <f>R48</f>
        <v>18291</v>
      </c>
      <c r="D47" s="2313" t="s">
        <v>2137</v>
      </c>
      <c r="E47" s="440">
        <f>R47</f>
        <v>17916</v>
      </c>
      <c r="F47" s="2314"/>
      <c r="G47" s="439">
        <f>T47</f>
        <v>18382</v>
      </c>
      <c r="H47" s="2314"/>
      <c r="I47" s="440">
        <f>V47</f>
        <v>18574</v>
      </c>
      <c r="J47" s="2314"/>
      <c r="K47" s="2316">
        <f>F47+H47+J47</f>
        <v>0</v>
      </c>
      <c r="L47" s="2718"/>
      <c r="M47" s="2719"/>
      <c r="N47" s="2719"/>
      <c r="O47" s="2719"/>
      <c r="P47" s="3796" t="str">
        <f>A47</f>
        <v>比较价值（元/平方米）</v>
      </c>
      <c r="Q47" s="3796"/>
      <c r="R47" s="3826">
        <f>ROUND(PRODUCT(R46,AA7:AA45),0)</f>
        <v>17916</v>
      </c>
      <c r="S47" s="3826"/>
      <c r="T47" s="3826">
        <f>ROUND(PRODUCT(T46,AB7:AB45),0)</f>
        <v>18382</v>
      </c>
      <c r="U47" s="3826"/>
      <c r="V47" s="3826">
        <f>ROUND(PRODUCT(V46,AC7:AC45),0)</f>
        <v>18574</v>
      </c>
      <c r="W47" s="3826"/>
      <c r="X47" s="689"/>
      <c r="Y47" s="689"/>
      <c r="Z47" s="689"/>
      <c r="AA47" s="689"/>
      <c r="AB47" s="689"/>
      <c r="AC47" s="689"/>
    </row>
    <row r="48" spans="1:29" ht="15.75" thickBot="1">
      <c r="A48" s="441" t="s">
        <v>1879</v>
      </c>
      <c r="B48" s="442"/>
      <c r="C48" s="443">
        <f>R48</f>
        <v>18291</v>
      </c>
      <c r="D48" s="443"/>
      <c r="E48" s="443"/>
      <c r="F48" s="443"/>
      <c r="G48" s="443"/>
      <c r="H48" s="443"/>
      <c r="I48" s="443"/>
      <c r="J48" s="443"/>
      <c r="K48" s="714"/>
      <c r="L48" s="2718"/>
      <c r="M48" s="2719"/>
      <c r="N48" s="2719"/>
      <c r="O48" s="2719"/>
      <c r="P48" s="3793" t="str">
        <f>A48</f>
        <v>估价对象XX用房的比较价值（楼面单价，元/平方米）</v>
      </c>
      <c r="Q48" s="3794"/>
      <c r="R48" s="3827">
        <f>ROUND(IF(D47="简单平均",AVERAGE(R47:W47),R47*F47+T47*H47+V47*J47),0)</f>
        <v>18291</v>
      </c>
      <c r="S48" s="3827"/>
      <c r="T48" s="3827"/>
      <c r="U48" s="3827"/>
      <c r="V48" s="3827"/>
      <c r="W48" s="3827"/>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f>IF(E46&lt;E47,E47/E46-1,E46/E47-1)</f>
        <v>0.15410805983478459</v>
      </c>
      <c r="F51" s="449" t="str">
        <f>IF(OR(E51&gt;=0.3,E51&lt;=-0.3),"超过30%","")</f>
        <v/>
      </c>
      <c r="G51" s="448">
        <f>IF(G46&lt;G47,G47/G46-1,G46/G47-1)</f>
        <v>0.12561201175062564</v>
      </c>
      <c r="H51" s="449" t="str">
        <f>IF(OR(G51&gt;=0.3,G51&lt;=-0.3),"超过30%","")</f>
        <v/>
      </c>
      <c r="I51" s="448">
        <f>IF(I46&lt;I47,I47/I46-1,I46/I47-1)</f>
        <v>0.11715300958328845</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f>IF(E47&lt;G47,G47/E47-1,E47/G47-1)</f>
        <v>2.6010270149587011E-2</v>
      </c>
      <c r="F52" s="449" t="str">
        <f>IF(OR(E52&gt;=0.2,E52&lt;=-0.2),"超过20%","")</f>
        <v/>
      </c>
      <c r="G52" s="448">
        <f>IF(G47&lt;I47,I47/G47-1,G47/I47-1)</f>
        <v>1.044500054401043E-2</v>
      </c>
      <c r="H52" s="449" t="str">
        <f>IF(OR(G52&gt;=0.2,G52&lt;=-0.2),"超过20%","")</f>
        <v/>
      </c>
      <c r="I52" s="448">
        <f>IF(I47&lt;E47,E47/I47-1,I47/E47-1)</f>
        <v>3.6726947979459634E-2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1880</v>
      </c>
      <c r="B55" s="632" t="s">
        <v>1881</v>
      </c>
      <c r="C55" s="1979" t="s">
        <v>1882</v>
      </c>
      <c r="D55" s="1980" t="s">
        <v>1883</v>
      </c>
      <c r="E55" s="633" t="s">
        <v>1884</v>
      </c>
      <c r="F55" s="889" t="s">
        <v>1885</v>
      </c>
      <c r="G55" s="3779" t="s">
        <v>1886</v>
      </c>
      <c r="H55" s="3828"/>
      <c r="I55" s="135" t="s">
        <v>1887</v>
      </c>
      <c r="J55" s="1981">
        <f>项目基本情况!F35</f>
        <v>0</v>
      </c>
      <c r="K55" s="1982" t="s">
        <v>1888</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1889</v>
      </c>
      <c r="B56" s="636">
        <f>C48</f>
        <v>18291</v>
      </c>
      <c r="C56" s="637">
        <v>1</v>
      </c>
      <c r="D56" s="943">
        <v>1</v>
      </c>
      <c r="E56" s="637">
        <f>'数据-汇总表'!E8+'数据-汇总表'!E9</f>
        <v>23065.670000000006</v>
      </c>
      <c r="F56" s="885">
        <f t="shared" ref="F56:F64" si="15">ROUND(B56*E56/10000,0)</f>
        <v>42189</v>
      </c>
      <c r="G56" s="3778"/>
      <c r="H56" s="3796"/>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1890</v>
      </c>
      <c r="B57" s="218">
        <f>ROUND($C$48*C57*D57,0)</f>
        <v>2744</v>
      </c>
      <c r="C57" s="171">
        <f t="shared" ref="C57:C64" si="16">IF($C$55="北京市系数",I57,J57)</f>
        <v>0.6</v>
      </c>
      <c r="D57" s="944">
        <v>0.25</v>
      </c>
      <c r="E57" s="641"/>
      <c r="F57" s="885">
        <f t="shared" si="15"/>
        <v>0</v>
      </c>
      <c r="G57" s="3000" t="s">
        <v>1891</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1892</v>
      </c>
      <c r="B58" s="218">
        <f t="shared" ref="B58:B64" si="17">ROUND($C$48*C58*D58,0)</f>
        <v>1372</v>
      </c>
      <c r="C58" s="171">
        <f t="shared" si="16"/>
        <v>0.3</v>
      </c>
      <c r="D58" s="944">
        <v>0.25</v>
      </c>
      <c r="E58" s="641"/>
      <c r="F58" s="885">
        <f t="shared" si="15"/>
        <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1893</v>
      </c>
      <c r="B59" s="218">
        <f t="shared" si="17"/>
        <v>1143</v>
      </c>
      <c r="C59" s="171">
        <f t="shared" si="16"/>
        <v>0.25</v>
      </c>
      <c r="D59" s="944">
        <v>0.25</v>
      </c>
      <c r="E59" s="641"/>
      <c r="F59" s="885">
        <f t="shared" si="15"/>
        <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1894</v>
      </c>
      <c r="B60" s="218">
        <f t="shared" si="17"/>
        <v>1143</v>
      </c>
      <c r="C60" s="171">
        <f t="shared" si="16"/>
        <v>0.25</v>
      </c>
      <c r="D60" s="944">
        <v>0.25</v>
      </c>
      <c r="E60" s="217">
        <f>'数据-汇总表'!E11</f>
        <v>0</v>
      </c>
      <c r="F60" s="885">
        <f t="shared" si="15"/>
        <v>0</v>
      </c>
      <c r="G60" s="1983" t="s">
        <v>1895</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1896</v>
      </c>
      <c r="B61" s="218">
        <f t="shared" si="17"/>
        <v>1143</v>
      </c>
      <c r="C61" s="171">
        <f t="shared" si="16"/>
        <v>0.25</v>
      </c>
      <c r="D61" s="944">
        <v>0.25</v>
      </c>
      <c r="E61" s="217">
        <f>'数据-汇总表'!E12</f>
        <v>0</v>
      </c>
      <c r="F61" s="885">
        <f t="shared" si="15"/>
        <v>0</v>
      </c>
      <c r="G61" s="891" t="s">
        <v>1897</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1898</v>
      </c>
      <c r="B62" s="218">
        <f t="shared" si="17"/>
        <v>686</v>
      </c>
      <c r="C62" s="171">
        <f t="shared" si="16"/>
        <v>0.15</v>
      </c>
      <c r="D62" s="944">
        <v>0.25</v>
      </c>
      <c r="E62" s="217">
        <f>'数据-汇总表'!E13</f>
        <v>2677.4999999999986</v>
      </c>
      <c r="F62" s="885">
        <f t="shared" si="15"/>
        <v>184</v>
      </c>
      <c r="G62" s="891" t="s">
        <v>1899</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1900</v>
      </c>
      <c r="B63" s="218">
        <f t="shared" si="17"/>
        <v>686</v>
      </c>
      <c r="C63" s="171">
        <f t="shared" si="16"/>
        <v>0.15</v>
      </c>
      <c r="D63" s="944">
        <v>0.25</v>
      </c>
      <c r="E63" s="217">
        <f>'数据-汇总表'!E14</f>
        <v>0</v>
      </c>
      <c r="F63" s="885">
        <f t="shared" si="15"/>
        <v>0</v>
      </c>
      <c r="G63" s="1983" t="s">
        <v>1891</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1901</v>
      </c>
      <c r="B64" s="218">
        <f t="shared" si="17"/>
        <v>686</v>
      </c>
      <c r="C64" s="171">
        <f t="shared" si="16"/>
        <v>0.15</v>
      </c>
      <c r="D64" s="944">
        <v>0.25</v>
      </c>
      <c r="E64" s="217">
        <f>'数据-汇总表'!E15</f>
        <v>0</v>
      </c>
      <c r="F64" s="885">
        <f t="shared" si="15"/>
        <v>0</v>
      </c>
      <c r="G64" s="1984" t="s">
        <v>1895</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1902</v>
      </c>
      <c r="B65" s="643" t="s">
        <v>22</v>
      </c>
      <c r="C65" s="643" t="s">
        <v>23</v>
      </c>
      <c r="D65" s="643" t="s">
        <v>392</v>
      </c>
      <c r="E65" s="643">
        <f>IF(B46="楼面地价",SUM(E56:E64),'数据-汇总表'!D3)</f>
        <v>25743.170000000006</v>
      </c>
      <c r="F65" s="644">
        <f>IF(B46="楼面地价",SUM(F56:F64),ROUND(C48*E65/10000,0))</f>
        <v>42373</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9"/>
      <c r="Q67" s="2719"/>
      <c r="R67" s="2719"/>
      <c r="S67" s="2719"/>
      <c r="T67" s="2719"/>
      <c r="U67" s="2719"/>
      <c r="V67" s="2719"/>
      <c r="W67" s="2719"/>
      <c r="X67" s="2719"/>
      <c r="Y67" s="2719"/>
      <c r="Z67" s="2719"/>
      <c r="AA67" s="2719"/>
      <c r="AB67" s="2719"/>
      <c r="AC67" s="2719"/>
    </row>
    <row r="68" spans="1:29" ht="21.75" thickBot="1">
      <c r="A68" s="693" t="s">
        <v>1797</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28.5">
      <c r="A69" s="1985" t="s">
        <v>1903</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931" t="s">
        <v>3532</v>
      </c>
      <c r="Q69" s="3469" t="s">
        <v>3533</v>
      </c>
      <c r="R69" s="3469" t="s">
        <v>3534</v>
      </c>
      <c r="S69" s="3469" t="s">
        <v>3535</v>
      </c>
      <c r="T69" s="3469" t="s">
        <v>3536</v>
      </c>
      <c r="U69" s="3469" t="s">
        <v>3537</v>
      </c>
      <c r="V69" s="3469" t="s">
        <v>3538</v>
      </c>
      <c r="W69" s="3469" t="s">
        <v>3539</v>
      </c>
      <c r="X69" s="2735"/>
      <c r="Y69" s="2735"/>
      <c r="Z69" s="2735"/>
      <c r="AA69" s="2735"/>
      <c r="AB69" s="2735"/>
      <c r="AC69" s="2735"/>
    </row>
    <row r="70" spans="1:29" s="108" customFormat="1" ht="30" customHeight="1">
      <c r="A70" s="1986" t="s">
        <v>1904</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41.25">
      <c r="A74" s="476" t="s">
        <v>1718</v>
      </c>
      <c r="B74" s="477" t="s">
        <v>1684</v>
      </c>
      <c r="C74" s="3451" t="s">
        <v>3540</v>
      </c>
      <c r="D74" s="3451" t="s">
        <v>3541</v>
      </c>
      <c r="E74" s="479" t="s">
        <v>3542</v>
      </c>
      <c r="F74" s="479" t="s">
        <v>3543</v>
      </c>
      <c r="G74" s="479" t="s">
        <v>3544</v>
      </c>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110</v>
      </c>
      <c r="E75" s="485">
        <v>98</v>
      </c>
      <c r="F75" s="485">
        <v>100</v>
      </c>
      <c r="G75" s="485">
        <v>100</v>
      </c>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3">IF($B$46="单位面积地价",C80+$K11,C80-$K11)</f>
        <v>99</v>
      </c>
      <c r="E80" s="493">
        <f t="shared" si="23"/>
        <v>98</v>
      </c>
      <c r="F80" s="493">
        <f t="shared" si="23"/>
        <v>97</v>
      </c>
      <c r="G80" s="493">
        <f t="shared" si="23"/>
        <v>96</v>
      </c>
      <c r="H80" s="493">
        <f t="shared" si="23"/>
        <v>95</v>
      </c>
      <c r="I80" s="493">
        <f t="shared" si="23"/>
        <v>94</v>
      </c>
      <c r="J80" s="493">
        <f t="shared" si="23"/>
        <v>93</v>
      </c>
      <c r="K80" s="493">
        <f t="shared" si="23"/>
        <v>92</v>
      </c>
      <c r="L80" s="493">
        <f t="shared" si="23"/>
        <v>91</v>
      </c>
      <c r="M80" s="493">
        <f t="shared" si="23"/>
        <v>90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98</v>
      </c>
      <c r="E90" s="493">
        <f>D90-$K17</f>
        <v>96</v>
      </c>
      <c r="F90" s="493">
        <f>E90-$K17</f>
        <v>94</v>
      </c>
      <c r="G90" s="493">
        <f>F90-$K17</f>
        <v>92</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98</v>
      </c>
      <c r="E92" s="493">
        <f>D92-$K19</f>
        <v>96</v>
      </c>
      <c r="F92" s="493">
        <f>E92-$K19</f>
        <v>94</v>
      </c>
      <c r="G92" s="493">
        <f>F92-$K19</f>
        <v>92</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6" t="s">
        <v>1693</v>
      </c>
      <c r="B115" s="477" t="s">
        <v>1912</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30000</v>
      </c>
      <c r="G116" s="544">
        <v>40000</v>
      </c>
      <c r="H116" s="544">
        <v>50000</v>
      </c>
      <c r="I116" s="544">
        <v>60000</v>
      </c>
      <c r="J116" s="3470">
        <v>70000</v>
      </c>
      <c r="K116" s="3470">
        <v>80000</v>
      </c>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3447" t="s">
        <v>3545</v>
      </c>
      <c r="D118" s="3447" t="s">
        <v>3546</v>
      </c>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3446" t="s">
        <v>3547</v>
      </c>
      <c r="D120" s="3446" t="s">
        <v>3548</v>
      </c>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3471" t="str">
        <f>C101</f>
        <v>七通</v>
      </c>
      <c r="D122" s="3471" t="str">
        <f>D101</f>
        <v>六通</v>
      </c>
      <c r="E122" s="3471" t="str">
        <f>E101</f>
        <v>五通</v>
      </c>
      <c r="F122" s="3471" t="str">
        <f>F101</f>
        <v>四通</v>
      </c>
      <c r="G122" s="3471"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t="str">
        <f>C97</f>
        <v>好</v>
      </c>
      <c r="D124" s="503" t="str">
        <f>D97</f>
        <v>较好</v>
      </c>
      <c r="E124" s="503" t="str">
        <f>E97</f>
        <v>一般</v>
      </c>
      <c r="F124" s="503" t="str">
        <f>F97</f>
        <v>较差</v>
      </c>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1768</v>
      </c>
      <c r="B4" s="356"/>
      <c r="C4" s="3779" t="s">
        <v>1769</v>
      </c>
      <c r="D4" s="3780"/>
      <c r="E4" s="3781" t="s">
        <v>1770</v>
      </c>
      <c r="F4" s="3782"/>
      <c r="G4" s="3779" t="s">
        <v>1771</v>
      </c>
      <c r="H4" s="3780"/>
      <c r="I4" s="3779" t="s">
        <v>1772</v>
      </c>
      <c r="J4" s="3780"/>
      <c r="K4" s="559" t="s">
        <v>1773</v>
      </c>
      <c r="L4" s="2709"/>
      <c r="M4" s="2710"/>
      <c r="N4" s="2710"/>
      <c r="O4" s="2710"/>
      <c r="P4" s="3783" t="s">
        <v>1774</v>
      </c>
      <c r="Q4" s="3784"/>
      <c r="R4" s="3766" t="s">
        <v>1770</v>
      </c>
      <c r="S4" s="3767"/>
      <c r="T4" s="3766" t="s">
        <v>1771</v>
      </c>
      <c r="U4" s="3767"/>
      <c r="V4" s="3791" t="s">
        <v>1772</v>
      </c>
      <c r="W4" s="3791"/>
      <c r="X4" s="1353"/>
      <c r="Y4" s="3766" t="s">
        <v>1774</v>
      </c>
      <c r="Z4" s="3767"/>
      <c r="AA4" s="3761" t="s">
        <v>1770</v>
      </c>
      <c r="AB4" s="3762" t="s">
        <v>1771</v>
      </c>
      <c r="AC4" s="3761" t="s">
        <v>1772</v>
      </c>
    </row>
    <row r="5" spans="1:29" ht="15">
      <c r="A5" s="358"/>
      <c r="B5" s="359"/>
      <c r="C5" s="3772" t="s">
        <v>1672</v>
      </c>
      <c r="D5" s="3773"/>
      <c r="E5" s="3770" t="s">
        <v>1673</v>
      </c>
      <c r="F5" s="3771"/>
      <c r="G5" s="3772" t="s">
        <v>1674</v>
      </c>
      <c r="H5" s="3773"/>
      <c r="I5" s="3772" t="s">
        <v>1675</v>
      </c>
      <c r="J5" s="3773"/>
      <c r="K5" s="559"/>
      <c r="L5" s="2709"/>
      <c r="M5" s="2710"/>
      <c r="N5" s="2710"/>
      <c r="O5" s="2710"/>
      <c r="P5" s="3785"/>
      <c r="Q5" s="3786"/>
      <c r="R5" s="3768"/>
      <c r="S5" s="3769"/>
      <c r="T5" s="3768"/>
      <c r="U5" s="3769"/>
      <c r="V5" s="3791"/>
      <c r="W5" s="3791"/>
      <c r="X5" s="1353"/>
      <c r="Y5" s="3768"/>
      <c r="Z5" s="3769"/>
      <c r="AA5" s="3762"/>
      <c r="AB5" s="3762"/>
      <c r="AC5" s="3762"/>
    </row>
    <row r="6" spans="1:29" ht="15.75" thickBot="1">
      <c r="A6" s="360"/>
      <c r="B6" s="361"/>
      <c r="C6" s="3829" t="s">
        <v>1918</v>
      </c>
      <c r="D6" s="3830"/>
      <c r="E6" s="3831" t="s">
        <v>1918</v>
      </c>
      <c r="F6" s="3832"/>
      <c r="G6" s="3829" t="s">
        <v>1918</v>
      </c>
      <c r="H6" s="3830"/>
      <c r="I6" s="3829" t="s">
        <v>1918</v>
      </c>
      <c r="J6" s="3830"/>
      <c r="K6" s="559" t="s">
        <v>1677</v>
      </c>
      <c r="L6" s="2709"/>
      <c r="M6" s="2710"/>
      <c r="N6" s="2710"/>
      <c r="O6" s="2710"/>
      <c r="P6" s="3787"/>
      <c r="Q6" s="3788"/>
      <c r="R6" s="3768"/>
      <c r="S6" s="3769"/>
      <c r="T6" s="3789"/>
      <c r="U6" s="3790"/>
      <c r="V6" s="3791"/>
      <c r="W6" s="3791"/>
      <c r="X6" s="1353"/>
      <c r="Y6" s="3789"/>
      <c r="Z6" s="3790"/>
      <c r="AA6" s="3763"/>
      <c r="AB6" s="3763"/>
      <c r="AC6" s="3763"/>
    </row>
    <row r="7" spans="1:29" s="108" customFormat="1" ht="15.75" thickBot="1">
      <c r="A7" s="362" t="s">
        <v>1678</v>
      </c>
      <c r="B7" s="363"/>
      <c r="C7" s="364">
        <f>'数据-取费表'!B2</f>
        <v>45163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64" t="s">
        <v>1679</v>
      </c>
      <c r="Q7" s="3792"/>
      <c r="R7" s="700" t="s">
        <v>14</v>
      </c>
      <c r="S7" s="701">
        <f t="shared" ref="S7:S15" si="0">F7</f>
        <v>0</v>
      </c>
      <c r="T7" s="700" t="s">
        <v>14</v>
      </c>
      <c r="U7" s="701">
        <f t="shared" ref="U7:U15" si="1">H7</f>
        <v>0</v>
      </c>
      <c r="V7" s="700" t="s">
        <v>14</v>
      </c>
      <c r="W7" s="701">
        <f t="shared" ref="W7:W15" si="2">J7</f>
        <v>0</v>
      </c>
      <c r="X7" s="702"/>
      <c r="Y7" s="3764" t="s">
        <v>1679</v>
      </c>
      <c r="Z7" s="3765"/>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64" t="s">
        <v>1682</v>
      </c>
      <c r="Q8" s="3765"/>
      <c r="R8" s="700" t="s">
        <v>14</v>
      </c>
      <c r="S8" s="701">
        <f t="shared" si="0"/>
        <v>0</v>
      </c>
      <c r="T8" s="700" t="s">
        <v>14</v>
      </c>
      <c r="U8" s="701">
        <f t="shared" si="1"/>
        <v>0</v>
      </c>
      <c r="V8" s="700" t="s">
        <v>14</v>
      </c>
      <c r="W8" s="701">
        <f t="shared" si="2"/>
        <v>0</v>
      </c>
      <c r="X8" s="702"/>
      <c r="Y8" s="3764" t="s">
        <v>1682</v>
      </c>
      <c r="Z8" s="3765"/>
      <c r="AA8" s="703" t="e">
        <f t="shared" ref="AA8:AA40" si="3">D8/F8</f>
        <v>#DIV/0!</v>
      </c>
      <c r="AB8" s="703" t="e">
        <f t="shared" ref="AB8:AB40" si="4">D8/H8</f>
        <v>#DIV/0!</v>
      </c>
      <c r="AC8" s="703"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96" t="s">
        <v>1685</v>
      </c>
      <c r="Q9" s="1341" t="str">
        <f t="shared" ref="Q9:Q15" si="6">B9</f>
        <v>用途</v>
      </c>
      <c r="R9" s="700" t="s">
        <v>14</v>
      </c>
      <c r="S9" s="701">
        <f t="shared" si="0"/>
        <v>100</v>
      </c>
      <c r="T9" s="700" t="s">
        <v>14</v>
      </c>
      <c r="U9" s="701">
        <f t="shared" si="1"/>
        <v>100</v>
      </c>
      <c r="V9" s="700" t="s">
        <v>14</v>
      </c>
      <c r="W9" s="701">
        <f t="shared" si="2"/>
        <v>100</v>
      </c>
      <c r="X9" s="702"/>
      <c r="Y9" s="3710"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119</v>
      </c>
      <c r="G10" s="383"/>
      <c r="H10" s="127">
        <f>ROUND(100/'数据-取费表'!G16,0)</f>
        <v>119</v>
      </c>
      <c r="I10" s="383"/>
      <c r="J10" s="127">
        <f>ROUND(100/'数据-取费表'!G16,0)</f>
        <v>119</v>
      </c>
      <c r="K10" s="619"/>
      <c r="L10" s="2713"/>
      <c r="M10" s="2714"/>
      <c r="N10" s="2714"/>
      <c r="O10" s="2767"/>
      <c r="P10" s="3796"/>
      <c r="Q10" s="1341" t="str">
        <f t="shared" si="6"/>
        <v>土地使用年限（年）</v>
      </c>
      <c r="R10" s="700" t="s">
        <v>14</v>
      </c>
      <c r="S10" s="701">
        <f t="shared" si="0"/>
        <v>119</v>
      </c>
      <c r="T10" s="700" t="s">
        <v>14</v>
      </c>
      <c r="U10" s="701">
        <f t="shared" si="1"/>
        <v>119</v>
      </c>
      <c r="V10" s="700" t="s">
        <v>14</v>
      </c>
      <c r="W10" s="701">
        <f t="shared" si="2"/>
        <v>119</v>
      </c>
      <c r="X10" s="702"/>
      <c r="Y10" s="3710"/>
      <c r="Z10" s="52" t="str">
        <f t="shared" si="7"/>
        <v>土地使用年限（年）</v>
      </c>
      <c r="AA10" s="703">
        <f t="shared" si="3"/>
        <v>0.84033613445378152</v>
      </c>
      <c r="AB10" s="703">
        <f t="shared" si="4"/>
        <v>0.84033613445378152</v>
      </c>
      <c r="AC10" s="703">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96"/>
      <c r="Q11" s="1341"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96"/>
      <c r="Q12" s="1341">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96"/>
      <c r="Q13" s="1341">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96"/>
      <c r="Q14" s="1341">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1689</v>
      </c>
      <c r="B15" s="576"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98" t="s">
        <v>1690</v>
      </c>
      <c r="Q15" s="1350" t="str">
        <f t="shared" si="6"/>
        <v>产业集聚程度</v>
      </c>
      <c r="R15" s="704" t="s">
        <v>14</v>
      </c>
      <c r="S15" s="705">
        <f t="shared" si="0"/>
        <v>100</v>
      </c>
      <c r="T15" s="704" t="s">
        <v>14</v>
      </c>
      <c r="U15" s="705">
        <f t="shared" si="1"/>
        <v>100</v>
      </c>
      <c r="V15" s="704" t="s">
        <v>14</v>
      </c>
      <c r="W15" s="705">
        <f t="shared" si="2"/>
        <v>100</v>
      </c>
      <c r="X15" s="1353"/>
      <c r="Y15" s="3798"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799"/>
      <c r="Q16" s="1350"/>
      <c r="R16" s="704"/>
      <c r="S16" s="705"/>
      <c r="T16" s="704"/>
      <c r="U16" s="705"/>
      <c r="V16" s="704"/>
      <c r="W16" s="705"/>
      <c r="X16" s="1353"/>
      <c r="Y16" s="3799"/>
      <c r="Z16" s="1354"/>
      <c r="AA16" s="1351">
        <v>1</v>
      </c>
      <c r="AB16" s="1351">
        <v>1</v>
      </c>
      <c r="AC16" s="1351">
        <v>1</v>
      </c>
    </row>
    <row r="17" spans="1:29" ht="15">
      <c r="A17" s="379"/>
      <c r="B17" s="578" t="s">
        <v>1832</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99"/>
      <c r="Q17" s="1350" t="str">
        <f>B17</f>
        <v>交通便捷度</v>
      </c>
      <c r="R17" s="704" t="s">
        <v>14</v>
      </c>
      <c r="S17" s="705">
        <f>F17</f>
        <v>100</v>
      </c>
      <c r="T17" s="704" t="s">
        <v>14</v>
      </c>
      <c r="U17" s="705">
        <f>H17</f>
        <v>100</v>
      </c>
      <c r="V17" s="704" t="s">
        <v>14</v>
      </c>
      <c r="W17" s="705">
        <f>J17</f>
        <v>100</v>
      </c>
      <c r="X17" s="1353"/>
      <c r="Y17" s="3799"/>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799"/>
      <c r="Q18" s="1350"/>
      <c r="R18" s="704"/>
      <c r="S18" s="705"/>
      <c r="T18" s="704"/>
      <c r="U18" s="705"/>
      <c r="V18" s="704"/>
      <c r="W18" s="705"/>
      <c r="X18" s="1353"/>
      <c r="Y18" s="3799"/>
      <c r="Z18" s="1354"/>
      <c r="AA18" s="1351">
        <v>1</v>
      </c>
      <c r="AB18" s="1351">
        <v>1</v>
      </c>
      <c r="AC18" s="1351">
        <v>1</v>
      </c>
    </row>
    <row r="19" spans="1:29" ht="15">
      <c r="A19" s="379"/>
      <c r="B19" s="578" t="s">
        <v>1870</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99"/>
      <c r="Q19" s="1350" t="str">
        <f t="shared" ref="Q19:Q33" si="8">B19</f>
        <v>区域土地利用方向</v>
      </c>
      <c r="R19" s="704" t="s">
        <v>14</v>
      </c>
      <c r="S19" s="705">
        <f>F19</f>
        <v>100</v>
      </c>
      <c r="T19" s="704" t="s">
        <v>14</v>
      </c>
      <c r="U19" s="705">
        <f>H19</f>
        <v>100</v>
      </c>
      <c r="V19" s="704" t="s">
        <v>14</v>
      </c>
      <c r="W19" s="705">
        <f>J19</f>
        <v>100</v>
      </c>
      <c r="X19" s="1353"/>
      <c r="Y19" s="3799"/>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799"/>
      <c r="Q20" s="1350"/>
      <c r="R20" s="704"/>
      <c r="S20" s="705"/>
      <c r="T20" s="704"/>
      <c r="U20" s="705"/>
      <c r="V20" s="704"/>
      <c r="W20" s="705"/>
      <c r="X20" s="1353"/>
      <c r="Y20" s="3799"/>
      <c r="Z20" s="1354"/>
      <c r="AA20" s="1351"/>
      <c r="AB20" s="1351"/>
      <c r="AC20" s="1351"/>
    </row>
    <row r="21" spans="1:29" ht="15">
      <c r="A21" s="358"/>
      <c r="B21" s="578" t="s">
        <v>1920</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99"/>
      <c r="Q21" s="1350" t="str">
        <f t="shared" si="8"/>
        <v>环境状况</v>
      </c>
      <c r="R21" s="704" t="s">
        <v>14</v>
      </c>
      <c r="S21" s="705">
        <f>F21</f>
        <v>100</v>
      </c>
      <c r="T21" s="704" t="s">
        <v>14</v>
      </c>
      <c r="U21" s="705">
        <f>H21</f>
        <v>100</v>
      </c>
      <c r="V21" s="704" t="s">
        <v>14</v>
      </c>
      <c r="W21" s="705">
        <f>J21</f>
        <v>100</v>
      </c>
      <c r="X21" s="1353"/>
      <c r="Y21" s="3799"/>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799"/>
      <c r="Q22" s="1350"/>
      <c r="R22" s="704"/>
      <c r="S22" s="705"/>
      <c r="T22" s="704"/>
      <c r="U22" s="705"/>
      <c r="V22" s="704"/>
      <c r="W22" s="705"/>
      <c r="X22" s="1353"/>
      <c r="Y22" s="3799"/>
      <c r="Z22" s="1354"/>
      <c r="AA22" s="1351">
        <v>1</v>
      </c>
      <c r="AB22" s="1351">
        <v>1</v>
      </c>
      <c r="AC22" s="1351">
        <v>1</v>
      </c>
    </row>
    <row r="23" spans="1:29" s="108" customFormat="1" ht="15">
      <c r="A23" s="596"/>
      <c r="B23" s="580" t="s">
        <v>1777</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99"/>
      <c r="Q23" s="1341" t="str">
        <f t="shared" si="8"/>
        <v>公共配套设施</v>
      </c>
      <c r="R23" s="700" t="s">
        <v>14</v>
      </c>
      <c r="S23" s="701">
        <f>F23</f>
        <v>100</v>
      </c>
      <c r="T23" s="700" t="s">
        <v>14</v>
      </c>
      <c r="U23" s="701">
        <f>H23</f>
        <v>100</v>
      </c>
      <c r="V23" s="700" t="s">
        <v>14</v>
      </c>
      <c r="W23" s="701">
        <f>J23</f>
        <v>100</v>
      </c>
      <c r="X23" s="702"/>
      <c r="Y23" s="3799"/>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1"/>
      <c r="M24" s="2712"/>
      <c r="N24" s="2712"/>
      <c r="O24" s="2766"/>
      <c r="P24" s="3799"/>
      <c r="Q24" s="1341"/>
      <c r="R24" s="700"/>
      <c r="S24" s="701"/>
      <c r="T24" s="700"/>
      <c r="U24" s="701"/>
      <c r="V24" s="700"/>
      <c r="W24" s="701"/>
      <c r="X24" s="702"/>
      <c r="Y24" s="3799"/>
      <c r="Z24" s="52"/>
      <c r="AA24" s="703">
        <v>1</v>
      </c>
      <c r="AB24" s="703">
        <v>1</v>
      </c>
      <c r="AC24" s="703">
        <v>1</v>
      </c>
    </row>
    <row r="25" spans="1:29" s="108" customFormat="1" ht="15">
      <c r="A25" s="596"/>
      <c r="B25" s="580" t="s">
        <v>1778</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99"/>
      <c r="Q25" s="1341" t="str">
        <f t="shared" ref="Q25" si="9">B25</f>
        <v>基础设施水平</v>
      </c>
      <c r="R25" s="700" t="s">
        <v>14</v>
      </c>
      <c r="S25" s="701">
        <f>F25</f>
        <v>100</v>
      </c>
      <c r="T25" s="700" t="s">
        <v>14</v>
      </c>
      <c r="U25" s="701">
        <f>H25</f>
        <v>100</v>
      </c>
      <c r="V25" s="700" t="s">
        <v>14</v>
      </c>
      <c r="W25" s="701">
        <f>J25</f>
        <v>100</v>
      </c>
      <c r="X25" s="702"/>
      <c r="Y25" s="3799"/>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1"/>
      <c r="M26" s="2712"/>
      <c r="N26" s="2712"/>
      <c r="O26" s="2766"/>
      <c r="P26" s="3799"/>
      <c r="Q26" s="1341"/>
      <c r="R26" s="700"/>
      <c r="S26" s="701"/>
      <c r="T26" s="700"/>
      <c r="U26" s="701"/>
      <c r="V26" s="700"/>
      <c r="W26" s="701"/>
      <c r="X26" s="702"/>
      <c r="Y26" s="3799"/>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9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99"/>
      <c r="Z27" s="1354" t="str">
        <f t="shared" ref="Z27:Z40" si="13">Q27</f>
        <v>临街状况</v>
      </c>
      <c r="AA27" s="1351">
        <f t="shared" si="3"/>
        <v>1</v>
      </c>
      <c r="AB27" s="1351">
        <f t="shared" si="4"/>
        <v>1</v>
      </c>
      <c r="AC27" s="1351">
        <f t="shared" si="5"/>
        <v>1</v>
      </c>
    </row>
    <row r="28" spans="1:29" ht="27">
      <c r="A28" s="379"/>
      <c r="B28" s="580"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99"/>
      <c r="Q28" s="1350" t="str">
        <f t="shared" si="8"/>
        <v>毗邻道路的类型与等级</v>
      </c>
      <c r="R28" s="704" t="s">
        <v>14</v>
      </c>
      <c r="S28" s="705">
        <f t="shared" si="10"/>
        <v>100</v>
      </c>
      <c r="T28" s="704" t="s">
        <v>14</v>
      </c>
      <c r="U28" s="705">
        <f t="shared" si="11"/>
        <v>100</v>
      </c>
      <c r="V28" s="704" t="s">
        <v>14</v>
      </c>
      <c r="W28" s="705">
        <f t="shared" si="12"/>
        <v>100</v>
      </c>
      <c r="X28" s="1353"/>
      <c r="Y28" s="3799"/>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799"/>
      <c r="Q29" s="1350"/>
      <c r="R29" s="704"/>
      <c r="S29" s="705"/>
      <c r="T29" s="704"/>
      <c r="U29" s="705"/>
      <c r="V29" s="704"/>
      <c r="W29" s="705"/>
      <c r="X29" s="1353"/>
      <c r="Y29" s="3799"/>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99"/>
      <c r="Q30" s="1350" t="str">
        <f t="shared" si="8"/>
        <v>土地级别</v>
      </c>
      <c r="R30" s="704" t="s">
        <v>14</v>
      </c>
      <c r="S30" s="705">
        <f t="shared" si="10"/>
        <v>100</v>
      </c>
      <c r="T30" s="704" t="s">
        <v>14</v>
      </c>
      <c r="U30" s="705">
        <f t="shared" si="11"/>
        <v>100</v>
      </c>
      <c r="V30" s="704" t="s">
        <v>14</v>
      </c>
      <c r="W30" s="705">
        <f t="shared" si="12"/>
        <v>100</v>
      </c>
      <c r="X30" s="1353"/>
      <c r="Y30" s="3799"/>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99"/>
      <c r="Q31" s="1350">
        <f t="shared" si="8"/>
        <v>111</v>
      </c>
      <c r="R31" s="704" t="s">
        <v>14</v>
      </c>
      <c r="S31" s="705">
        <f t="shared" si="10"/>
        <v>100</v>
      </c>
      <c r="T31" s="704" t="s">
        <v>14</v>
      </c>
      <c r="U31" s="705">
        <f t="shared" si="11"/>
        <v>100</v>
      </c>
      <c r="V31" s="704" t="s">
        <v>14</v>
      </c>
      <c r="W31" s="705">
        <f t="shared" si="12"/>
        <v>100</v>
      </c>
      <c r="X31" s="1353"/>
      <c r="Y31" s="3799"/>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822" t="s">
        <v>1695</v>
      </c>
      <c r="Q32" s="1350">
        <f t="shared" si="8"/>
        <v>111</v>
      </c>
      <c r="R32" s="704" t="s">
        <v>14</v>
      </c>
      <c r="S32" s="705">
        <f t="shared" si="10"/>
        <v>100</v>
      </c>
      <c r="T32" s="704" t="s">
        <v>14</v>
      </c>
      <c r="U32" s="705">
        <f t="shared" si="11"/>
        <v>100</v>
      </c>
      <c r="V32" s="704" t="s">
        <v>14</v>
      </c>
      <c r="W32" s="705">
        <f t="shared" si="12"/>
        <v>100</v>
      </c>
      <c r="X32" s="1353"/>
      <c r="Y32" s="3803" t="s">
        <v>1695</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803"/>
      <c r="Q33" s="1350">
        <f t="shared" si="8"/>
        <v>111</v>
      </c>
      <c r="R33" s="707" t="s">
        <v>14</v>
      </c>
      <c r="S33" s="708">
        <f t="shared" si="10"/>
        <v>100</v>
      </c>
      <c r="T33" s="707" t="s">
        <v>14</v>
      </c>
      <c r="U33" s="708">
        <f t="shared" si="11"/>
        <v>100</v>
      </c>
      <c r="V33" s="707" t="s">
        <v>14</v>
      </c>
      <c r="W33" s="708">
        <f t="shared" si="12"/>
        <v>100</v>
      </c>
      <c r="X33" s="709"/>
      <c r="Y33" s="3803"/>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803"/>
      <c r="Q34" s="1350" t="str">
        <f>B34</f>
        <v>宗地面积</v>
      </c>
      <c r="R34" s="704" t="s">
        <v>14</v>
      </c>
      <c r="S34" s="705" t="e">
        <f t="shared" si="10"/>
        <v>#N/A</v>
      </c>
      <c r="T34" s="704" t="s">
        <v>14</v>
      </c>
      <c r="U34" s="705" t="e">
        <f t="shared" si="11"/>
        <v>#N/A</v>
      </c>
      <c r="V34" s="704" t="s">
        <v>14</v>
      </c>
      <c r="W34" s="705" t="e">
        <f t="shared" si="12"/>
        <v>#N/A</v>
      </c>
      <c r="X34" s="1353"/>
      <c r="Y34" s="3803"/>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803"/>
      <c r="Q35" s="1350" t="str">
        <f t="shared" ref="Q35:Q40" si="14">B35</f>
        <v>宗地形状</v>
      </c>
      <c r="R35" s="704" t="s">
        <v>14</v>
      </c>
      <c r="S35" s="705">
        <f t="shared" si="10"/>
        <v>100</v>
      </c>
      <c r="T35" s="704" t="s">
        <v>14</v>
      </c>
      <c r="U35" s="705">
        <f t="shared" si="11"/>
        <v>100</v>
      </c>
      <c r="V35" s="704" t="s">
        <v>14</v>
      </c>
      <c r="W35" s="705">
        <f t="shared" si="12"/>
        <v>100</v>
      </c>
      <c r="X35" s="1353"/>
      <c r="Y35" s="3803"/>
      <c r="Z35" s="1354" t="str">
        <f t="shared" si="13"/>
        <v>宗地形状</v>
      </c>
      <c r="AA35" s="1351">
        <f t="shared" si="3"/>
        <v>1</v>
      </c>
      <c r="AB35" s="1351">
        <f t="shared" si="4"/>
        <v>1</v>
      </c>
      <c r="AC35" s="1351">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803"/>
      <c r="Q36" s="1350" t="str">
        <f t="shared" si="14"/>
        <v>宗地开发程度</v>
      </c>
      <c r="R36" s="700" t="s">
        <v>14</v>
      </c>
      <c r="S36" s="701">
        <f t="shared" si="10"/>
        <v>100</v>
      </c>
      <c r="T36" s="700" t="s">
        <v>14</v>
      </c>
      <c r="U36" s="701">
        <f t="shared" si="11"/>
        <v>100</v>
      </c>
      <c r="V36" s="700" t="s">
        <v>14</v>
      </c>
      <c r="W36" s="701">
        <f t="shared" si="12"/>
        <v>100</v>
      </c>
      <c r="X36" s="702"/>
      <c r="Y36" s="3803"/>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803" t="s">
        <v>1695</v>
      </c>
      <c r="Q37" s="1350" t="str">
        <f t="shared" si="14"/>
        <v>工程地质条件</v>
      </c>
      <c r="R37" s="704" t="s">
        <v>14</v>
      </c>
      <c r="S37" s="705">
        <f t="shared" si="10"/>
        <v>100</v>
      </c>
      <c r="T37" s="704" t="s">
        <v>14</v>
      </c>
      <c r="U37" s="705">
        <f t="shared" si="11"/>
        <v>100</v>
      </c>
      <c r="V37" s="704" t="s">
        <v>14</v>
      </c>
      <c r="W37" s="705">
        <f t="shared" si="12"/>
        <v>100</v>
      </c>
      <c r="X37" s="1353"/>
      <c r="Y37" s="3803"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803"/>
      <c r="Q38" s="1350">
        <f t="shared" si="14"/>
        <v>111</v>
      </c>
      <c r="R38" s="704" t="s">
        <v>14</v>
      </c>
      <c r="S38" s="705">
        <f t="shared" si="10"/>
        <v>100</v>
      </c>
      <c r="T38" s="704" t="s">
        <v>14</v>
      </c>
      <c r="U38" s="705">
        <f t="shared" si="11"/>
        <v>100</v>
      </c>
      <c r="V38" s="704" t="s">
        <v>14</v>
      </c>
      <c r="W38" s="705">
        <f t="shared" si="12"/>
        <v>100</v>
      </c>
      <c r="X38" s="1353"/>
      <c r="Y38" s="3803"/>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803"/>
      <c r="Q39" s="1350">
        <f t="shared" si="14"/>
        <v>111</v>
      </c>
      <c r="R39" s="704" t="s">
        <v>14</v>
      </c>
      <c r="S39" s="705">
        <f t="shared" si="10"/>
        <v>100</v>
      </c>
      <c r="T39" s="704" t="s">
        <v>14</v>
      </c>
      <c r="U39" s="705">
        <f t="shared" si="11"/>
        <v>100</v>
      </c>
      <c r="V39" s="704" t="s">
        <v>14</v>
      </c>
      <c r="W39" s="705">
        <f t="shared" si="12"/>
        <v>100</v>
      </c>
      <c r="X39" s="1353"/>
      <c r="Y39" s="3803"/>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803"/>
      <c r="Q40" s="1350">
        <f t="shared" si="14"/>
        <v>111</v>
      </c>
      <c r="R40" s="707" t="s">
        <v>14</v>
      </c>
      <c r="S40" s="708">
        <f t="shared" si="10"/>
        <v>100</v>
      </c>
      <c r="T40" s="707" t="s">
        <v>14</v>
      </c>
      <c r="U40" s="708">
        <f t="shared" si="11"/>
        <v>100</v>
      </c>
      <c r="V40" s="707" t="s">
        <v>14</v>
      </c>
      <c r="W40" s="708">
        <f t="shared" si="12"/>
        <v>100</v>
      </c>
      <c r="X40" s="709"/>
      <c r="Y40" s="3803"/>
      <c r="Z40" s="710">
        <f t="shared" si="13"/>
        <v>111</v>
      </c>
      <c r="AA40" s="1351">
        <f t="shared" si="3"/>
        <v>1</v>
      </c>
      <c r="AB40" s="1351">
        <f t="shared" si="4"/>
        <v>1</v>
      </c>
      <c r="AC40" s="1351">
        <f t="shared" si="5"/>
        <v>1</v>
      </c>
    </row>
    <row r="41" spans="1:31" ht="15">
      <c r="A41" s="430" t="s">
        <v>1843</v>
      </c>
      <c r="B41" s="1978" t="s">
        <v>1921</v>
      </c>
      <c r="C41" s="629" t="s">
        <v>0</v>
      </c>
      <c r="D41" s="432"/>
      <c r="E41" s="433"/>
      <c r="F41" s="434"/>
      <c r="G41" s="435"/>
      <c r="H41" s="436"/>
      <c r="I41" s="433"/>
      <c r="J41" s="436"/>
      <c r="K41" s="713"/>
      <c r="L41" s="2718"/>
      <c r="M41" s="2710"/>
      <c r="N41" s="2710"/>
      <c r="O41" s="2719"/>
      <c r="P41" s="3796" t="str">
        <f>A41</f>
        <v>成交单价</v>
      </c>
      <c r="Q41" s="3796"/>
      <c r="R41" s="3791">
        <f>E41</f>
        <v>0</v>
      </c>
      <c r="S41" s="3791"/>
      <c r="T41" s="3791">
        <f>G41</f>
        <v>0</v>
      </c>
      <c r="U41" s="3791"/>
      <c r="V41" s="3791">
        <f>I41</f>
        <v>0</v>
      </c>
      <c r="W41" s="3791"/>
      <c r="X41" s="689"/>
      <c r="Y41" s="711"/>
      <c r="Z41" s="689"/>
      <c r="AA41" s="689"/>
      <c r="AB41" s="689"/>
      <c r="AC41" s="689"/>
    </row>
    <row r="42" spans="1:31" ht="15.75" thickBot="1">
      <c r="A42" s="437" t="s">
        <v>1792</v>
      </c>
      <c r="B42" s="630"/>
      <c r="C42" s="440" t="e">
        <f>R43</f>
        <v>#DIV/0!</v>
      </c>
      <c r="D42" s="2313" t="s">
        <v>2137</v>
      </c>
      <c r="E42" s="440" t="e">
        <f>R42</f>
        <v>#DIV/0!</v>
      </c>
      <c r="F42" s="2314"/>
      <c r="G42" s="439" t="e">
        <f>T42</f>
        <v>#DIV/0!</v>
      </c>
      <c r="H42" s="2314"/>
      <c r="I42" s="440" t="e">
        <f>V42</f>
        <v>#DIV/0!</v>
      </c>
      <c r="J42" s="2314"/>
      <c r="K42" s="2316">
        <f>F42+H42+J42</f>
        <v>0</v>
      </c>
      <c r="L42" s="2718"/>
      <c r="M42" s="2710"/>
      <c r="N42" s="2710"/>
      <c r="O42" s="2719"/>
      <c r="P42" s="3796" t="str">
        <f>A42</f>
        <v>比较价值（元/平方米）</v>
      </c>
      <c r="Q42" s="3796"/>
      <c r="R42" s="3826" t="e">
        <f>ROUND(PRODUCT(R41,AA7:AA40),0)</f>
        <v>#DIV/0!</v>
      </c>
      <c r="S42" s="3826"/>
      <c r="T42" s="3826" t="e">
        <f>ROUND(PRODUCT(T41,AB7:AB40),0)</f>
        <v>#DIV/0!</v>
      </c>
      <c r="U42" s="3826"/>
      <c r="V42" s="3826" t="e">
        <f>ROUND(PRODUCT(V41,AC7:AC40),0)</f>
        <v>#DIV/0!</v>
      </c>
      <c r="W42" s="3826"/>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8"/>
      <c r="M43" s="2710"/>
      <c r="N43" s="2710"/>
      <c r="O43" s="2719"/>
      <c r="P43" s="3793" t="str">
        <f>A43</f>
        <v>估价对象XX用房的比较价值（楼面单价，元/平方米）</v>
      </c>
      <c r="Q43" s="3794"/>
      <c r="R43" s="3827" t="e">
        <f>ROUND(IF(D42="简单平均",AVERAGE(R42:W42),R42*F42+T42*H42+V42*J42),0)</f>
        <v>#DIV/0!</v>
      </c>
      <c r="S43" s="3827"/>
      <c r="T43" s="3827"/>
      <c r="U43" s="3827"/>
      <c r="V43" s="3827"/>
      <c r="W43" s="3827"/>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1880</v>
      </c>
      <c r="B50" s="632" t="s">
        <v>1881</v>
      </c>
      <c r="C50" s="1979" t="s">
        <v>1882</v>
      </c>
      <c r="D50" s="1980" t="s">
        <v>1883</v>
      </c>
      <c r="E50" s="633" t="s">
        <v>1884</v>
      </c>
      <c r="F50" s="634" t="s">
        <v>1885</v>
      </c>
      <c r="G50" s="3779" t="s">
        <v>1886</v>
      </c>
      <c r="H50" s="3828"/>
      <c r="I50" s="1354" t="s">
        <v>1922</v>
      </c>
      <c r="J50" s="1354">
        <f>项目基本情况!F35</f>
        <v>0</v>
      </c>
      <c r="K50" s="1982"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1889</v>
      </c>
      <c r="B51" s="636" t="e">
        <f>C43</f>
        <v>#DIV/0!</v>
      </c>
      <c r="C51" s="637">
        <v>1</v>
      </c>
      <c r="D51" s="943">
        <v>1</v>
      </c>
      <c r="E51" s="637">
        <f>'数据-汇总表'!E8+'数据-汇总表'!E9</f>
        <v>23065.670000000006</v>
      </c>
      <c r="F51" s="638" t="e">
        <f t="shared" ref="F51:F60" si="15">ROUND(B51*E51/10000,0)</f>
        <v>#DIV/0!</v>
      </c>
      <c r="G51" s="3778"/>
      <c r="H51" s="3796"/>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1890</v>
      </c>
      <c r="B52" s="218" t="e">
        <f>ROUND($C$43*C52*D52,0)</f>
        <v>#DIV/0!</v>
      </c>
      <c r="C52" s="171">
        <f t="shared" ref="C52:C60" si="16">IF($C$50="北京市系数",I52,J52)</f>
        <v>0.6</v>
      </c>
      <c r="D52" s="944">
        <v>0.25</v>
      </c>
      <c r="E52" s="641"/>
      <c r="F52" s="638" t="e">
        <f t="shared" si="15"/>
        <v>#DIV/0!</v>
      </c>
      <c r="G52" s="3000" t="s">
        <v>1891</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1892</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1893</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1894</v>
      </c>
      <c r="B56" s="218" t="e">
        <f t="shared" si="17"/>
        <v>#DIV/0!</v>
      </c>
      <c r="C56" s="171">
        <f t="shared" si="16"/>
        <v>0.25</v>
      </c>
      <c r="D56" s="944">
        <v>0.25</v>
      </c>
      <c r="E56" s="217">
        <f>'数据-汇总表'!E11</f>
        <v>0</v>
      </c>
      <c r="F56" s="638" t="e">
        <f t="shared" si="15"/>
        <v>#DIV/0!</v>
      </c>
      <c r="G56" s="1983" t="s">
        <v>1895</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1898</v>
      </c>
      <c r="B58" s="218" t="e">
        <f t="shared" si="17"/>
        <v>#DIV/0!</v>
      </c>
      <c r="C58" s="171">
        <f t="shared" si="16"/>
        <v>0.15</v>
      </c>
      <c r="D58" s="944">
        <v>0.25</v>
      </c>
      <c r="E58" s="217">
        <f>'数据-汇总表'!E13</f>
        <v>2677.4999999999986</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1900</v>
      </c>
      <c r="B59" s="218" t="e">
        <f t="shared" si="17"/>
        <v>#DIV/0!</v>
      </c>
      <c r="C59" s="171">
        <f t="shared" si="16"/>
        <v>0.15</v>
      </c>
      <c r="D59" s="944">
        <v>0.25</v>
      </c>
      <c r="E59" s="217">
        <f>'数据-汇总表'!E14</f>
        <v>0</v>
      </c>
      <c r="F59" s="638" t="e">
        <f t="shared" si="15"/>
        <v>#DIV/0!</v>
      </c>
      <c r="G59" s="1983" t="s">
        <v>1891</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1901</v>
      </c>
      <c r="B60" s="218" t="e">
        <f t="shared" si="17"/>
        <v>#DIV/0!</v>
      </c>
      <c r="C60" s="171">
        <f t="shared" si="16"/>
        <v>0.15</v>
      </c>
      <c r="D60" s="944">
        <v>0.25</v>
      </c>
      <c r="E60" s="217">
        <f>'数据-汇总表'!E15</f>
        <v>0</v>
      </c>
      <c r="F60" s="638" t="e">
        <f t="shared" si="15"/>
        <v>#DIV/0!</v>
      </c>
      <c r="G60" s="1984" t="s">
        <v>1895</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1902</v>
      </c>
      <c r="B61" s="643" t="s">
        <v>22</v>
      </c>
      <c r="C61" s="643" t="s">
        <v>23</v>
      </c>
      <c r="D61" s="643" t="s">
        <v>392</v>
      </c>
      <c r="E61" s="643">
        <f>IF(B41="楼面地价",SUM(E51:E60),'数据-汇总表'!D3)</f>
        <v>26199.81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9"/>
      <c r="Q63" s="2719"/>
      <c r="R63" s="2719"/>
      <c r="S63" s="2719"/>
      <c r="T63" s="2719"/>
      <c r="U63" s="2719"/>
      <c r="V63" s="2719"/>
      <c r="W63" s="2719"/>
      <c r="X63" s="2719"/>
      <c r="Y63" s="2719"/>
      <c r="Z63" s="2719"/>
      <c r="AA63" s="2719"/>
      <c r="AB63" s="2719"/>
      <c r="AC63" s="2719"/>
      <c r="AD63" s="2719"/>
      <c r="AE63" s="2719"/>
    </row>
    <row r="64" spans="1:31" ht="21.75" thickBot="1">
      <c r="A64" s="693" t="s">
        <v>1797</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5" t="s">
        <v>1903</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836" t="s">
        <v>2083</v>
      </c>
      <c r="D1" s="3837"/>
      <c r="E1" s="3837"/>
      <c r="F1" s="3837"/>
      <c r="G1" s="3837"/>
      <c r="H1" s="3837"/>
      <c r="I1" s="3837"/>
      <c r="J1" s="3837"/>
      <c r="K1" s="3837"/>
      <c r="L1" s="3837"/>
      <c r="M1" s="3837"/>
      <c r="N1" s="3837"/>
      <c r="O1" s="3837"/>
      <c r="P1" s="3837"/>
      <c r="Q1" s="3837"/>
      <c r="R1" s="3837"/>
      <c r="S1" s="383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833" t="s">
        <v>27</v>
      </c>
      <c r="D22" s="3834"/>
      <c r="E22" s="3834"/>
      <c r="F22" s="3834"/>
      <c r="G22" s="3834"/>
      <c r="H22" s="3834"/>
      <c r="I22" s="3834"/>
      <c r="J22" s="3834"/>
      <c r="K22" s="3834"/>
      <c r="L22" s="3834"/>
      <c r="M22" s="3834"/>
      <c r="N22" s="3834"/>
      <c r="O22" s="3834"/>
      <c r="P22" s="3834"/>
      <c r="Q22" s="383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3"/>
      <c r="C1" s="2143"/>
      <c r="D1" s="2143"/>
      <c r="E1" s="2143"/>
      <c r="F1" s="2787"/>
      <c r="G1" s="2787"/>
      <c r="H1" s="2787"/>
      <c r="I1" s="2787"/>
      <c r="J1" s="2787"/>
      <c r="K1" s="2787"/>
      <c r="L1" s="2787"/>
      <c r="M1" s="2787"/>
      <c r="N1" s="2787"/>
      <c r="O1" s="2787"/>
      <c r="P1" s="2787"/>
    </row>
    <row r="2" spans="1:16" ht="15.75">
      <c r="A2" s="2141" t="s">
        <v>2072</v>
      </c>
      <c r="B2" s="2596" t="e">
        <f ca="1">SUMIF(B6:B13,"&lt;&gt;#ref!",B6:B13)</f>
        <v>#DIV/0!</v>
      </c>
      <c r="C2" s="2141" t="s">
        <v>2073</v>
      </c>
      <c r="D2" s="2141" t="s">
        <v>2074</v>
      </c>
      <c r="E2" s="2606">
        <f ca="1">SUMIF(E6:E13,"&lt;&gt;#ref!",E6:E13)</f>
        <v>26199.81</v>
      </c>
      <c r="F2" s="2787"/>
      <c r="G2" s="2787"/>
      <c r="H2" s="2787"/>
      <c r="I2" s="2787"/>
      <c r="J2" s="2787"/>
      <c r="K2" s="2787"/>
      <c r="L2" s="2787"/>
      <c r="M2" s="2787"/>
      <c r="N2" s="2787"/>
      <c r="O2" s="2787"/>
      <c r="P2" s="2787"/>
    </row>
    <row r="3" spans="1:16" ht="15.75">
      <c r="A3" s="2141" t="s">
        <v>2075</v>
      </c>
      <c r="B3" s="2596" t="e">
        <f ca="1">ROUND(B2*10000/E2,0)</f>
        <v>#DIV/0!</v>
      </c>
      <c r="C3" s="2141"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2"/>
      <c r="D5" s="2787"/>
      <c r="E5" s="2605" t="s">
        <v>2078</v>
      </c>
      <c r="F5" s="2787"/>
      <c r="G5" s="2787"/>
      <c r="H5" s="2787"/>
      <c r="I5" s="2787"/>
      <c r="J5" s="2787"/>
      <c r="K5" s="2787"/>
      <c r="L5" s="2787"/>
      <c r="M5" s="2787"/>
      <c r="N5" s="2787"/>
      <c r="O5" s="2787"/>
      <c r="P5" s="2787"/>
    </row>
    <row r="6" spans="1:16" ht="15.75">
      <c r="A6" s="2603" t="s">
        <v>2079</v>
      </c>
      <c r="B6" s="2596" t="e">
        <f ca="1">SUMIF(INDIRECT("'"&amp;A6&amp;"'"&amp;"!A:A"),"总价",INDIRECT("'"&amp;A6&amp;"'"&amp;"!B:B"))</f>
        <v>#DIV/0!</v>
      </c>
      <c r="C6" s="2141" t="s">
        <v>2073</v>
      </c>
      <c r="D6" s="2787"/>
      <c r="E6" s="2606">
        <f ca="1">SUMIF(INDIRECT("'"&amp;A6&amp;"'"&amp;"!C:C"),"建筑面积",INDIRECT("'"&amp;A6&amp;"'"&amp;"!D:D"))</f>
        <v>26199.81</v>
      </c>
      <c r="F6" s="2787"/>
      <c r="G6" s="2787"/>
      <c r="H6" s="2787"/>
      <c r="I6" s="2787"/>
      <c r="J6" s="2787"/>
      <c r="K6" s="2787"/>
      <c r="L6" s="2787"/>
      <c r="M6" s="2787"/>
      <c r="N6" s="2787"/>
      <c r="O6" s="2787"/>
      <c r="P6" s="2787"/>
    </row>
    <row r="7" spans="1:16" ht="15.75">
      <c r="A7" s="2603"/>
      <c r="B7" s="2596" t="e">
        <f ca="1">SUMIF(INDIRECT("'"&amp;A7&amp;"'"&amp;"!A:A"),"总价",INDIRECT("'"&amp;A7&amp;"'"&amp;"!B:B"))</f>
        <v>#REF!</v>
      </c>
      <c r="C7" s="2141"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tabSelected="1" topLeftCell="E1" workbookViewId="0">
      <selection activeCell="AC38" sqref="AC38"/>
    </sheetView>
  </sheetViews>
  <sheetFormatPr defaultRowHeight="14.25"/>
  <cols>
    <col min="1" max="1" width="20" style="3895" customWidth="1"/>
    <col min="2" max="4" width="20" style="3895" hidden="1" customWidth="1"/>
    <col min="5" max="5" width="9.375" style="3895" customWidth="1"/>
    <col min="6" max="6" width="20" style="3895" customWidth="1"/>
    <col min="7" max="7" width="20" style="3895" hidden="1" customWidth="1"/>
    <col min="8" max="8" width="20" style="3895" customWidth="1"/>
    <col min="9" max="9" width="12.75" style="3895" customWidth="1"/>
    <col min="10" max="10" width="11.875" style="3895" customWidth="1"/>
    <col min="11" max="11" width="20" style="3895" customWidth="1"/>
    <col min="12" max="12" width="20" style="3895" hidden="1" customWidth="1"/>
    <col min="13" max="13" width="20" style="3895" customWidth="1"/>
    <col min="14" max="28" width="20" style="3895" hidden="1" customWidth="1"/>
    <col min="29" max="29" width="20" style="3895" customWidth="1"/>
    <col min="30" max="31" width="20" style="3895" hidden="1" customWidth="1"/>
    <col min="32" max="32" width="20" style="3895" customWidth="1"/>
    <col min="33" max="37" width="20" style="3895" hidden="1" customWidth="1"/>
    <col min="38" max="38" width="20" style="3895" customWidth="1"/>
    <col min="39" max="39" width="20" style="3895" hidden="1" customWidth="1"/>
    <col min="40" max="40" width="20" style="3895" customWidth="1"/>
    <col min="41" max="41" width="20" style="3895" hidden="1" customWidth="1"/>
    <col min="42" max="42" width="20" style="3895" customWidth="1"/>
    <col min="43" max="44" width="20" style="3895" hidden="1" customWidth="1"/>
    <col min="45" max="46" width="20" style="3895" customWidth="1"/>
    <col min="47" max="51" width="20" style="3895" hidden="1" customWidth="1"/>
    <col min="52" max="53" width="20" style="3895" customWidth="1"/>
    <col min="54" max="16384" width="9" style="3895"/>
  </cols>
  <sheetData>
    <row r="1" spans="1:52">
      <c r="A1" s="3895" t="s">
        <v>3727</v>
      </c>
      <c r="B1" s="3895" t="s">
        <v>3778</v>
      </c>
      <c r="C1" s="3895" t="s">
        <v>3728</v>
      </c>
      <c r="D1" s="3895" t="s">
        <v>3779</v>
      </c>
      <c r="E1" s="3895" t="s">
        <v>3729</v>
      </c>
      <c r="F1" s="3895" t="s">
        <v>3730</v>
      </c>
      <c r="G1" s="3895" t="s">
        <v>3780</v>
      </c>
      <c r="H1" s="3895" t="s">
        <v>3731</v>
      </c>
      <c r="I1" s="3895" t="s">
        <v>3735</v>
      </c>
      <c r="J1" s="3895" t="s">
        <v>3734</v>
      </c>
      <c r="K1" s="3895" t="s">
        <v>3732</v>
      </c>
      <c r="L1" s="3895" t="s">
        <v>3781</v>
      </c>
      <c r="M1" s="3895" t="s">
        <v>3733</v>
      </c>
      <c r="N1" s="3895" t="s">
        <v>3782</v>
      </c>
      <c r="O1" s="3895" t="s">
        <v>3783</v>
      </c>
      <c r="P1" s="3895" t="s">
        <v>3784</v>
      </c>
      <c r="Q1" s="3895" t="s">
        <v>3785</v>
      </c>
      <c r="R1" s="3895" t="s">
        <v>3743</v>
      </c>
      <c r="S1" s="3895" t="s">
        <v>3744</v>
      </c>
      <c r="T1" s="3895" t="s">
        <v>3786</v>
      </c>
      <c r="U1" s="3895" t="s">
        <v>3787</v>
      </c>
      <c r="V1" s="3895" t="s">
        <v>3788</v>
      </c>
      <c r="W1" s="3895" t="s">
        <v>3789</v>
      </c>
      <c r="X1" s="3895" t="s">
        <v>3790</v>
      </c>
      <c r="Y1" s="3895" t="s">
        <v>3791</v>
      </c>
      <c r="Z1" s="3895" t="s">
        <v>3792</v>
      </c>
      <c r="AA1" s="3895" t="s">
        <v>3793</v>
      </c>
      <c r="AB1" s="3895" t="s">
        <v>3794</v>
      </c>
      <c r="AC1" s="3895" t="s">
        <v>3736</v>
      </c>
      <c r="AD1" s="3895" t="s">
        <v>3795</v>
      </c>
      <c r="AE1" s="3895" t="s">
        <v>3796</v>
      </c>
      <c r="AF1" s="3895" t="s">
        <v>3741</v>
      </c>
      <c r="AG1" s="3895" t="s">
        <v>3797</v>
      </c>
      <c r="AH1" s="3895" t="s">
        <v>3798</v>
      </c>
      <c r="AI1" s="3895" t="s">
        <v>3799</v>
      </c>
      <c r="AJ1" s="3895" t="s">
        <v>3742</v>
      </c>
      <c r="AK1" s="3895" t="s">
        <v>3800</v>
      </c>
      <c r="AL1" s="3895" t="s">
        <v>3737</v>
      </c>
      <c r="AM1" s="3895" t="s">
        <v>3801</v>
      </c>
      <c r="AN1" s="3895" t="s">
        <v>3739</v>
      </c>
      <c r="AO1" s="3895" t="s">
        <v>3802</v>
      </c>
      <c r="AP1" s="3895" t="s">
        <v>3738</v>
      </c>
      <c r="AQ1" s="3895" t="s">
        <v>3803</v>
      </c>
      <c r="AR1" s="3895" t="s">
        <v>3804</v>
      </c>
      <c r="AS1" s="3895" t="s">
        <v>3740</v>
      </c>
      <c r="AT1" s="3895" t="s">
        <v>3805</v>
      </c>
      <c r="AU1" s="3895" t="s">
        <v>3806</v>
      </c>
      <c r="AV1" s="3895" t="s">
        <v>3807</v>
      </c>
      <c r="AW1" s="3895" t="s">
        <v>3808</v>
      </c>
      <c r="AX1" s="3895" t="s">
        <v>3809</v>
      </c>
      <c r="AY1" s="3895" t="s">
        <v>3810</v>
      </c>
      <c r="AZ1" s="3895" t="s">
        <v>3811</v>
      </c>
    </row>
    <row r="2" spans="1:52" s="3897" customFormat="1">
      <c r="A2" s="3897" t="s">
        <v>3918</v>
      </c>
      <c r="B2" s="3897" t="s">
        <v>3373</v>
      </c>
      <c r="C2" s="3897" t="s">
        <v>3813</v>
      </c>
      <c r="D2" s="3897" t="s">
        <v>3814</v>
      </c>
      <c r="E2" s="3897" t="s">
        <v>3815</v>
      </c>
      <c r="F2" s="3897" t="s">
        <v>3816</v>
      </c>
      <c r="G2" s="3897" t="s">
        <v>3817</v>
      </c>
      <c r="H2" s="3897" t="s">
        <v>3818</v>
      </c>
      <c r="I2" s="3897">
        <v>49900.54</v>
      </c>
      <c r="J2" s="3897">
        <v>109781.19</v>
      </c>
      <c r="K2" s="3897">
        <v>2.2000000000000002</v>
      </c>
      <c r="L2" s="3897" t="s">
        <v>3819</v>
      </c>
      <c r="M2" s="3897" t="s">
        <v>3820</v>
      </c>
      <c r="N2" s="3897" t="s">
        <v>3821</v>
      </c>
      <c r="O2" s="3897" t="s">
        <v>3822</v>
      </c>
      <c r="P2" s="3897" t="s">
        <v>3823</v>
      </c>
      <c r="Q2" s="3897">
        <v>45</v>
      </c>
      <c r="R2" s="3897" t="s">
        <v>3823</v>
      </c>
      <c r="S2" s="3897" t="s">
        <v>3823</v>
      </c>
      <c r="T2" s="3897" t="s">
        <v>3823</v>
      </c>
      <c r="U2" s="3897" t="s">
        <v>3823</v>
      </c>
      <c r="V2" s="3897" t="s">
        <v>3823</v>
      </c>
      <c r="W2" s="3897" t="s">
        <v>3823</v>
      </c>
      <c r="X2" s="3897">
        <v>0</v>
      </c>
      <c r="Y2" s="3897">
        <v>0</v>
      </c>
      <c r="Z2" s="3898">
        <v>45107.000497685185</v>
      </c>
      <c r="AA2" s="3898">
        <v>45127.000497685185</v>
      </c>
      <c r="AB2" s="3898">
        <v>45141.000497685185</v>
      </c>
      <c r="AC2" s="3898">
        <v>45141.000497685185</v>
      </c>
      <c r="AD2" s="3897" t="s">
        <v>3824</v>
      </c>
      <c r="AE2" s="3897" t="s">
        <v>3825</v>
      </c>
      <c r="AF2" s="3897" t="s">
        <v>3826</v>
      </c>
      <c r="AG2" s="3897" t="s">
        <v>3827</v>
      </c>
      <c r="AH2" s="3897" t="s">
        <v>3823</v>
      </c>
      <c r="AI2" s="3897">
        <v>227000</v>
      </c>
      <c r="AJ2" s="3897">
        <v>46000</v>
      </c>
      <c r="AK2" s="3897" t="s">
        <v>3828</v>
      </c>
      <c r="AL2" s="3897">
        <v>227000</v>
      </c>
      <c r="AM2" s="3897">
        <v>3032.7</v>
      </c>
      <c r="AN2" s="3897">
        <v>3032.7</v>
      </c>
      <c r="AO2" s="3897">
        <v>20677</v>
      </c>
      <c r="AP2" s="3897">
        <v>20677</v>
      </c>
      <c r="AQ2" s="3897" t="s">
        <v>3823</v>
      </c>
      <c r="AR2" s="3897" t="s">
        <v>3823</v>
      </c>
      <c r="AS2" s="3897">
        <v>0</v>
      </c>
      <c r="AT2" s="3897" t="s">
        <v>3829</v>
      </c>
      <c r="AU2" s="3897" t="s">
        <v>3822</v>
      </c>
      <c r="AV2" s="3897" t="s">
        <v>3823</v>
      </c>
      <c r="AW2" s="3897" t="s">
        <v>3822</v>
      </c>
      <c r="AX2" s="3897" t="s">
        <v>3823</v>
      </c>
      <c r="AY2" s="3897" t="s">
        <v>3823</v>
      </c>
      <c r="AZ2" s="3897" t="s">
        <v>3823</v>
      </c>
    </row>
    <row r="3" spans="1:52" s="3897" customFormat="1">
      <c r="A3" s="3897" t="s">
        <v>3919</v>
      </c>
      <c r="B3" s="3897" t="s">
        <v>3373</v>
      </c>
      <c r="C3" s="3897" t="s">
        <v>3746</v>
      </c>
      <c r="D3" s="3897" t="s">
        <v>3814</v>
      </c>
      <c r="E3" s="3897" t="s">
        <v>3815</v>
      </c>
      <c r="F3" s="3897" t="s">
        <v>3816</v>
      </c>
      <c r="G3" s="3897" t="s">
        <v>3841</v>
      </c>
      <c r="H3" s="3897" t="s">
        <v>3818</v>
      </c>
      <c r="I3" s="3897">
        <v>32733.22</v>
      </c>
      <c r="J3" s="3897">
        <v>72013.08</v>
      </c>
      <c r="K3" s="3897">
        <v>2.2000000000000002</v>
      </c>
      <c r="L3" s="3897" t="s">
        <v>3819</v>
      </c>
      <c r="M3" s="3897" t="s">
        <v>3820</v>
      </c>
      <c r="N3" s="3897" t="s">
        <v>3821</v>
      </c>
      <c r="O3" s="3897" t="s">
        <v>3822</v>
      </c>
      <c r="P3" s="3897" t="s">
        <v>3823</v>
      </c>
      <c r="Q3" s="3897" t="s">
        <v>3823</v>
      </c>
      <c r="R3" s="3897" t="s">
        <v>3823</v>
      </c>
      <c r="S3" s="3897" t="s">
        <v>3823</v>
      </c>
      <c r="T3" s="3897" t="s">
        <v>3823</v>
      </c>
      <c r="U3" s="3897" t="s">
        <v>3823</v>
      </c>
      <c r="V3" s="3897" t="s">
        <v>3823</v>
      </c>
      <c r="W3" s="3897" t="s">
        <v>3823</v>
      </c>
      <c r="X3" s="3897">
        <v>0</v>
      </c>
      <c r="Y3" s="3897">
        <v>0</v>
      </c>
      <c r="Z3" s="3898">
        <v>44830.000497685185</v>
      </c>
      <c r="AA3" s="3898">
        <v>44851.000497685185</v>
      </c>
      <c r="AB3" s="3898">
        <v>44865.000497685185</v>
      </c>
      <c r="AC3" s="3898">
        <v>44865.000497685185</v>
      </c>
      <c r="AD3" s="3897" t="s">
        <v>3842</v>
      </c>
      <c r="AE3" s="3897" t="s">
        <v>3825</v>
      </c>
      <c r="AF3" s="3897" t="s">
        <v>3747</v>
      </c>
      <c r="AG3" s="3897" t="s">
        <v>3843</v>
      </c>
      <c r="AH3" s="3897" t="s">
        <v>3839</v>
      </c>
      <c r="AI3" s="3897">
        <v>149000</v>
      </c>
      <c r="AJ3" s="3897">
        <v>30000</v>
      </c>
      <c r="AK3" s="3897" t="s">
        <v>3844</v>
      </c>
      <c r="AL3" s="3897">
        <v>149000</v>
      </c>
      <c r="AM3" s="3897">
        <v>3034.63</v>
      </c>
      <c r="AN3" s="3897">
        <v>3034.63</v>
      </c>
      <c r="AO3" s="3897">
        <v>20691</v>
      </c>
      <c r="AP3" s="3897">
        <v>20691</v>
      </c>
      <c r="AQ3" s="3897" t="s">
        <v>3823</v>
      </c>
      <c r="AR3" s="3897" t="s">
        <v>3823</v>
      </c>
      <c r="AS3" s="3897">
        <v>0</v>
      </c>
      <c r="AT3" s="3897" t="s">
        <v>3829</v>
      </c>
      <c r="AU3" s="3897" t="s">
        <v>3822</v>
      </c>
      <c r="AV3" s="3897" t="s">
        <v>3823</v>
      </c>
      <c r="AW3" s="3897" t="s">
        <v>3822</v>
      </c>
      <c r="AX3" s="3897" t="s">
        <v>3823</v>
      </c>
      <c r="AY3" s="3897" t="s">
        <v>3823</v>
      </c>
      <c r="AZ3" s="3897" t="s">
        <v>3823</v>
      </c>
    </row>
    <row r="4" spans="1:52" s="3897" customFormat="1">
      <c r="A4" s="3897" t="s">
        <v>3920</v>
      </c>
      <c r="B4" s="3897" t="s">
        <v>3373</v>
      </c>
      <c r="C4" s="3897" t="s">
        <v>3847</v>
      </c>
      <c r="D4" s="3897" t="s">
        <v>3814</v>
      </c>
      <c r="E4" s="3897" t="s">
        <v>3832</v>
      </c>
      <c r="F4" s="3897" t="s">
        <v>3833</v>
      </c>
      <c r="G4" s="3897" t="s">
        <v>3834</v>
      </c>
      <c r="H4" s="3897" t="s">
        <v>3818</v>
      </c>
      <c r="I4" s="3897">
        <v>12629.88</v>
      </c>
      <c r="J4" s="3897">
        <v>80000</v>
      </c>
      <c r="K4" s="3897">
        <v>6.33</v>
      </c>
      <c r="L4" s="3897" t="s">
        <v>3819</v>
      </c>
      <c r="M4" s="3897" t="s">
        <v>3849</v>
      </c>
      <c r="N4" s="3897" t="s">
        <v>3821</v>
      </c>
      <c r="O4" s="3897" t="s">
        <v>3822</v>
      </c>
      <c r="P4" s="3897">
        <v>0.4</v>
      </c>
      <c r="Q4" s="3897" t="s">
        <v>3823</v>
      </c>
      <c r="R4" s="3897" t="s">
        <v>3823</v>
      </c>
      <c r="S4" s="3897" t="s">
        <v>3823</v>
      </c>
      <c r="T4" s="3897" t="s">
        <v>3823</v>
      </c>
      <c r="U4" s="3897" t="s">
        <v>3823</v>
      </c>
      <c r="V4" s="3897">
        <v>0</v>
      </c>
      <c r="W4" s="3897">
        <v>0</v>
      </c>
      <c r="X4" s="3897">
        <v>0</v>
      </c>
      <c r="Y4" s="3897">
        <v>0</v>
      </c>
      <c r="Z4" s="3898">
        <v>44764.000497685185</v>
      </c>
      <c r="AA4" s="3898">
        <v>44784.000497685185</v>
      </c>
      <c r="AB4" s="3898">
        <v>44798.000497685185</v>
      </c>
      <c r="AC4" s="3898">
        <v>44798.000497685185</v>
      </c>
      <c r="AD4" s="3897" t="s">
        <v>3850</v>
      </c>
      <c r="AE4" s="3897" t="s">
        <v>3825</v>
      </c>
      <c r="AF4" s="3897" t="s">
        <v>3851</v>
      </c>
      <c r="AG4" s="3897" t="s">
        <v>3852</v>
      </c>
      <c r="AH4" s="3897" t="s">
        <v>3853</v>
      </c>
      <c r="AI4" s="3897">
        <v>166000</v>
      </c>
      <c r="AJ4" s="3897">
        <v>34000</v>
      </c>
      <c r="AK4" s="3897" t="s">
        <v>3854</v>
      </c>
      <c r="AL4" s="3897">
        <v>166000</v>
      </c>
      <c r="AM4" s="3897">
        <v>8762.2900000000009</v>
      </c>
      <c r="AN4" s="3897">
        <v>8762.2900000000009</v>
      </c>
      <c r="AO4" s="3897">
        <v>20750</v>
      </c>
      <c r="AP4" s="3897">
        <v>20750</v>
      </c>
      <c r="AQ4" s="3897" t="s">
        <v>3823</v>
      </c>
      <c r="AR4" s="3897" t="s">
        <v>3823</v>
      </c>
      <c r="AS4" s="3897">
        <v>0</v>
      </c>
      <c r="AT4" s="3897" t="s">
        <v>3829</v>
      </c>
      <c r="AU4" s="3897" t="s">
        <v>3822</v>
      </c>
      <c r="AV4" s="3897" t="s">
        <v>3823</v>
      </c>
      <c r="AW4" s="3897" t="s">
        <v>3822</v>
      </c>
      <c r="AX4" s="3897" t="s">
        <v>3823</v>
      </c>
      <c r="AY4" s="3897" t="s">
        <v>3823</v>
      </c>
      <c r="AZ4" s="3897">
        <v>-20750</v>
      </c>
    </row>
    <row r="7" spans="1:52">
      <c r="A7" s="3895" t="s">
        <v>3727</v>
      </c>
      <c r="B7" s="3895" t="s">
        <v>3778</v>
      </c>
      <c r="C7" s="3895" t="s">
        <v>3728</v>
      </c>
      <c r="D7" s="3895" t="s">
        <v>3779</v>
      </c>
      <c r="E7" s="3895" t="s">
        <v>3729</v>
      </c>
      <c r="F7" s="3895" t="s">
        <v>3730</v>
      </c>
      <c r="G7" s="3895" t="s">
        <v>3780</v>
      </c>
      <c r="H7" s="3895" t="s">
        <v>3731</v>
      </c>
      <c r="I7" s="3895" t="s">
        <v>3735</v>
      </c>
      <c r="J7" s="3895" t="s">
        <v>3734</v>
      </c>
      <c r="K7" s="3895" t="s">
        <v>3732</v>
      </c>
      <c r="L7" s="3895" t="s">
        <v>3781</v>
      </c>
      <c r="M7" s="3895" t="s">
        <v>3733</v>
      </c>
      <c r="N7" s="3895" t="s">
        <v>3782</v>
      </c>
      <c r="O7" s="3895" t="s">
        <v>3783</v>
      </c>
      <c r="P7" s="3895" t="s">
        <v>3784</v>
      </c>
      <c r="Q7" s="3895" t="s">
        <v>3785</v>
      </c>
      <c r="R7" s="3895" t="s">
        <v>3743</v>
      </c>
      <c r="S7" s="3895" t="s">
        <v>3744</v>
      </c>
      <c r="T7" s="3895" t="s">
        <v>3786</v>
      </c>
      <c r="U7" s="3895" t="s">
        <v>3787</v>
      </c>
      <c r="V7" s="3895" t="s">
        <v>3788</v>
      </c>
      <c r="W7" s="3895" t="s">
        <v>3789</v>
      </c>
      <c r="X7" s="3895" t="s">
        <v>3790</v>
      </c>
      <c r="Y7" s="3895" t="s">
        <v>3791</v>
      </c>
      <c r="Z7" s="3895" t="s">
        <v>3792</v>
      </c>
      <c r="AA7" s="3895" t="s">
        <v>3793</v>
      </c>
      <c r="AB7" s="3895" t="s">
        <v>3794</v>
      </c>
      <c r="AC7" s="3895" t="s">
        <v>3736</v>
      </c>
      <c r="AD7" s="3895" t="s">
        <v>3795</v>
      </c>
      <c r="AE7" s="3895" t="s">
        <v>3796</v>
      </c>
      <c r="AF7" s="3895" t="s">
        <v>3741</v>
      </c>
      <c r="AG7" s="3895" t="s">
        <v>3797</v>
      </c>
      <c r="AH7" s="3895" t="s">
        <v>3798</v>
      </c>
      <c r="AI7" s="3895" t="s">
        <v>3799</v>
      </c>
      <c r="AJ7" s="3895" t="s">
        <v>3742</v>
      </c>
      <c r="AK7" s="3895" t="s">
        <v>3800</v>
      </c>
      <c r="AL7" s="3895" t="s">
        <v>3737</v>
      </c>
      <c r="AM7" s="3895" t="s">
        <v>3801</v>
      </c>
      <c r="AN7" s="3895" t="s">
        <v>3739</v>
      </c>
      <c r="AO7" s="3895" t="s">
        <v>3802</v>
      </c>
      <c r="AP7" s="3895" t="s">
        <v>3738</v>
      </c>
      <c r="AQ7" s="3895" t="s">
        <v>3803</v>
      </c>
      <c r="AR7" s="3895" t="s">
        <v>3804</v>
      </c>
      <c r="AS7" s="3895" t="s">
        <v>3740</v>
      </c>
      <c r="AT7" s="3895" t="s">
        <v>3805</v>
      </c>
      <c r="AU7" s="3895" t="s">
        <v>3806</v>
      </c>
      <c r="AV7" s="3895" t="s">
        <v>3807</v>
      </c>
      <c r="AW7" s="3895" t="s">
        <v>3808</v>
      </c>
      <c r="AX7" s="3895" t="s">
        <v>3809</v>
      </c>
      <c r="AY7" s="3895" t="s">
        <v>3810</v>
      </c>
      <c r="AZ7" s="3895" t="s">
        <v>3811</v>
      </c>
    </row>
    <row r="8" spans="1:52" s="3897" customFormat="1">
      <c r="A8" s="3897" t="s">
        <v>3812</v>
      </c>
      <c r="B8" s="3897" t="s">
        <v>3373</v>
      </c>
      <c r="C8" s="3897" t="s">
        <v>3813</v>
      </c>
      <c r="D8" s="3897" t="s">
        <v>3814</v>
      </c>
      <c r="E8" s="3897" t="s">
        <v>3815</v>
      </c>
      <c r="F8" s="3897" t="s">
        <v>3816</v>
      </c>
      <c r="G8" s="3897" t="s">
        <v>3817</v>
      </c>
      <c r="H8" s="3897" t="s">
        <v>3818</v>
      </c>
      <c r="I8" s="3897">
        <v>49900.54</v>
      </c>
      <c r="J8" s="3897">
        <v>109781.19</v>
      </c>
      <c r="K8" s="3897">
        <v>2.2000000000000002</v>
      </c>
      <c r="L8" s="3897" t="s">
        <v>3819</v>
      </c>
      <c r="M8" s="3897" t="s">
        <v>3820</v>
      </c>
      <c r="N8" s="3897" t="s">
        <v>3821</v>
      </c>
      <c r="O8" s="3897" t="s">
        <v>3822</v>
      </c>
      <c r="P8" s="3897" t="s">
        <v>3823</v>
      </c>
      <c r="Q8" s="3897">
        <v>45</v>
      </c>
      <c r="R8" s="3897" t="s">
        <v>3823</v>
      </c>
      <c r="S8" s="3897" t="s">
        <v>3823</v>
      </c>
      <c r="T8" s="3897" t="s">
        <v>3823</v>
      </c>
      <c r="U8" s="3897" t="s">
        <v>3823</v>
      </c>
      <c r="V8" s="3897" t="s">
        <v>3823</v>
      </c>
      <c r="W8" s="3897" t="s">
        <v>3823</v>
      </c>
      <c r="X8" s="3897">
        <v>0</v>
      </c>
      <c r="Y8" s="3897">
        <v>0</v>
      </c>
      <c r="Z8" s="3898">
        <v>45107.000497685185</v>
      </c>
      <c r="AA8" s="3898">
        <v>45127.000497685185</v>
      </c>
      <c r="AB8" s="3898">
        <v>45141.000497685185</v>
      </c>
      <c r="AC8" s="3898">
        <v>45141.000497685185</v>
      </c>
      <c r="AD8" s="3897" t="s">
        <v>3824</v>
      </c>
      <c r="AE8" s="3897" t="s">
        <v>3825</v>
      </c>
      <c r="AF8" s="3897" t="s">
        <v>3826</v>
      </c>
      <c r="AG8" s="3897" t="s">
        <v>3827</v>
      </c>
      <c r="AH8" s="3897" t="s">
        <v>3823</v>
      </c>
      <c r="AI8" s="3897">
        <v>227000</v>
      </c>
      <c r="AJ8" s="3897">
        <v>46000</v>
      </c>
      <c r="AK8" s="3897" t="s">
        <v>3828</v>
      </c>
      <c r="AL8" s="3897">
        <v>227000</v>
      </c>
      <c r="AM8" s="3897">
        <v>3032.7</v>
      </c>
      <c r="AN8" s="3897">
        <v>3032.7</v>
      </c>
      <c r="AO8" s="3897">
        <v>20677</v>
      </c>
      <c r="AP8" s="3897">
        <v>20677</v>
      </c>
      <c r="AQ8" s="3897" t="s">
        <v>3823</v>
      </c>
      <c r="AR8" s="3897" t="s">
        <v>3823</v>
      </c>
      <c r="AS8" s="3897">
        <v>0</v>
      </c>
      <c r="AT8" s="3897" t="s">
        <v>3829</v>
      </c>
      <c r="AU8" s="3897" t="s">
        <v>3822</v>
      </c>
      <c r="AV8" s="3897" t="s">
        <v>3823</v>
      </c>
      <c r="AW8" s="3897" t="s">
        <v>3822</v>
      </c>
      <c r="AX8" s="3897" t="s">
        <v>3823</v>
      </c>
      <c r="AY8" s="3897" t="s">
        <v>3823</v>
      </c>
      <c r="AZ8" s="3897" t="s">
        <v>3823</v>
      </c>
    </row>
    <row r="9" spans="1:52">
      <c r="A9" s="3895" t="s">
        <v>3830</v>
      </c>
      <c r="B9" s="3895" t="s">
        <v>3373</v>
      </c>
      <c r="C9" s="3895" t="s">
        <v>3831</v>
      </c>
      <c r="D9" s="3895" t="s">
        <v>3814</v>
      </c>
      <c r="E9" s="3895" t="s">
        <v>3832</v>
      </c>
      <c r="F9" s="3895" t="s">
        <v>3833</v>
      </c>
      <c r="G9" s="3895" t="s">
        <v>3834</v>
      </c>
      <c r="H9" s="3895" t="s">
        <v>3818</v>
      </c>
      <c r="I9" s="3895">
        <v>67829.210000000006</v>
      </c>
      <c r="J9" s="3895">
        <v>298100</v>
      </c>
      <c r="K9" s="3895">
        <v>4.4000000000000004</v>
      </c>
      <c r="L9" s="3895" t="s">
        <v>3819</v>
      </c>
      <c r="M9" s="3895" t="s">
        <v>3835</v>
      </c>
      <c r="N9" s="3895" t="s">
        <v>3821</v>
      </c>
      <c r="O9" s="3895" t="s">
        <v>3822</v>
      </c>
      <c r="P9" s="3895" t="s">
        <v>3823</v>
      </c>
      <c r="Q9" s="3895" t="s">
        <v>3823</v>
      </c>
      <c r="R9" s="3895" t="s">
        <v>3823</v>
      </c>
      <c r="S9" s="3895" t="s">
        <v>3823</v>
      </c>
      <c r="T9" s="3895" t="s">
        <v>3823</v>
      </c>
      <c r="U9" s="3895" t="s">
        <v>3823</v>
      </c>
      <c r="V9" s="3895" t="s">
        <v>3823</v>
      </c>
      <c r="W9" s="3895" t="s">
        <v>3823</v>
      </c>
      <c r="X9" s="3895">
        <v>0</v>
      </c>
      <c r="Y9" s="3895">
        <v>0</v>
      </c>
      <c r="Z9" s="3896">
        <v>45056.000497685185</v>
      </c>
      <c r="AA9" s="3896">
        <v>45076.000497685185</v>
      </c>
      <c r="AB9" s="3896">
        <v>45090.000497685185</v>
      </c>
      <c r="AC9" s="3896">
        <v>45090.000497685185</v>
      </c>
      <c r="AD9" s="3895" t="s">
        <v>3836</v>
      </c>
      <c r="AE9" s="3895" t="s">
        <v>3825</v>
      </c>
      <c r="AF9" s="3895" t="s">
        <v>3837</v>
      </c>
      <c r="AG9" s="3895" t="s">
        <v>3838</v>
      </c>
      <c r="AH9" s="3895" t="s">
        <v>3839</v>
      </c>
      <c r="AI9" s="3895">
        <v>680000</v>
      </c>
      <c r="AJ9" s="3895">
        <v>136000</v>
      </c>
      <c r="AK9" s="3895" t="s">
        <v>3840</v>
      </c>
      <c r="AL9" s="3895">
        <v>680000</v>
      </c>
      <c r="AM9" s="3895">
        <v>6683.45</v>
      </c>
      <c r="AN9" s="3895">
        <v>6683.45</v>
      </c>
      <c r="AO9" s="3895">
        <v>22811</v>
      </c>
      <c r="AP9" s="3895">
        <v>22811</v>
      </c>
      <c r="AQ9" s="3895" t="s">
        <v>3823</v>
      </c>
      <c r="AR9" s="3895" t="s">
        <v>3823</v>
      </c>
      <c r="AS9" s="3895">
        <v>0</v>
      </c>
      <c r="AT9" s="3895" t="s">
        <v>3829</v>
      </c>
      <c r="AU9" s="3895" t="s">
        <v>3822</v>
      </c>
      <c r="AV9" s="3895" t="s">
        <v>3823</v>
      </c>
      <c r="AW9" s="3895" t="s">
        <v>3822</v>
      </c>
      <c r="AX9" s="3895" t="s">
        <v>3823</v>
      </c>
      <c r="AY9" s="3895" t="s">
        <v>3823</v>
      </c>
      <c r="AZ9" s="3895" t="s">
        <v>3823</v>
      </c>
    </row>
    <row r="10" spans="1:52" s="3897" customFormat="1">
      <c r="A10" s="3897" t="s">
        <v>3745</v>
      </c>
      <c r="B10" s="3897" t="s">
        <v>3373</v>
      </c>
      <c r="C10" s="3897" t="s">
        <v>3746</v>
      </c>
      <c r="D10" s="3897" t="s">
        <v>3814</v>
      </c>
      <c r="E10" s="3897" t="s">
        <v>3815</v>
      </c>
      <c r="F10" s="3897" t="s">
        <v>3816</v>
      </c>
      <c r="G10" s="3897" t="s">
        <v>3841</v>
      </c>
      <c r="H10" s="3897" t="s">
        <v>3818</v>
      </c>
      <c r="I10" s="3897">
        <v>32733.22</v>
      </c>
      <c r="J10" s="3897">
        <v>72013.08</v>
      </c>
      <c r="K10" s="3897">
        <v>2.2000000000000002</v>
      </c>
      <c r="L10" s="3897" t="s">
        <v>3819</v>
      </c>
      <c r="M10" s="3897" t="s">
        <v>3820</v>
      </c>
      <c r="N10" s="3897" t="s">
        <v>3821</v>
      </c>
      <c r="O10" s="3897" t="s">
        <v>3822</v>
      </c>
      <c r="P10" s="3897" t="s">
        <v>3823</v>
      </c>
      <c r="Q10" s="3897" t="s">
        <v>3823</v>
      </c>
      <c r="R10" s="3897" t="s">
        <v>3823</v>
      </c>
      <c r="S10" s="3897" t="s">
        <v>3823</v>
      </c>
      <c r="T10" s="3897" t="s">
        <v>3823</v>
      </c>
      <c r="U10" s="3897" t="s">
        <v>3823</v>
      </c>
      <c r="V10" s="3897" t="s">
        <v>3823</v>
      </c>
      <c r="W10" s="3897" t="s">
        <v>3823</v>
      </c>
      <c r="X10" s="3897">
        <v>0</v>
      </c>
      <c r="Y10" s="3897">
        <v>0</v>
      </c>
      <c r="Z10" s="3898">
        <v>44830.000497685185</v>
      </c>
      <c r="AA10" s="3898">
        <v>44851.000497685185</v>
      </c>
      <c r="AB10" s="3898">
        <v>44865.000497685185</v>
      </c>
      <c r="AC10" s="3898">
        <v>44865.000497685185</v>
      </c>
      <c r="AD10" s="3897" t="s">
        <v>3842</v>
      </c>
      <c r="AE10" s="3897" t="s">
        <v>3825</v>
      </c>
      <c r="AF10" s="3897" t="s">
        <v>3747</v>
      </c>
      <c r="AG10" s="3897" t="s">
        <v>3843</v>
      </c>
      <c r="AH10" s="3897" t="s">
        <v>3839</v>
      </c>
      <c r="AI10" s="3897">
        <v>149000</v>
      </c>
      <c r="AJ10" s="3897">
        <v>30000</v>
      </c>
      <c r="AK10" s="3897" t="s">
        <v>3844</v>
      </c>
      <c r="AL10" s="3897">
        <v>149000</v>
      </c>
      <c r="AM10" s="3897">
        <v>3034.63</v>
      </c>
      <c r="AN10" s="3897">
        <v>3034.63</v>
      </c>
      <c r="AO10" s="3897">
        <v>20691</v>
      </c>
      <c r="AP10" s="3897">
        <v>20691</v>
      </c>
      <c r="AQ10" s="3897" t="s">
        <v>3823</v>
      </c>
      <c r="AR10" s="3897" t="s">
        <v>3823</v>
      </c>
      <c r="AS10" s="3897">
        <v>0</v>
      </c>
      <c r="AT10" s="3897" t="s">
        <v>3829</v>
      </c>
      <c r="AU10" s="3897" t="s">
        <v>3822</v>
      </c>
      <c r="AV10" s="3897" t="s">
        <v>3823</v>
      </c>
      <c r="AW10" s="3897" t="s">
        <v>3822</v>
      </c>
      <c r="AX10" s="3897" t="s">
        <v>3823</v>
      </c>
      <c r="AY10" s="3897" t="s">
        <v>3823</v>
      </c>
      <c r="AZ10" s="3897" t="s">
        <v>3823</v>
      </c>
    </row>
    <row r="11" spans="1:52">
      <c r="A11" s="3895" t="s">
        <v>3748</v>
      </c>
      <c r="B11" s="3895" t="s">
        <v>3373</v>
      </c>
      <c r="C11" s="3895" t="s">
        <v>3749</v>
      </c>
      <c r="D11" s="3895" t="s">
        <v>3814</v>
      </c>
      <c r="E11" s="3895" t="s">
        <v>3815</v>
      </c>
      <c r="F11" s="3895" t="s">
        <v>3816</v>
      </c>
      <c r="G11" s="3895" t="s">
        <v>3841</v>
      </c>
      <c r="H11" s="3895" t="s">
        <v>3818</v>
      </c>
      <c r="I11" s="3895">
        <v>29506.55</v>
      </c>
      <c r="J11" s="3895">
        <v>64914.41</v>
      </c>
      <c r="K11" s="3895">
        <v>2.2000000000000002</v>
      </c>
      <c r="L11" s="3895" t="s">
        <v>3819</v>
      </c>
      <c r="M11" s="3895" t="s">
        <v>3820</v>
      </c>
      <c r="N11" s="3895" t="s">
        <v>3821</v>
      </c>
      <c r="O11" s="3895" t="s">
        <v>3822</v>
      </c>
      <c r="P11" s="3895" t="s">
        <v>3823</v>
      </c>
      <c r="Q11" s="3895" t="s">
        <v>3823</v>
      </c>
      <c r="R11" s="3895" t="s">
        <v>3823</v>
      </c>
      <c r="S11" s="3895" t="s">
        <v>3823</v>
      </c>
      <c r="T11" s="3895" t="s">
        <v>3823</v>
      </c>
      <c r="U11" s="3895" t="s">
        <v>3823</v>
      </c>
      <c r="V11" s="3895" t="s">
        <v>3823</v>
      </c>
      <c r="W11" s="3895" t="s">
        <v>3823</v>
      </c>
      <c r="X11" s="3895">
        <v>0</v>
      </c>
      <c r="Y11" s="3895">
        <v>0</v>
      </c>
      <c r="Z11" s="3896">
        <v>44830.000497685185</v>
      </c>
      <c r="AA11" s="3896">
        <v>44851.000497685185</v>
      </c>
      <c r="AB11" s="3896">
        <v>44865.000497685185</v>
      </c>
      <c r="AC11" s="3896">
        <v>44865.000497685185</v>
      </c>
      <c r="AD11" s="3895" t="s">
        <v>3845</v>
      </c>
      <c r="AE11" s="3895" t="s">
        <v>3825</v>
      </c>
      <c r="AF11" s="3895" t="s">
        <v>3750</v>
      </c>
      <c r="AG11" s="3895" t="s">
        <v>3843</v>
      </c>
      <c r="AH11" s="3895" t="s">
        <v>3839</v>
      </c>
      <c r="AI11" s="3895">
        <v>135000</v>
      </c>
      <c r="AJ11" s="3895">
        <v>27000</v>
      </c>
      <c r="AK11" s="3895" t="s">
        <v>3844</v>
      </c>
      <c r="AL11" s="3895">
        <v>135000</v>
      </c>
      <c r="AM11" s="3895">
        <v>3050.17</v>
      </c>
      <c r="AN11" s="3895">
        <v>3050.17</v>
      </c>
      <c r="AO11" s="3895">
        <v>20797</v>
      </c>
      <c r="AP11" s="3895">
        <v>20797</v>
      </c>
      <c r="AQ11" s="3895" t="s">
        <v>3823</v>
      </c>
      <c r="AR11" s="3895" t="s">
        <v>3823</v>
      </c>
      <c r="AS11" s="3895">
        <v>0</v>
      </c>
      <c r="AT11" s="3895" t="s">
        <v>3829</v>
      </c>
      <c r="AU11" s="3895" t="s">
        <v>3822</v>
      </c>
      <c r="AV11" s="3895" t="s">
        <v>3823</v>
      </c>
      <c r="AW11" s="3895" t="s">
        <v>3822</v>
      </c>
      <c r="AX11" s="3895" t="s">
        <v>3823</v>
      </c>
      <c r="AY11" s="3895" t="s">
        <v>3823</v>
      </c>
      <c r="AZ11" s="3895" t="s">
        <v>3823</v>
      </c>
    </row>
    <row r="12" spans="1:52" s="3897" customFormat="1">
      <c r="A12" s="3897" t="s">
        <v>3846</v>
      </c>
      <c r="B12" s="3897" t="s">
        <v>3373</v>
      </c>
      <c r="C12" s="3897" t="s">
        <v>3847</v>
      </c>
      <c r="D12" s="3897" t="s">
        <v>3814</v>
      </c>
      <c r="E12" s="3897" t="s">
        <v>3832</v>
      </c>
      <c r="F12" s="3897" t="s">
        <v>3833</v>
      </c>
      <c r="G12" s="3897" t="s">
        <v>3834</v>
      </c>
      <c r="H12" s="3897" t="s">
        <v>3818</v>
      </c>
      <c r="I12" s="3897">
        <v>12629.88</v>
      </c>
      <c r="J12" s="3897">
        <v>80000</v>
      </c>
      <c r="K12" s="3897" t="s">
        <v>3848</v>
      </c>
      <c r="L12" s="3897" t="s">
        <v>3819</v>
      </c>
      <c r="M12" s="3897" t="s">
        <v>3849</v>
      </c>
      <c r="N12" s="3897" t="s">
        <v>3821</v>
      </c>
      <c r="O12" s="3897" t="s">
        <v>3822</v>
      </c>
      <c r="P12" s="3897">
        <v>0.4</v>
      </c>
      <c r="Q12" s="3897" t="s">
        <v>3823</v>
      </c>
      <c r="R12" s="3897" t="s">
        <v>3823</v>
      </c>
      <c r="S12" s="3897" t="s">
        <v>3823</v>
      </c>
      <c r="T12" s="3897" t="s">
        <v>3823</v>
      </c>
      <c r="U12" s="3897" t="s">
        <v>3823</v>
      </c>
      <c r="V12" s="3897">
        <v>0</v>
      </c>
      <c r="W12" s="3897">
        <v>0</v>
      </c>
      <c r="X12" s="3897">
        <v>0</v>
      </c>
      <c r="Y12" s="3897">
        <v>0</v>
      </c>
      <c r="Z12" s="3898">
        <v>44764.000497685185</v>
      </c>
      <c r="AA12" s="3898">
        <v>44784.000497685185</v>
      </c>
      <c r="AB12" s="3898">
        <v>44798.000497685185</v>
      </c>
      <c r="AC12" s="3898">
        <v>44798.000497685185</v>
      </c>
      <c r="AD12" s="3897" t="s">
        <v>3850</v>
      </c>
      <c r="AE12" s="3897" t="s">
        <v>3825</v>
      </c>
      <c r="AF12" s="3897" t="s">
        <v>3851</v>
      </c>
      <c r="AG12" s="3897" t="s">
        <v>3852</v>
      </c>
      <c r="AH12" s="3897" t="s">
        <v>3853</v>
      </c>
      <c r="AI12" s="3897">
        <v>166000</v>
      </c>
      <c r="AJ12" s="3897">
        <v>34000</v>
      </c>
      <c r="AK12" s="3897" t="s">
        <v>3854</v>
      </c>
      <c r="AL12" s="3897">
        <v>166000</v>
      </c>
      <c r="AM12" s="3897">
        <v>8762.2900000000009</v>
      </c>
      <c r="AN12" s="3897">
        <v>8762.2900000000009</v>
      </c>
      <c r="AO12" s="3897">
        <v>20750</v>
      </c>
      <c r="AP12" s="3897">
        <v>20750</v>
      </c>
      <c r="AQ12" s="3897" t="s">
        <v>3823</v>
      </c>
      <c r="AR12" s="3897" t="s">
        <v>3823</v>
      </c>
      <c r="AS12" s="3897">
        <v>0</v>
      </c>
      <c r="AT12" s="3897" t="s">
        <v>3829</v>
      </c>
      <c r="AU12" s="3897" t="s">
        <v>3822</v>
      </c>
      <c r="AV12" s="3897" t="s">
        <v>3823</v>
      </c>
      <c r="AW12" s="3897" t="s">
        <v>3822</v>
      </c>
      <c r="AX12" s="3897" t="s">
        <v>3823</v>
      </c>
      <c r="AY12" s="3897" t="s">
        <v>3823</v>
      </c>
      <c r="AZ12" s="3897">
        <v>-20750</v>
      </c>
    </row>
    <row r="13" spans="1:52">
      <c r="A13" s="3895" t="s">
        <v>3751</v>
      </c>
      <c r="B13" s="3895" t="s">
        <v>3373</v>
      </c>
      <c r="C13" s="3895" t="s">
        <v>3752</v>
      </c>
      <c r="D13" s="3895" t="s">
        <v>3814</v>
      </c>
      <c r="E13" s="3895" t="s">
        <v>3815</v>
      </c>
      <c r="F13" s="3895" t="s">
        <v>3816</v>
      </c>
      <c r="G13" s="3895" t="s">
        <v>3855</v>
      </c>
      <c r="H13" s="3895" t="s">
        <v>3818</v>
      </c>
      <c r="I13" s="3895">
        <v>38252.550000000003</v>
      </c>
      <c r="J13" s="3895">
        <v>84155.61</v>
      </c>
      <c r="K13" s="3895">
        <v>2.2000000000000002</v>
      </c>
      <c r="L13" s="3895" t="s">
        <v>3819</v>
      </c>
      <c r="M13" s="3895" t="s">
        <v>3820</v>
      </c>
      <c r="N13" s="3895" t="s">
        <v>3821</v>
      </c>
      <c r="O13" s="3895" t="s">
        <v>3822</v>
      </c>
      <c r="P13" s="3895" t="s">
        <v>3823</v>
      </c>
      <c r="Q13" s="3895">
        <v>45</v>
      </c>
      <c r="R13" s="3895" t="s">
        <v>3823</v>
      </c>
      <c r="S13" s="3895" t="s">
        <v>3823</v>
      </c>
      <c r="T13" s="3895" t="s">
        <v>3823</v>
      </c>
      <c r="U13" s="3895" t="s">
        <v>3823</v>
      </c>
      <c r="V13" s="3895" t="s">
        <v>3823</v>
      </c>
      <c r="W13" s="3895" t="s">
        <v>3823</v>
      </c>
      <c r="X13" s="3895">
        <v>0</v>
      </c>
      <c r="Y13" s="3895">
        <v>0</v>
      </c>
      <c r="Z13" s="3896">
        <v>44457.000497685185</v>
      </c>
      <c r="AA13" s="3896">
        <v>44481.000497685185</v>
      </c>
      <c r="AB13" s="3896">
        <v>44495.000497685185</v>
      </c>
      <c r="AC13" s="3896">
        <v>44495.000497685185</v>
      </c>
      <c r="AD13" s="3895" t="s">
        <v>3856</v>
      </c>
      <c r="AE13" s="3895" t="s">
        <v>3825</v>
      </c>
      <c r="AF13" s="3895" t="s">
        <v>3753</v>
      </c>
      <c r="AG13" s="3895" t="s">
        <v>3823</v>
      </c>
      <c r="AH13" s="3895" t="s">
        <v>3823</v>
      </c>
      <c r="AI13" s="3895">
        <v>175000</v>
      </c>
      <c r="AJ13" s="3895">
        <v>35000</v>
      </c>
      <c r="AK13" s="3895" t="s">
        <v>3857</v>
      </c>
      <c r="AL13" s="3895">
        <v>175000</v>
      </c>
      <c r="AM13" s="3895">
        <v>3049.91</v>
      </c>
      <c r="AN13" s="3895">
        <v>3049.91</v>
      </c>
      <c r="AO13" s="3895">
        <v>20795</v>
      </c>
      <c r="AP13" s="3895">
        <v>20795</v>
      </c>
      <c r="AQ13" s="3895" t="s">
        <v>3823</v>
      </c>
      <c r="AR13" s="3895" t="s">
        <v>3823</v>
      </c>
      <c r="AS13" s="3895">
        <v>0</v>
      </c>
      <c r="AT13" s="3895" t="s">
        <v>3858</v>
      </c>
      <c r="AU13" s="3895" t="s">
        <v>3822</v>
      </c>
      <c r="AV13" s="3895" t="s">
        <v>3823</v>
      </c>
      <c r="AW13" s="3895" t="s">
        <v>3822</v>
      </c>
      <c r="AX13" s="3895" t="s">
        <v>3823</v>
      </c>
      <c r="AY13" s="3895" t="s">
        <v>3823</v>
      </c>
      <c r="AZ13" s="3895" t="s">
        <v>3823</v>
      </c>
    </row>
    <row r="14" spans="1:52">
      <c r="A14" s="3895" t="s">
        <v>3754</v>
      </c>
      <c r="B14" s="3895" t="s">
        <v>3373</v>
      </c>
      <c r="C14" s="3895" t="s">
        <v>3755</v>
      </c>
      <c r="D14" s="3895" t="s">
        <v>3814</v>
      </c>
      <c r="E14" s="3895" t="s">
        <v>3815</v>
      </c>
      <c r="F14" s="3895" t="s">
        <v>3816</v>
      </c>
      <c r="G14" s="3895" t="s">
        <v>3855</v>
      </c>
      <c r="H14" s="3895" t="s">
        <v>3818</v>
      </c>
      <c r="I14" s="3895">
        <v>30025.18</v>
      </c>
      <c r="J14" s="3895">
        <v>66055.39</v>
      </c>
      <c r="K14" s="3895">
        <v>2.2000000000000002</v>
      </c>
      <c r="L14" s="3895" t="s">
        <v>3819</v>
      </c>
      <c r="M14" s="3895" t="s">
        <v>3820</v>
      </c>
      <c r="N14" s="3895" t="s">
        <v>3821</v>
      </c>
      <c r="O14" s="3895" t="s">
        <v>3822</v>
      </c>
      <c r="P14" s="3895" t="s">
        <v>3823</v>
      </c>
      <c r="Q14" s="3895">
        <v>45</v>
      </c>
      <c r="R14" s="3895" t="s">
        <v>3823</v>
      </c>
      <c r="S14" s="3895" t="s">
        <v>3823</v>
      </c>
      <c r="T14" s="3895" t="s">
        <v>3823</v>
      </c>
      <c r="U14" s="3895" t="s">
        <v>3823</v>
      </c>
      <c r="V14" s="3895" t="s">
        <v>3823</v>
      </c>
      <c r="W14" s="3895" t="s">
        <v>3823</v>
      </c>
      <c r="X14" s="3895">
        <v>0</v>
      </c>
      <c r="Y14" s="3895">
        <v>0</v>
      </c>
      <c r="Z14" s="3896">
        <v>44457.000497685185</v>
      </c>
      <c r="AA14" s="3896">
        <v>44481.000497685185</v>
      </c>
      <c r="AB14" s="3896">
        <v>44495.000497685185</v>
      </c>
      <c r="AC14" s="3896">
        <v>44495.000497685185</v>
      </c>
      <c r="AD14" s="3895" t="s">
        <v>3859</v>
      </c>
      <c r="AE14" s="3895" t="s">
        <v>3825</v>
      </c>
      <c r="AF14" s="3895" t="s">
        <v>3756</v>
      </c>
      <c r="AG14" s="3895" t="s">
        <v>3823</v>
      </c>
      <c r="AH14" s="3895" t="s">
        <v>3823</v>
      </c>
      <c r="AI14" s="3895">
        <v>137000</v>
      </c>
      <c r="AJ14" s="3895">
        <v>137000</v>
      </c>
      <c r="AK14" s="3895" t="s">
        <v>3857</v>
      </c>
      <c r="AL14" s="3895">
        <v>137000</v>
      </c>
      <c r="AM14" s="3895">
        <v>3041.89</v>
      </c>
      <c r="AN14" s="3895">
        <v>3041.89</v>
      </c>
      <c r="AO14" s="3895">
        <v>20740</v>
      </c>
      <c r="AP14" s="3895">
        <v>20740</v>
      </c>
      <c r="AQ14" s="3895" t="s">
        <v>3823</v>
      </c>
      <c r="AR14" s="3895" t="s">
        <v>3823</v>
      </c>
      <c r="AS14" s="3895">
        <v>0</v>
      </c>
      <c r="AT14" s="3895" t="s">
        <v>3858</v>
      </c>
      <c r="AU14" s="3895" t="s">
        <v>3822</v>
      </c>
      <c r="AV14" s="3895" t="s">
        <v>3823</v>
      </c>
      <c r="AW14" s="3895" t="s">
        <v>3822</v>
      </c>
      <c r="AX14" s="3895" t="s">
        <v>3823</v>
      </c>
      <c r="AY14" s="3895" t="s">
        <v>3823</v>
      </c>
      <c r="AZ14" s="3895" t="s">
        <v>3823</v>
      </c>
    </row>
    <row r="15" spans="1:52">
      <c r="A15" s="3895" t="s">
        <v>3757</v>
      </c>
      <c r="B15" s="3895" t="s">
        <v>3373</v>
      </c>
      <c r="C15" s="3895" t="s">
        <v>3758</v>
      </c>
      <c r="D15" s="3895" t="s">
        <v>3814</v>
      </c>
      <c r="E15" s="3895" t="s">
        <v>3815</v>
      </c>
      <c r="F15" s="3895" t="s">
        <v>3816</v>
      </c>
      <c r="G15" s="3895" t="s">
        <v>3855</v>
      </c>
      <c r="H15" s="3895" t="s">
        <v>3818</v>
      </c>
      <c r="I15" s="3895">
        <v>25121.77</v>
      </c>
      <c r="J15" s="3895">
        <v>55267.89</v>
      </c>
      <c r="K15" s="3895">
        <v>2.2000000000000002</v>
      </c>
      <c r="L15" s="3895" t="s">
        <v>3819</v>
      </c>
      <c r="M15" s="3895" t="s">
        <v>3820</v>
      </c>
      <c r="N15" s="3895" t="s">
        <v>3821</v>
      </c>
      <c r="O15" s="3895" t="s">
        <v>3822</v>
      </c>
      <c r="P15" s="3895" t="s">
        <v>3823</v>
      </c>
      <c r="Q15" s="3895">
        <v>45</v>
      </c>
      <c r="R15" s="3895" t="s">
        <v>3823</v>
      </c>
      <c r="S15" s="3895" t="s">
        <v>3823</v>
      </c>
      <c r="T15" s="3895" t="s">
        <v>3823</v>
      </c>
      <c r="U15" s="3895" t="s">
        <v>3823</v>
      </c>
      <c r="V15" s="3895" t="s">
        <v>3823</v>
      </c>
      <c r="W15" s="3895" t="s">
        <v>3823</v>
      </c>
      <c r="X15" s="3895">
        <v>0</v>
      </c>
      <c r="Y15" s="3895">
        <v>0</v>
      </c>
      <c r="Z15" s="3896">
        <v>44457.000497685185</v>
      </c>
      <c r="AA15" s="3896">
        <v>44481.000497685185</v>
      </c>
      <c r="AB15" s="3896">
        <v>44495.000497685185</v>
      </c>
      <c r="AC15" s="3896">
        <v>44495.000497685185</v>
      </c>
      <c r="AD15" s="3895" t="s">
        <v>3860</v>
      </c>
      <c r="AE15" s="3895" t="s">
        <v>3825</v>
      </c>
      <c r="AF15" s="3895" t="s">
        <v>3759</v>
      </c>
      <c r="AG15" s="3895" t="s">
        <v>3823</v>
      </c>
      <c r="AH15" s="3895" t="s">
        <v>3823</v>
      </c>
      <c r="AI15" s="3895">
        <v>115000</v>
      </c>
      <c r="AJ15" s="3895">
        <v>23000</v>
      </c>
      <c r="AK15" s="3895" t="s">
        <v>3857</v>
      </c>
      <c r="AL15" s="3895">
        <v>115000</v>
      </c>
      <c r="AM15" s="3895">
        <v>3051.8</v>
      </c>
      <c r="AN15" s="3895">
        <v>3051.8</v>
      </c>
      <c r="AO15" s="3895">
        <v>20808</v>
      </c>
      <c r="AP15" s="3895">
        <v>20808</v>
      </c>
      <c r="AQ15" s="3895" t="s">
        <v>3823</v>
      </c>
      <c r="AR15" s="3895" t="s">
        <v>3823</v>
      </c>
      <c r="AS15" s="3895">
        <v>0</v>
      </c>
      <c r="AT15" s="3895" t="s">
        <v>3858</v>
      </c>
      <c r="AU15" s="3895" t="s">
        <v>3822</v>
      </c>
      <c r="AV15" s="3895" t="s">
        <v>3823</v>
      </c>
      <c r="AW15" s="3895" t="s">
        <v>3822</v>
      </c>
      <c r="AX15" s="3895" t="s">
        <v>3823</v>
      </c>
      <c r="AY15" s="3895" t="s">
        <v>3823</v>
      </c>
      <c r="AZ15" s="3895" t="s">
        <v>3823</v>
      </c>
    </row>
    <row r="16" spans="1:52">
      <c r="A16" s="3895" t="s">
        <v>3760</v>
      </c>
      <c r="B16" s="3895" t="s">
        <v>3373</v>
      </c>
      <c r="C16" s="3895" t="s">
        <v>3761</v>
      </c>
      <c r="D16" s="3895" t="s">
        <v>3814</v>
      </c>
      <c r="E16" s="3895" t="s">
        <v>3815</v>
      </c>
      <c r="F16" s="3895" t="s">
        <v>3861</v>
      </c>
      <c r="G16" s="3895" t="s">
        <v>3862</v>
      </c>
      <c r="H16" s="3895" t="s">
        <v>3818</v>
      </c>
      <c r="I16" s="3895">
        <v>51788.13</v>
      </c>
      <c r="J16" s="3895">
        <v>184800</v>
      </c>
      <c r="K16" s="3895" t="s">
        <v>3863</v>
      </c>
      <c r="L16" s="3895" t="s">
        <v>3819</v>
      </c>
      <c r="M16" s="3895" t="s">
        <v>3849</v>
      </c>
      <c r="N16" s="3895" t="s">
        <v>3821</v>
      </c>
      <c r="O16" s="3895" t="s">
        <v>3822</v>
      </c>
      <c r="P16" s="3895" t="s">
        <v>3823</v>
      </c>
      <c r="Q16" s="3895" t="s">
        <v>3864</v>
      </c>
      <c r="R16" s="3895" t="s">
        <v>3823</v>
      </c>
      <c r="S16" s="3895" t="s">
        <v>3823</v>
      </c>
      <c r="T16" s="3895" t="s">
        <v>3823</v>
      </c>
      <c r="U16" s="3895" t="s">
        <v>3823</v>
      </c>
      <c r="V16" s="3895">
        <v>0</v>
      </c>
      <c r="W16" s="3895">
        <v>0</v>
      </c>
      <c r="X16" s="3895">
        <v>0</v>
      </c>
      <c r="Y16" s="3895">
        <v>0</v>
      </c>
      <c r="Z16" s="3896">
        <v>44133.000497685185</v>
      </c>
      <c r="AA16" s="3896">
        <v>44153.000497685185</v>
      </c>
      <c r="AB16" s="3896">
        <v>44167.000497685185</v>
      </c>
      <c r="AC16" s="3896">
        <v>44167.000497685185</v>
      </c>
      <c r="AD16" s="3895" t="s">
        <v>3865</v>
      </c>
      <c r="AE16" s="3895" t="s">
        <v>3825</v>
      </c>
      <c r="AF16" s="3895" t="s">
        <v>3762</v>
      </c>
      <c r="AG16" s="3895" t="s">
        <v>3866</v>
      </c>
      <c r="AH16" s="3895" t="s">
        <v>3867</v>
      </c>
      <c r="AI16" s="3895">
        <v>570500</v>
      </c>
      <c r="AJ16" s="3895">
        <v>115000</v>
      </c>
      <c r="AK16" s="3895" t="s">
        <v>3868</v>
      </c>
      <c r="AL16" s="3895">
        <v>579500</v>
      </c>
      <c r="AM16" s="3895">
        <v>7344.03</v>
      </c>
      <c r="AN16" s="3895">
        <v>7459.88</v>
      </c>
      <c r="AO16" s="3895">
        <v>30871</v>
      </c>
      <c r="AP16" s="3895">
        <v>31358</v>
      </c>
      <c r="AQ16" s="3895" t="s">
        <v>3823</v>
      </c>
      <c r="AR16" s="3895" t="s">
        <v>3823</v>
      </c>
      <c r="AS16" s="3895">
        <v>1.58</v>
      </c>
      <c r="AT16" s="3895" t="s">
        <v>3869</v>
      </c>
      <c r="AU16" s="3895" t="s">
        <v>3822</v>
      </c>
      <c r="AV16" s="3895" t="s">
        <v>3823</v>
      </c>
      <c r="AW16" s="3895" t="s">
        <v>3822</v>
      </c>
      <c r="AX16" s="3895" t="s">
        <v>3823</v>
      </c>
      <c r="AY16" s="3895" t="s">
        <v>3823</v>
      </c>
      <c r="AZ16" s="3895" t="s">
        <v>3823</v>
      </c>
    </row>
    <row r="17" spans="1:52">
      <c r="A17" s="3895" t="s">
        <v>3870</v>
      </c>
      <c r="B17" s="3895" t="s">
        <v>3373</v>
      </c>
      <c r="C17" s="3895" t="s">
        <v>3871</v>
      </c>
      <c r="D17" s="3895" t="s">
        <v>3814</v>
      </c>
      <c r="E17" s="3895" t="s">
        <v>3872</v>
      </c>
      <c r="F17" s="3895" t="s">
        <v>3873</v>
      </c>
      <c r="G17" s="3895" t="s">
        <v>3874</v>
      </c>
      <c r="H17" s="3895" t="s">
        <v>3818</v>
      </c>
      <c r="I17" s="3895">
        <v>12501.51</v>
      </c>
      <c r="J17" s="3895">
        <v>37505</v>
      </c>
      <c r="K17" s="3895" t="s">
        <v>3875</v>
      </c>
      <c r="L17" s="3895" t="s">
        <v>3819</v>
      </c>
      <c r="M17" s="3895" t="s">
        <v>3820</v>
      </c>
      <c r="N17" s="3895" t="s">
        <v>3821</v>
      </c>
      <c r="O17" s="3895" t="s">
        <v>3822</v>
      </c>
      <c r="P17" s="3895" t="s">
        <v>3823</v>
      </c>
      <c r="Q17" s="3895" t="s">
        <v>3876</v>
      </c>
      <c r="R17" s="3895" t="s">
        <v>3823</v>
      </c>
      <c r="S17" s="3895" t="s">
        <v>3823</v>
      </c>
      <c r="T17" s="3895" t="s">
        <v>3823</v>
      </c>
      <c r="U17" s="3895" t="s">
        <v>3823</v>
      </c>
      <c r="V17" s="3895">
        <v>0</v>
      </c>
      <c r="W17" s="3895">
        <v>0</v>
      </c>
      <c r="X17" s="3895">
        <v>0</v>
      </c>
      <c r="Y17" s="3895">
        <v>0</v>
      </c>
      <c r="Z17" s="3896">
        <v>43889.000497685185</v>
      </c>
      <c r="AA17" s="3896">
        <v>43909.000497685185</v>
      </c>
      <c r="AB17" s="3896">
        <v>43923.000497685185</v>
      </c>
      <c r="AC17" s="3896">
        <v>43923.000497685185</v>
      </c>
      <c r="AD17" s="3895" t="s">
        <v>3877</v>
      </c>
      <c r="AE17" s="3895" t="s">
        <v>3825</v>
      </c>
      <c r="AF17" s="3895" t="s">
        <v>3763</v>
      </c>
      <c r="AG17" s="3895" t="s">
        <v>3878</v>
      </c>
      <c r="AH17" s="3895" t="s">
        <v>3879</v>
      </c>
      <c r="AI17" s="3895">
        <v>56000</v>
      </c>
      <c r="AJ17" s="3895">
        <v>11200</v>
      </c>
      <c r="AK17" s="3895" t="s">
        <v>3880</v>
      </c>
      <c r="AL17" s="3895">
        <v>56000</v>
      </c>
      <c r="AM17" s="3895">
        <v>2986.31</v>
      </c>
      <c r="AN17" s="3895">
        <v>2986.31</v>
      </c>
      <c r="AO17" s="3895">
        <v>14931</v>
      </c>
      <c r="AP17" s="3895">
        <v>14931</v>
      </c>
      <c r="AQ17" s="3895" t="s">
        <v>3823</v>
      </c>
      <c r="AR17" s="3895" t="s">
        <v>3823</v>
      </c>
      <c r="AS17" s="3895">
        <v>0</v>
      </c>
      <c r="AT17" s="3895" t="s">
        <v>3869</v>
      </c>
      <c r="AU17" s="3895" t="s">
        <v>3822</v>
      </c>
      <c r="AV17" s="3895" t="s">
        <v>3823</v>
      </c>
      <c r="AW17" s="3895" t="s">
        <v>3822</v>
      </c>
      <c r="AX17" s="3895" t="s">
        <v>3823</v>
      </c>
      <c r="AY17" s="3895" t="s">
        <v>3823</v>
      </c>
      <c r="AZ17" s="3895" t="s">
        <v>3823</v>
      </c>
    </row>
    <row r="18" spans="1:52">
      <c r="A18" s="3895" t="s">
        <v>3764</v>
      </c>
      <c r="B18" s="3895" t="s">
        <v>3373</v>
      </c>
      <c r="C18" s="3895" t="s">
        <v>3765</v>
      </c>
      <c r="D18" s="3895" t="s">
        <v>3814</v>
      </c>
      <c r="E18" s="3895" t="s">
        <v>3815</v>
      </c>
      <c r="F18" s="3895" t="s">
        <v>3881</v>
      </c>
      <c r="G18" s="3895" t="s">
        <v>3882</v>
      </c>
      <c r="H18" s="3895" t="s">
        <v>3818</v>
      </c>
      <c r="I18" s="3895">
        <v>70601.070000000007</v>
      </c>
      <c r="J18" s="3895">
        <v>285523</v>
      </c>
      <c r="K18" s="3895" t="s">
        <v>3883</v>
      </c>
      <c r="L18" s="3895" t="s">
        <v>3884</v>
      </c>
      <c r="M18" s="3895" t="s">
        <v>3885</v>
      </c>
      <c r="N18" s="3895" t="s">
        <v>3821</v>
      </c>
      <c r="O18" s="3895" t="s">
        <v>3822</v>
      </c>
      <c r="P18" s="3895" t="s">
        <v>3823</v>
      </c>
      <c r="Q18" s="3895" t="s">
        <v>3823</v>
      </c>
      <c r="R18" s="3895" t="s">
        <v>3823</v>
      </c>
      <c r="S18" s="3895" t="s">
        <v>3823</v>
      </c>
      <c r="T18" s="3895" t="s">
        <v>3823</v>
      </c>
      <c r="U18" s="3895" t="s">
        <v>3823</v>
      </c>
      <c r="V18" s="3895">
        <v>0</v>
      </c>
      <c r="W18" s="3895">
        <v>0</v>
      </c>
      <c r="X18" s="3895">
        <v>0</v>
      </c>
      <c r="Y18" s="3895">
        <v>0</v>
      </c>
      <c r="Z18" s="3896">
        <v>43770.000497685185</v>
      </c>
      <c r="AA18" s="3896">
        <v>43798.000497685185</v>
      </c>
      <c r="AB18" s="3896">
        <v>43801.000497685185</v>
      </c>
      <c r="AC18" s="3896">
        <v>43801.000497685185</v>
      </c>
      <c r="AD18" s="3895" t="s">
        <v>3886</v>
      </c>
      <c r="AE18" s="3895" t="s">
        <v>3825</v>
      </c>
      <c r="AF18" s="3895" t="s">
        <v>3887</v>
      </c>
      <c r="AG18" s="3895" t="s">
        <v>3888</v>
      </c>
      <c r="AH18" s="3895" t="s">
        <v>3867</v>
      </c>
      <c r="AI18" s="3895" t="s">
        <v>3823</v>
      </c>
      <c r="AJ18" s="3895">
        <v>131000</v>
      </c>
      <c r="AK18" s="3895" t="s">
        <v>633</v>
      </c>
      <c r="AL18" s="3895">
        <v>660900</v>
      </c>
      <c r="AM18" s="3895" t="s">
        <v>3823</v>
      </c>
      <c r="AN18" s="3895">
        <v>6240.7</v>
      </c>
      <c r="AO18" s="3895" t="s">
        <v>3823</v>
      </c>
      <c r="AP18" s="3895">
        <v>23147</v>
      </c>
      <c r="AQ18" s="3895" t="s">
        <v>3823</v>
      </c>
      <c r="AR18" s="3895" t="s">
        <v>3823</v>
      </c>
      <c r="AS18" s="3895">
        <v>0</v>
      </c>
      <c r="AT18" s="3895" t="s">
        <v>3869</v>
      </c>
      <c r="AU18" s="3895" t="s">
        <v>3822</v>
      </c>
      <c r="AV18" s="3895" t="s">
        <v>3823</v>
      </c>
      <c r="AW18" s="3895" t="s">
        <v>3822</v>
      </c>
      <c r="AX18" s="3895" t="s">
        <v>3823</v>
      </c>
      <c r="AY18" s="3895" t="s">
        <v>3823</v>
      </c>
      <c r="AZ18" s="3895" t="s">
        <v>3823</v>
      </c>
    </row>
    <row r="19" spans="1:52">
      <c r="A19" s="3895" t="s">
        <v>3889</v>
      </c>
      <c r="B19" s="3895" t="s">
        <v>3373</v>
      </c>
      <c r="C19" s="3895" t="s">
        <v>3890</v>
      </c>
      <c r="D19" s="3895" t="s">
        <v>3814</v>
      </c>
      <c r="E19" s="3895" t="s">
        <v>3815</v>
      </c>
      <c r="F19" s="3895" t="s">
        <v>3891</v>
      </c>
      <c r="G19" s="3895" t="s">
        <v>3892</v>
      </c>
      <c r="H19" s="3895" t="s">
        <v>3818</v>
      </c>
      <c r="I19" s="3895">
        <v>22035.93</v>
      </c>
      <c r="J19" s="3895">
        <v>61700.6</v>
      </c>
      <c r="K19" s="3895" t="s">
        <v>3893</v>
      </c>
      <c r="L19" s="3895" t="s">
        <v>3819</v>
      </c>
      <c r="M19" s="3895" t="s">
        <v>3849</v>
      </c>
      <c r="N19" s="3895" t="s">
        <v>3821</v>
      </c>
      <c r="O19" s="3895" t="s">
        <v>3822</v>
      </c>
      <c r="P19" s="3895" t="s">
        <v>3894</v>
      </c>
      <c r="Q19" s="3895" t="s">
        <v>3895</v>
      </c>
      <c r="R19" s="3895" t="s">
        <v>3823</v>
      </c>
      <c r="S19" s="3895" t="s">
        <v>3823</v>
      </c>
      <c r="T19" s="3895" t="s">
        <v>3823</v>
      </c>
      <c r="U19" s="3895" t="s">
        <v>3823</v>
      </c>
      <c r="V19" s="3895">
        <v>0</v>
      </c>
      <c r="W19" s="3895">
        <v>0</v>
      </c>
      <c r="X19" s="3895">
        <v>0</v>
      </c>
      <c r="Y19" s="3895">
        <v>0</v>
      </c>
      <c r="Z19" s="3896">
        <v>43616.000497685185</v>
      </c>
      <c r="AA19" s="3896">
        <v>43636.000497685185</v>
      </c>
      <c r="AB19" s="3896">
        <v>43650.000497685185</v>
      </c>
      <c r="AC19" s="3896">
        <v>43650.000497685185</v>
      </c>
      <c r="AD19" s="3895" t="s">
        <v>3896</v>
      </c>
      <c r="AE19" s="3895" t="s">
        <v>3825</v>
      </c>
      <c r="AF19" s="3895" t="s">
        <v>3766</v>
      </c>
      <c r="AG19" s="3895" t="s">
        <v>3897</v>
      </c>
      <c r="AH19" s="3895" t="s">
        <v>3867</v>
      </c>
      <c r="AI19" s="3895">
        <v>103700</v>
      </c>
      <c r="AJ19" s="3895">
        <v>21000</v>
      </c>
      <c r="AK19" s="3895" t="s">
        <v>633</v>
      </c>
      <c r="AL19" s="3895">
        <v>103700</v>
      </c>
      <c r="AM19" s="3895">
        <v>3137.3</v>
      </c>
      <c r="AN19" s="3895">
        <v>3137.3</v>
      </c>
      <c r="AO19" s="3895">
        <v>16807</v>
      </c>
      <c r="AP19" s="3895">
        <v>16807</v>
      </c>
      <c r="AQ19" s="3895" t="s">
        <v>3823</v>
      </c>
      <c r="AR19" s="3895" t="s">
        <v>3823</v>
      </c>
      <c r="AS19" s="3895">
        <v>0</v>
      </c>
      <c r="AT19" s="3895" t="s">
        <v>3869</v>
      </c>
      <c r="AU19" s="3895" t="s">
        <v>3822</v>
      </c>
      <c r="AV19" s="3895" t="s">
        <v>3823</v>
      </c>
      <c r="AW19" s="3895" t="s">
        <v>3822</v>
      </c>
      <c r="AX19" s="3895" t="s">
        <v>3823</v>
      </c>
      <c r="AY19" s="3895" t="s">
        <v>3823</v>
      </c>
      <c r="AZ19" s="3895" t="s">
        <v>3823</v>
      </c>
    </row>
    <row r="20" spans="1:52">
      <c r="A20" s="3895" t="s">
        <v>3767</v>
      </c>
      <c r="B20" s="3895" t="s">
        <v>3373</v>
      </c>
      <c r="C20" s="3895" t="s">
        <v>3768</v>
      </c>
      <c r="D20" s="3895" t="s">
        <v>3814</v>
      </c>
      <c r="E20" s="3895" t="s">
        <v>3815</v>
      </c>
      <c r="F20" s="3895" t="s">
        <v>3816</v>
      </c>
      <c r="G20" s="3895" t="s">
        <v>3898</v>
      </c>
      <c r="H20" s="3895" t="s">
        <v>3818</v>
      </c>
      <c r="I20" s="3895">
        <v>32158.94</v>
      </c>
      <c r="J20" s="3895">
        <v>96476.82</v>
      </c>
      <c r="K20" s="3895" t="s">
        <v>3875</v>
      </c>
      <c r="L20" s="3895" t="s">
        <v>3819</v>
      </c>
      <c r="M20" s="3895" t="s">
        <v>3899</v>
      </c>
      <c r="N20" s="3895" t="s">
        <v>3821</v>
      </c>
      <c r="O20" s="3895" t="s">
        <v>3822</v>
      </c>
      <c r="P20" s="3895" t="s">
        <v>3900</v>
      </c>
      <c r="Q20" s="3895" t="s">
        <v>3901</v>
      </c>
      <c r="R20" s="3895" t="s">
        <v>3823</v>
      </c>
      <c r="S20" s="3895" t="s">
        <v>3823</v>
      </c>
      <c r="T20" s="3895" t="s">
        <v>3823</v>
      </c>
      <c r="U20" s="3895" t="s">
        <v>3823</v>
      </c>
      <c r="V20" s="3895">
        <v>0</v>
      </c>
      <c r="W20" s="3895">
        <v>0</v>
      </c>
      <c r="X20" s="3895">
        <v>0</v>
      </c>
      <c r="Y20" s="3895">
        <v>0</v>
      </c>
      <c r="Z20" s="3896">
        <v>43579.000497685185</v>
      </c>
      <c r="AA20" s="3896">
        <v>43599.000497685185</v>
      </c>
      <c r="AB20" s="3896">
        <v>43613.000497685185</v>
      </c>
      <c r="AC20" s="3896">
        <v>43613.000497685185</v>
      </c>
      <c r="AD20" s="3895" t="s">
        <v>3902</v>
      </c>
      <c r="AE20" s="3895" t="s">
        <v>3825</v>
      </c>
      <c r="AF20" s="3895" t="s">
        <v>3769</v>
      </c>
      <c r="AG20" s="3895" t="s">
        <v>3843</v>
      </c>
      <c r="AH20" s="3895" t="s">
        <v>3839</v>
      </c>
      <c r="AI20" s="3895">
        <v>263800</v>
      </c>
      <c r="AJ20" s="3895">
        <v>53000</v>
      </c>
      <c r="AK20" s="3895" t="s">
        <v>633</v>
      </c>
      <c r="AL20" s="3895">
        <v>263800</v>
      </c>
      <c r="AM20" s="3895">
        <v>5468.67</v>
      </c>
      <c r="AN20" s="3895">
        <v>5468.67</v>
      </c>
      <c r="AO20" s="3895">
        <v>27343</v>
      </c>
      <c r="AP20" s="3895">
        <v>27343</v>
      </c>
      <c r="AQ20" s="3895" t="s">
        <v>3823</v>
      </c>
      <c r="AR20" s="3895" t="s">
        <v>3823</v>
      </c>
      <c r="AS20" s="3895">
        <v>0</v>
      </c>
      <c r="AT20" s="3895" t="s">
        <v>3869</v>
      </c>
      <c r="AU20" s="3895" t="s">
        <v>3822</v>
      </c>
      <c r="AV20" s="3895" t="s">
        <v>3823</v>
      </c>
      <c r="AW20" s="3895" t="s">
        <v>3822</v>
      </c>
      <c r="AX20" s="3895" t="s">
        <v>3823</v>
      </c>
      <c r="AY20" s="3895" t="s">
        <v>3823</v>
      </c>
      <c r="AZ20" s="3895" t="s">
        <v>3823</v>
      </c>
    </row>
    <row r="21" spans="1:52">
      <c r="A21" s="3895" t="s">
        <v>3903</v>
      </c>
      <c r="B21" s="3895" t="s">
        <v>3373</v>
      </c>
      <c r="C21" s="3895" t="s">
        <v>3904</v>
      </c>
      <c r="D21" s="3895" t="s">
        <v>3814</v>
      </c>
      <c r="E21" s="3895" t="s">
        <v>3872</v>
      </c>
      <c r="F21" s="3895" t="s">
        <v>3873</v>
      </c>
      <c r="G21" s="3895" t="s">
        <v>3905</v>
      </c>
      <c r="H21" s="3895" t="s">
        <v>3818</v>
      </c>
      <c r="I21" s="3895">
        <v>28622.32</v>
      </c>
      <c r="J21" s="3895">
        <v>71556</v>
      </c>
      <c r="K21" s="3895">
        <v>2.5</v>
      </c>
      <c r="L21" s="3895" t="s">
        <v>3819</v>
      </c>
      <c r="M21" s="3895" t="s">
        <v>3849</v>
      </c>
      <c r="N21" s="3895" t="s">
        <v>3821</v>
      </c>
      <c r="O21" s="3895" t="s">
        <v>3822</v>
      </c>
      <c r="P21" s="3895" t="s">
        <v>3900</v>
      </c>
      <c r="Q21" s="3895" t="s">
        <v>3906</v>
      </c>
      <c r="R21" s="3895" t="s">
        <v>3823</v>
      </c>
      <c r="S21" s="3895" t="s">
        <v>3823</v>
      </c>
      <c r="T21" s="3895" t="s">
        <v>3823</v>
      </c>
      <c r="U21" s="3895" t="s">
        <v>3823</v>
      </c>
      <c r="V21" s="3895">
        <v>0</v>
      </c>
      <c r="W21" s="3895">
        <v>0</v>
      </c>
      <c r="X21" s="3895">
        <v>0</v>
      </c>
      <c r="Y21" s="3895">
        <v>0</v>
      </c>
      <c r="Z21" s="3896">
        <v>43396.000497685185</v>
      </c>
      <c r="AA21" s="3896">
        <v>43416.000497685185</v>
      </c>
      <c r="AB21" s="3896">
        <v>43430.000497685185</v>
      </c>
      <c r="AC21" s="3896">
        <v>43430.000497685185</v>
      </c>
      <c r="AD21" s="3895" t="s">
        <v>3907</v>
      </c>
      <c r="AE21" s="3895" t="s">
        <v>3825</v>
      </c>
      <c r="AF21" s="3895" t="s">
        <v>3770</v>
      </c>
      <c r="AG21" s="3895" t="s">
        <v>3908</v>
      </c>
      <c r="AH21" s="3895" t="s">
        <v>3823</v>
      </c>
      <c r="AI21" s="3895">
        <v>132000</v>
      </c>
      <c r="AJ21" s="3895">
        <v>26400</v>
      </c>
      <c r="AK21" s="3895" t="s">
        <v>633</v>
      </c>
      <c r="AL21" s="3895">
        <v>132000</v>
      </c>
      <c r="AM21" s="3895">
        <v>3074.52</v>
      </c>
      <c r="AN21" s="3895">
        <v>3074.52</v>
      </c>
      <c r="AO21" s="3895">
        <v>18447</v>
      </c>
      <c r="AP21" s="3895">
        <v>18447</v>
      </c>
      <c r="AQ21" s="3895" t="s">
        <v>3823</v>
      </c>
      <c r="AR21" s="3895" t="s">
        <v>3823</v>
      </c>
      <c r="AS21" s="3895">
        <v>0</v>
      </c>
      <c r="AT21" s="3895" t="s">
        <v>3869</v>
      </c>
      <c r="AU21" s="3895" t="s">
        <v>3822</v>
      </c>
      <c r="AV21" s="3895" t="s">
        <v>3823</v>
      </c>
      <c r="AW21" s="3895" t="s">
        <v>3822</v>
      </c>
      <c r="AX21" s="3895" t="s">
        <v>3823</v>
      </c>
      <c r="AY21" s="3895" t="s">
        <v>3823</v>
      </c>
      <c r="AZ21" s="3895" t="s">
        <v>3823</v>
      </c>
    </row>
    <row r="22" spans="1:52">
      <c r="A22" s="3895" t="s">
        <v>3909</v>
      </c>
      <c r="B22" s="3895" t="s">
        <v>3373</v>
      </c>
      <c r="C22" s="3895" t="s">
        <v>3910</v>
      </c>
      <c r="D22" s="3895" t="s">
        <v>3814</v>
      </c>
      <c r="E22" s="3895" t="s">
        <v>3832</v>
      </c>
      <c r="F22" s="3895" t="s">
        <v>3833</v>
      </c>
      <c r="G22" s="3895" t="s">
        <v>3911</v>
      </c>
      <c r="H22" s="3895" t="s">
        <v>3818</v>
      </c>
      <c r="I22" s="3895">
        <v>39410.74</v>
      </c>
      <c r="J22" s="3895">
        <v>120000</v>
      </c>
      <c r="K22" s="3895">
        <v>3.04</v>
      </c>
      <c r="L22" s="3895" t="s">
        <v>3884</v>
      </c>
      <c r="M22" s="3895" t="s">
        <v>3820</v>
      </c>
      <c r="N22" s="3895" t="s">
        <v>3821</v>
      </c>
      <c r="O22" s="3895" t="s">
        <v>3822</v>
      </c>
      <c r="P22" s="3895" t="s">
        <v>3912</v>
      </c>
      <c r="Q22" s="3895" t="s">
        <v>3913</v>
      </c>
      <c r="R22" s="3895" t="s">
        <v>3823</v>
      </c>
      <c r="S22" s="3895" t="s">
        <v>3823</v>
      </c>
      <c r="T22" s="3895" t="s">
        <v>3823</v>
      </c>
      <c r="U22" s="3895" t="s">
        <v>3823</v>
      </c>
      <c r="V22" s="3895">
        <v>0</v>
      </c>
      <c r="W22" s="3895">
        <v>0</v>
      </c>
      <c r="X22" s="3895">
        <v>0</v>
      </c>
      <c r="Y22" s="3895">
        <v>0</v>
      </c>
      <c r="Z22" s="3896">
        <v>43251.000497685185</v>
      </c>
      <c r="AA22" s="3896">
        <v>43287.000497685185</v>
      </c>
      <c r="AB22" s="3896">
        <v>43287.000497685185</v>
      </c>
      <c r="AC22" s="3896">
        <v>43287.000497685185</v>
      </c>
      <c r="AD22" s="3895" t="s">
        <v>3914</v>
      </c>
      <c r="AE22" s="3895" t="s">
        <v>3825</v>
      </c>
      <c r="AF22" s="3895" t="s">
        <v>3915</v>
      </c>
      <c r="AG22" s="3895" t="s">
        <v>3916</v>
      </c>
      <c r="AH22" s="3895" t="s">
        <v>3879</v>
      </c>
      <c r="AI22" s="3895" t="s">
        <v>3823</v>
      </c>
      <c r="AJ22" s="3895">
        <v>85000</v>
      </c>
      <c r="AK22" s="3895" t="s">
        <v>633</v>
      </c>
      <c r="AL22" s="3895">
        <v>318758</v>
      </c>
      <c r="AM22" s="3895" t="s">
        <v>3823</v>
      </c>
      <c r="AN22" s="3895">
        <v>5392.07</v>
      </c>
      <c r="AO22" s="3895" t="s">
        <v>3823</v>
      </c>
      <c r="AP22" s="3895">
        <v>26563</v>
      </c>
      <c r="AQ22" s="3895" t="s">
        <v>3823</v>
      </c>
      <c r="AR22" s="3895" t="s">
        <v>3823</v>
      </c>
      <c r="AS22" s="3895">
        <v>0</v>
      </c>
      <c r="AT22" s="3895" t="s">
        <v>3869</v>
      </c>
      <c r="AU22" s="3895" t="s">
        <v>3822</v>
      </c>
      <c r="AV22" s="3895" t="s">
        <v>3823</v>
      </c>
      <c r="AW22" s="3895" t="s">
        <v>3822</v>
      </c>
      <c r="AX22" s="3895" t="s">
        <v>3823</v>
      </c>
      <c r="AY22" s="3895" t="s">
        <v>3823</v>
      </c>
      <c r="AZ22" s="3895" t="s">
        <v>3823</v>
      </c>
    </row>
    <row r="32" spans="1:52">
      <c r="I32" s="3895">
        <v>5</v>
      </c>
      <c r="AC32" s="3895">
        <v>5</v>
      </c>
    </row>
    <row r="34" spans="42:42">
      <c r="AP34" s="3895">
        <v>3</v>
      </c>
    </row>
  </sheetData>
  <phoneticPr fontId="13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20" sqref="B2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1925</v>
      </c>
      <c r="B1" s="197"/>
      <c r="C1" s="201" t="s">
        <v>1926</v>
      </c>
      <c r="D1" s="342">
        <f>SUM(D33:D34,D37:D42)</f>
        <v>26199.81</v>
      </c>
      <c r="E1" s="1991"/>
      <c r="F1" s="1991"/>
      <c r="G1" s="1991"/>
      <c r="H1" s="1991"/>
      <c r="I1" s="1991"/>
      <c r="J1" s="1991"/>
      <c r="K1" s="1118"/>
      <c r="L1" s="1992" t="s">
        <v>1927</v>
      </c>
      <c r="M1" s="862">
        <f>SUMPRODUCT((区片价!B5:B9=I2)*(区片价!C3:G3=E2)*(区片价!C5:G9))</f>
        <v>0</v>
      </c>
      <c r="N1" s="865">
        <f>SUMPRODUCT((因素修正幅度!B5:B9=I2)*(因素修正幅度!C3:G3=E2)*(因素修正幅度!C5:G9))</f>
        <v>0</v>
      </c>
      <c r="O1" s="1993"/>
      <c r="P1" s="1993"/>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t="e">
        <f>C30</f>
        <v>#DIV/0!</v>
      </c>
      <c r="C2" s="1995" t="s">
        <v>1934</v>
      </c>
      <c r="D2" s="1996" t="s">
        <v>1935</v>
      </c>
      <c r="E2" s="3416" t="s">
        <v>21</v>
      </c>
      <c r="F2" s="1996" t="s">
        <v>1936</v>
      </c>
      <c r="G2" s="1997" t="str">
        <f>IF(E2="商业",项目基本情况!B37,IF(E2="办公",项目基本情况!C37,IF(E2="住宅",项目基本情况!D37,IF(E2="工业",项目基本情况!E37,项目基本情况!F37))))</f>
        <v>六级</v>
      </c>
      <c r="H2" s="1996" t="s">
        <v>1937</v>
      </c>
      <c r="I2" s="1997" t="str">
        <f>IF(E2="商业",项目基本情况!B38,IF(E2="办公",项目基本情况!C38,IF(E2="住宅",项目基本情况!D38,IF(E2="工业",项目基本情况!E38,项目基本情况!F38))))</f>
        <v>Ⅵ-昌2</v>
      </c>
      <c r="J2" s="1998"/>
      <c r="K2" s="1118"/>
      <c r="L2" s="1999"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1939</v>
      </c>
      <c r="B3" s="204" t="e">
        <f>ROUND(B2*10000/D1,0)</f>
        <v>#DIV/0!</v>
      </c>
      <c r="C3" s="1995" t="s">
        <v>1940</v>
      </c>
      <c r="D3" s="1996" t="s">
        <v>1941</v>
      </c>
      <c r="E3" s="3414" t="s">
        <v>2439</v>
      </c>
      <c r="F3" s="2000" t="s">
        <v>3522</v>
      </c>
      <c r="G3" s="751">
        <f>IF(F3="宗地容积率",'数据-汇总表'!I4,IF(F3="估价对象容积率",'数据-汇总表'!I6,'数据-汇总表'!I7))</f>
        <v>1</v>
      </c>
      <c r="H3" s="170" t="s">
        <v>1942</v>
      </c>
      <c r="I3" s="774"/>
      <c r="J3" s="1998" t="s">
        <v>1943</v>
      </c>
      <c r="K3" s="1118"/>
      <c r="L3" s="1999"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846"/>
      <c r="B4" s="3847"/>
      <c r="C4" s="3847"/>
      <c r="D4" s="3848"/>
      <c r="E4" s="3848"/>
      <c r="F4" s="3848"/>
      <c r="G4" s="3848"/>
      <c r="H4" s="3848"/>
      <c r="I4" s="3848"/>
      <c r="J4" s="3849"/>
      <c r="K4" s="1118"/>
      <c r="L4" s="1999"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1946</v>
      </c>
      <c r="C5" s="752">
        <f>ROUND(IF(E2="商业",C6*C7*C17+C20,(IF(E2="住宅",C6*C13*C17+C20,IF(E2="办公",C6*C12*C17+C20,C6+C20)))),0)</f>
        <v>10884</v>
      </c>
      <c r="D5" s="1337">
        <f>ROUND(C6*C17+C20,0)</f>
        <v>10884</v>
      </c>
      <c r="E5" s="1337"/>
      <c r="F5" s="2003"/>
      <c r="G5" s="2004"/>
      <c r="H5" s="2004"/>
      <c r="I5" s="2004"/>
      <c r="J5" s="2005"/>
      <c r="K5" s="2006"/>
      <c r="L5" s="1999"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t="e">
        <f t="shared" si="0"/>
        <v>#DIV/0!</v>
      </c>
      <c r="U5" s="1211"/>
      <c r="V5" s="3355" t="e">
        <f t="shared" si="1"/>
        <v>#DIV/0!</v>
      </c>
      <c r="W5" s="1214"/>
      <c r="X5" s="1214"/>
      <c r="Y5" s="1214"/>
      <c r="Z5" s="1214"/>
      <c r="AA5" s="1214"/>
      <c r="AB5" s="1214"/>
      <c r="AC5" s="2007"/>
      <c r="AD5" s="2008"/>
      <c r="AE5" s="2008"/>
      <c r="AF5" s="2008"/>
      <c r="AG5" s="2008"/>
      <c r="AH5" s="2008"/>
      <c r="AI5" s="2008"/>
      <c r="AJ5" s="2009"/>
    </row>
    <row r="6" spans="1:36" ht="15.75" thickBot="1">
      <c r="A6" s="2011" t="s">
        <v>1948</v>
      </c>
      <c r="B6" s="2012" t="s">
        <v>1949</v>
      </c>
      <c r="C6" s="753">
        <f>SUMIF(L1:L12,G2,M1:M12)</f>
        <v>10920</v>
      </c>
      <c r="D6" s="2013"/>
      <c r="E6" s="2014"/>
      <c r="F6" s="2014"/>
      <c r="G6" s="2015"/>
      <c r="H6" s="2015"/>
      <c r="I6" s="2015"/>
      <c r="J6" s="2016"/>
      <c r="K6" s="1382"/>
      <c r="L6" s="1999" t="s">
        <v>1950</v>
      </c>
      <c r="M6" s="863">
        <f>SUMPRODUCT((区片价!B127:B189=I2)*(区片价!C3:G3=E2)*(区片价!C127:G189))</f>
        <v>10920</v>
      </c>
      <c r="N6" s="865">
        <f>SUMPRODUCT((因素修正幅度!B127:B189=I2)*(因素修正幅度!C3:G3=E2)*(因素修正幅度!C127:G189))</f>
        <v>0.13</v>
      </c>
      <c r="O6" s="1118"/>
      <c r="P6" s="1118"/>
      <c r="Q6" s="1118"/>
      <c r="R6" s="1210">
        <v>5</v>
      </c>
      <c r="S6" s="3355">
        <f>ROUND(SUMPRODUCT((B106:B110=R6)*(C105:N105=G2)*(C106:N110)),4)</f>
        <v>0.84799999999999998</v>
      </c>
      <c r="T6" s="3355" t="e">
        <f t="shared" si="0"/>
        <v>#DIV/0!</v>
      </c>
      <c r="U6" s="1211"/>
      <c r="V6" s="3355" t="e">
        <f t="shared" si="1"/>
        <v>#DIV/0!</v>
      </c>
      <c r="W6" s="1214"/>
      <c r="X6" s="1214"/>
      <c r="Y6" s="1214"/>
      <c r="Z6" s="1214"/>
      <c r="AA6" s="1214"/>
      <c r="AB6" s="1214"/>
      <c r="AC6" s="2007"/>
      <c r="AD6" s="2008"/>
      <c r="AE6" s="2008"/>
      <c r="AF6" s="2008"/>
      <c r="AG6" s="2008"/>
      <c r="AH6" s="2008"/>
      <c r="AI6" s="2008"/>
      <c r="AJ6" s="2009"/>
    </row>
    <row r="7" spans="1:36" ht="24.75" thickBot="1">
      <c r="A7" s="3298" t="s">
        <v>3231</v>
      </c>
      <c r="B7" s="2017" t="s">
        <v>1951</v>
      </c>
      <c r="C7" s="754">
        <f>IF(C8="不临65条商业街",1,ROUND(1+(1.6*E8+1.2*E9+0.8*E10+0.4*E11)*C9,4))</f>
        <v>1</v>
      </c>
      <c r="D7" s="2018" t="s">
        <v>1952</v>
      </c>
      <c r="E7" s="775"/>
      <c r="F7" s="2019"/>
      <c r="G7" s="2020"/>
      <c r="H7" s="2020"/>
      <c r="I7" s="2020"/>
      <c r="J7" s="2021"/>
      <c r="K7" s="1382"/>
      <c r="L7" s="1999" t="s">
        <v>1953</v>
      </c>
      <c r="M7" s="863">
        <f>SUMPRODUCT((区片价!B190:B233=I2)*(区片价!C3:G3=E2)*(区片价!C190:G233))</f>
        <v>0</v>
      </c>
      <c r="N7" s="865">
        <f>SUMPRODUCT((因素修正幅度!B190:B233=I2)*(因素修正幅度!C3:G3=E2)*(因素修正幅度!C190:G233))</f>
        <v>0</v>
      </c>
      <c r="O7" s="1118"/>
      <c r="P7" s="1118"/>
      <c r="Q7" s="1118"/>
      <c r="R7" s="1210">
        <v>6</v>
      </c>
      <c r="S7" s="3413"/>
      <c r="T7" s="3355" t="e">
        <f t="shared" si="0"/>
        <v>#DIV/0!</v>
      </c>
      <c r="U7" s="1211"/>
      <c r="V7" s="3355" t="e">
        <f t="shared" si="1"/>
        <v>#DIV/0!</v>
      </c>
      <c r="W7" s="1356" t="s">
        <v>1954</v>
      </c>
      <c r="X7" s="1212" t="str">
        <f>G2</f>
        <v>六级</v>
      </c>
      <c r="Y7" s="1212" t="s">
        <v>1955</v>
      </c>
      <c r="Z7" s="1213">
        <f>G3</f>
        <v>1</v>
      </c>
      <c r="AA7" s="1214"/>
      <c r="AB7" s="1214"/>
      <c r="AC7" s="1215"/>
      <c r="AD7" s="1216"/>
      <c r="AE7" s="1216"/>
      <c r="AF7" s="1216"/>
      <c r="AG7" s="1216"/>
      <c r="AH7" s="1216"/>
      <c r="AI7" s="1216"/>
      <c r="AJ7" s="1217"/>
    </row>
    <row r="8" spans="1:36" ht="25.5">
      <c r="A8" s="3293"/>
      <c r="B8" s="170" t="s">
        <v>1956</v>
      </c>
      <c r="C8" s="2022" t="s">
        <v>3496</v>
      </c>
      <c r="D8" s="755" t="s">
        <v>112</v>
      </c>
      <c r="E8" s="756" t="e">
        <f>ROUND(C11/E7,4)</f>
        <v>#DIV/0!</v>
      </c>
      <c r="F8" s="2023" t="s">
        <v>1957</v>
      </c>
      <c r="G8" s="2024"/>
      <c r="H8" s="2024"/>
      <c r="I8" s="2024"/>
      <c r="J8" s="2025"/>
      <c r="K8" s="1118"/>
      <c r="L8" s="1999" t="s">
        <v>1958</v>
      </c>
      <c r="M8" s="863">
        <f>SUMPRODUCT((区片价!B234:B276=I2)*(区片价!C3:G3=E2)*(区片价!C234:G276))</f>
        <v>0</v>
      </c>
      <c r="N8" s="865">
        <f>SUMPRODUCT((因素修正幅度!B234:B276=I2)*(因素修正幅度!C3:G3=E2)*(因素修正幅度!C234:G276))</f>
        <v>0</v>
      </c>
      <c r="O8" s="1118"/>
      <c r="P8" s="1118"/>
      <c r="Q8" s="1118"/>
      <c r="R8" s="1210">
        <v>7</v>
      </c>
      <c r="S8" s="1211"/>
      <c r="T8" s="3355" t="e">
        <f t="shared" si="0"/>
        <v>#DIV/0!</v>
      </c>
      <c r="U8" s="1211"/>
      <c r="V8" s="3355" t="e">
        <f t="shared" si="1"/>
        <v>#DIV/0!</v>
      </c>
      <c r="W8" s="3843" t="s">
        <v>1959</v>
      </c>
      <c r="X8" s="3844"/>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7">
        <f>SUMIF(修正!C71:C138,C8,修正!E71:E138)</f>
        <v>0</v>
      </c>
      <c r="D9" s="171" t="s">
        <v>113</v>
      </c>
      <c r="E9" s="171" t="e">
        <f>ROUND(C11/E7,4)</f>
        <v>#DIV/0!</v>
      </c>
      <c r="F9" s="2023" t="s">
        <v>1973</v>
      </c>
      <c r="G9" s="2024"/>
      <c r="H9" s="2024"/>
      <c r="I9" s="2024"/>
      <c r="J9" s="2025"/>
      <c r="K9" s="1118"/>
      <c r="L9" s="1999"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t="e">
        <f t="shared" si="0"/>
        <v>#DIV/0!</v>
      </c>
      <c r="U9" s="1211"/>
      <c r="V9" s="3355" t="e">
        <f t="shared" si="1"/>
        <v>#DIV/0!</v>
      </c>
      <c r="W9" s="3845"/>
      <c r="X9" s="3356" t="s">
        <v>3262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3" t="s">
        <v>1976</v>
      </c>
      <c r="G10" s="2024"/>
      <c r="H10" s="2024"/>
      <c r="I10" s="2024"/>
      <c r="J10" s="2025"/>
      <c r="K10" s="1118"/>
      <c r="L10" s="1999"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t="e">
        <f t="shared" si="0"/>
        <v>#DIV/0!</v>
      </c>
      <c r="U10" s="1211"/>
      <c r="V10" s="3355" t="e">
        <f t="shared" si="1"/>
        <v>#DIV/0!</v>
      </c>
      <c r="W10" s="384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1978</v>
      </c>
      <c r="C11" s="758">
        <f>C10/4</f>
        <v>0</v>
      </c>
      <c r="D11" s="758" t="s">
        <v>115</v>
      </c>
      <c r="E11" s="758" t="e">
        <f>ROUND(C11/E7,4)</f>
        <v>#DIV/0!</v>
      </c>
      <c r="F11" s="2027" t="s">
        <v>1979</v>
      </c>
      <c r="G11" s="2028"/>
      <c r="H11" s="2028"/>
      <c r="I11" s="2028"/>
      <c r="J11" s="2029"/>
      <c r="K11" s="1118"/>
      <c r="L11" s="1999"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3232</v>
      </c>
      <c r="B12" s="3299" t="s">
        <v>3233</v>
      </c>
      <c r="C12" s="3300">
        <v>1</v>
      </c>
      <c r="D12" s="3301" t="s">
        <v>3234</v>
      </c>
      <c r="E12" s="3302" t="s">
        <v>3235</v>
      </c>
      <c r="F12" s="3303"/>
      <c r="G12" s="3304"/>
      <c r="H12" s="3304"/>
      <c r="I12" s="3304"/>
      <c r="J12" s="3305"/>
      <c r="K12" s="1118"/>
      <c r="L12" s="2035"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3236</v>
      </c>
      <c r="B13" s="2030" t="s">
        <v>1981</v>
      </c>
      <c r="C13" s="754">
        <f>ROUND(C16*D16*E16*F16*G16*H16*I16*J16,4)</f>
        <v>0</v>
      </c>
      <c r="D13" s="2031" t="s">
        <v>1982</v>
      </c>
      <c r="E13" s="2032"/>
      <c r="F13" s="2032"/>
      <c r="G13" s="2033"/>
      <c r="H13" s="2033"/>
      <c r="I13" s="2033"/>
      <c r="J13" s="2034"/>
      <c r="K13" s="1118"/>
      <c r="L13" s="3294"/>
      <c r="M13" s="3295"/>
      <c r="N13" s="3296"/>
      <c r="O13" s="1118"/>
      <c r="P13" s="1118"/>
      <c r="Q13" s="1118"/>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6" t="s">
        <v>1984</v>
      </c>
      <c r="C14" s="2037" t="s">
        <v>1985</v>
      </c>
      <c r="D14" s="1348" t="s">
        <v>1986</v>
      </c>
      <c r="E14" s="27" t="s">
        <v>1987</v>
      </c>
      <c r="F14" s="3306" t="s">
        <v>3237</v>
      </c>
      <c r="G14" s="3306" t="s">
        <v>3237</v>
      </c>
      <c r="H14" s="3306" t="s">
        <v>3237</v>
      </c>
      <c r="I14" s="3306" t="s">
        <v>3237</v>
      </c>
      <c r="J14" s="3306" t="s">
        <v>3237</v>
      </c>
      <c r="K14" s="1118"/>
      <c r="L14" s="1118"/>
      <c r="M14" s="1118"/>
      <c r="N14" s="1118"/>
      <c r="O14" s="1118"/>
      <c r="P14" s="1118"/>
      <c r="Q14" s="1118"/>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8"/>
      <c r="C15" s="2039"/>
      <c r="D15" s="2040"/>
      <c r="E15" s="2041"/>
      <c r="F15" s="3307" t="s">
        <v>3238</v>
      </c>
      <c r="G15" s="3308"/>
      <c r="H15" s="3309"/>
      <c r="I15" s="3310"/>
      <c r="J15" s="3311"/>
      <c r="K15" s="1118"/>
      <c r="L15" s="1118"/>
      <c r="M15" s="1118"/>
      <c r="N15" s="1118"/>
      <c r="O15" s="1118"/>
      <c r="P15" s="1118"/>
      <c r="Q15" s="1118"/>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8"/>
      <c r="L16" s="1993"/>
      <c r="M16" s="1993"/>
      <c r="N16" s="1993"/>
      <c r="O16" s="1993"/>
      <c r="P16" s="1993"/>
      <c r="Q16" s="1118"/>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3239</v>
      </c>
      <c r="B17" s="3315" t="s">
        <v>3240</v>
      </c>
      <c r="C17" s="3325">
        <f>ROUND(IF(OR(E2="工业",E2="公共服务"),1,IF(AND(E18=0,E19=0),1,IF(AND(E18=J24,E19=G19),0.8,IF(E19=0,1+E17*(-0.2),1+E17*G17*(-0.2))))),4)</f>
        <v>1</v>
      </c>
      <c r="D17" s="3316" t="s">
        <v>3241</v>
      </c>
      <c r="E17" s="3325">
        <f>ROUND(G18/I18,2)</f>
        <v>0</v>
      </c>
      <c r="F17" s="3316" t="s">
        <v>3244</v>
      </c>
      <c r="G17" s="3325" t="e">
        <f>ROUND(E19/G19,2)</f>
        <v>#DIV/0!</v>
      </c>
      <c r="H17" s="3325"/>
      <c r="I17" s="3325"/>
      <c r="J17" s="3326"/>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7"/>
      <c r="B18" s="3004"/>
      <c r="C18" s="3322"/>
      <c r="D18" s="3317" t="s">
        <v>3242</v>
      </c>
      <c r="E18" s="3323"/>
      <c r="F18" s="3318" t="s">
        <v>3245</v>
      </c>
      <c r="G18" s="3322">
        <f>ROUND(1-(1/(POWER(1+G24,E18))),4)</f>
        <v>0</v>
      </c>
      <c r="H18" s="3318" t="s">
        <v>3247</v>
      </c>
      <c r="I18" s="3322">
        <f>ROUND(1-(1/(POWER(1+G24,J24))),4)</f>
        <v>0.93120000000000003</v>
      </c>
      <c r="J18" s="3328"/>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2"/>
    </row>
    <row r="19" spans="1:37" s="2010" customFormat="1" ht="15" thickBot="1">
      <c r="A19" s="3329"/>
      <c r="B19" s="3330"/>
      <c r="C19" s="3331"/>
      <c r="D19" s="3331" t="s">
        <v>3243</v>
      </c>
      <c r="E19" s="3332"/>
      <c r="F19" s="3333" t="s">
        <v>3246</v>
      </c>
      <c r="G19" s="3332"/>
      <c r="H19" s="3331"/>
      <c r="I19" s="3331"/>
      <c r="J19" s="3334"/>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5"/>
      <c r="AH19" s="2137"/>
      <c r="AI19" s="2786"/>
      <c r="AJ19" s="2786"/>
      <c r="AK19" s="2053"/>
    </row>
    <row r="20" spans="1:37" s="2010" customFormat="1" ht="14.25">
      <c r="A20" s="3850" t="s">
        <v>3248</v>
      </c>
      <c r="B20" s="167" t="s">
        <v>1993</v>
      </c>
      <c r="C20" s="3319">
        <f>ROUND(IF(F21="与级别开发程度一致",0,(G21-E21)/C21),0)</f>
        <v>-36</v>
      </c>
      <c r="D20" s="3335" t="s">
        <v>1997</v>
      </c>
      <c r="E20" s="3336"/>
      <c r="F20" s="3856" t="s">
        <v>1994</v>
      </c>
      <c r="G20" s="3857"/>
      <c r="H20" s="3320" t="s">
        <v>3378</v>
      </c>
      <c r="I20" s="3320" t="s">
        <v>3379</v>
      </c>
      <c r="J20" s="3321" t="s">
        <v>3380</v>
      </c>
      <c r="K20" s="2043" t="s">
        <v>3381</v>
      </c>
      <c r="L20" s="2043" t="s">
        <v>3382</v>
      </c>
      <c r="M20" s="2043" t="s">
        <v>3383</v>
      </c>
      <c r="N20" s="2043"/>
      <c r="O20" s="2044"/>
      <c r="P20" s="1993"/>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0" customFormat="1" ht="26.25" thickBot="1">
      <c r="A21" s="3851"/>
      <c r="B21" s="2160" t="s">
        <v>1996</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3523</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0" customFormat="1" ht="15.75" thickBot="1">
      <c r="A22" s="2154" t="s">
        <v>363</v>
      </c>
      <c r="B22" s="2155" t="s">
        <v>1999</v>
      </c>
      <c r="C22" s="2156">
        <f>SUMIF(修正!C20:C51,E3,修正!E20:E51)</f>
        <v>0.8</v>
      </c>
      <c r="D22" s="2157"/>
      <c r="E22" s="2158"/>
      <c r="F22" s="2158"/>
      <c r="G22" s="2158"/>
      <c r="H22" s="2158"/>
      <c r="I22" s="2158"/>
      <c r="J22" s="2159"/>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6" t="s">
        <v>364</v>
      </c>
      <c r="B23" s="2047"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2001</v>
      </c>
      <c r="E23" s="760">
        <v>44197</v>
      </c>
      <c r="F23" s="2050" t="s">
        <v>2002</v>
      </c>
      <c r="G23" s="761">
        <f>'数据-取费表'!B2</f>
        <v>45163</v>
      </c>
      <c r="H23" s="3337" t="s">
        <v>3250</v>
      </c>
      <c r="I23" s="3338" t="str">
        <f>IF(H23="季度增幅（自定义）",SUMIF(N25:N28,E2,O25:O28),"")</f>
        <v/>
      </c>
      <c r="J23" s="3440" t="s">
        <v>3249</v>
      </c>
      <c r="K23" s="1124"/>
      <c r="L23" s="2051" t="s">
        <v>2003</v>
      </c>
      <c r="M23" s="1326">
        <f>ROUND(SUMIF(地价!B2:G2,E2,地价!B16:G16),0)</f>
        <v>350</v>
      </c>
      <c r="N23" s="2052" t="s">
        <v>2004</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2005</v>
      </c>
      <c r="C24" s="763" t="e">
        <f>ROUND(POWER(1+G24,J24-I24)*(POWER(1+G24,I24)-1)/(POWER(1+G24,J24)-1),4)</f>
        <v>#DIV/0!</v>
      </c>
      <c r="D24" s="2056" t="s">
        <v>2006</v>
      </c>
      <c r="E24" s="1333">
        <f>存贷款利率!E23/100</f>
        <v>4.3499999999999997E-2</v>
      </c>
      <c r="F24" s="2056" t="s">
        <v>1998</v>
      </c>
      <c r="G24" s="767">
        <f>SUMIF(M30:Q30,E2,M33:Q33)</f>
        <v>5.5E-2</v>
      </c>
      <c r="H24" s="2056" t="s">
        <v>2007</v>
      </c>
      <c r="I24" s="768" t="e">
        <f>SUMIF('数据-取费表'!C6:C15,E2,'数据-取费表'!F6:F15)/COUNTIF('数据-取费表'!C6:C15,E2)</f>
        <v>#DIV/0!</v>
      </c>
      <c r="J24" s="769">
        <f>IF(E2="住宅",70,IF(E2="商业",40,50))</f>
        <v>50</v>
      </c>
      <c r="K24" s="1124"/>
      <c r="L24" s="2057" t="s">
        <v>2008</v>
      </c>
      <c r="M24" s="1327">
        <f>ROUND(SUMPRODUCT((地价!A4:A16=YEAR(G23)&amp;"-"&amp;ROUNDUP(MONTH(G23)/3,0))*(地价!B2:G2=E2)*(地价!B4:G16)),0)</f>
        <v>0</v>
      </c>
      <c r="N24" s="2058" t="s">
        <v>2009</v>
      </c>
      <c r="O24" s="2059" t="s">
        <v>2010</v>
      </c>
      <c r="P24" s="2060" t="s">
        <v>2011</v>
      </c>
      <c r="Q24" s="1993"/>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1" t="s">
        <v>366</v>
      </c>
      <c r="B25" s="2062" t="s">
        <v>3329</v>
      </c>
      <c r="C25" s="770">
        <f>IF(B25="容积率修正",IF(G3&lt;10,D26,J26),C27)</f>
        <v>1.2158</v>
      </c>
      <c r="D25" s="2063"/>
      <c r="E25" s="2063"/>
      <c r="F25" s="2063"/>
      <c r="G25" s="2063"/>
      <c r="H25" s="2063"/>
      <c r="I25" s="2063"/>
      <c r="J25" s="2064"/>
      <c r="K25" s="1124"/>
      <c r="L25" s="2782"/>
      <c r="M25" s="2782"/>
      <c r="N25" s="2065" t="s">
        <v>2012</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2013</v>
      </c>
      <c r="B26" s="2066" t="s">
        <v>2014</v>
      </c>
      <c r="C26" s="3339" t="s">
        <v>3251</v>
      </c>
      <c r="D26" s="1350">
        <f>IF(E26=G26,F26,IF(G3&lt;10,ROUND(F26+(H26-F26)*(G3-E26)/(G26-E26),4),"——"))</f>
        <v>1.2158</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9" t="s">
        <v>3252</v>
      </c>
      <c r="J26" s="771" t="str">
        <f>IF(G3&gt;=10,D115,"——")</f>
        <v>——</v>
      </c>
      <c r="K26" s="1124"/>
      <c r="L26" s="2782"/>
      <c r="M26" s="2782"/>
      <c r="N26" s="2065" t="s">
        <v>2015</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2016</v>
      </c>
      <c r="B27" s="2067" t="s">
        <v>2017</v>
      </c>
      <c r="C27" s="840">
        <f>ROUND(IF(I3&lt;6,SUMPRODUCT((B106:B110=I3)*(C105:N105=G2)*(C106:N110)),SUMIF(C105:N105,G2,C112:N112)),4)</f>
        <v>0</v>
      </c>
      <c r="D27" s="2042"/>
      <c r="E27" s="2042"/>
      <c r="F27" s="2068"/>
      <c r="G27" s="2069"/>
      <c r="H27" s="2070"/>
      <c r="I27" s="2071"/>
      <c r="J27" s="2072"/>
      <c r="K27" s="1118"/>
      <c r="L27" s="1993"/>
      <c r="M27" s="1993"/>
      <c r="N27" s="2065" t="s">
        <v>2018</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59">
        <f>SUMIF(A47:A101,E2,B47:B101)</f>
        <v>1.0672999999999999</v>
      </c>
      <c r="D28" s="2048"/>
      <c r="E28" s="2073"/>
      <c r="F28" s="2073"/>
      <c r="G28" s="2073"/>
      <c r="H28" s="2073"/>
      <c r="I28" s="2073"/>
      <c r="J28" s="2074"/>
      <c r="K28" s="1124"/>
      <c r="L28" s="2782"/>
      <c r="M28" s="2782"/>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4"/>
      <c r="D29" s="2020"/>
      <c r="E29" s="2020"/>
      <c r="F29" s="2077"/>
      <c r="G29" s="2020"/>
      <c r="H29" s="2020"/>
      <c r="I29" s="2020"/>
      <c r="J29" s="2021"/>
      <c r="K29" s="1118"/>
      <c r="L29" s="1993"/>
      <c r="M29" s="1993"/>
      <c r="N29" s="2779" t="s">
        <v>2022</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2023</v>
      </c>
      <c r="C30" s="2317" t="e">
        <f>IF(B25="容积率修正",E33+SUM(E37:E42),SUM(V2:V16)+SUM(E37:E42))</f>
        <v>#DIV/0!</v>
      </c>
      <c r="D30" s="2079"/>
      <c r="E30" s="2042"/>
      <c r="F30" s="2080"/>
      <c r="G30" s="2042"/>
      <c r="H30" s="2042"/>
      <c r="I30" s="2042"/>
      <c r="J30" s="2081"/>
      <c r="K30" s="1118"/>
      <c r="L30" s="3345" t="s">
        <v>1935</v>
      </c>
      <c r="M30" s="3346" t="s">
        <v>1989</v>
      </c>
      <c r="N30" s="3346" t="s">
        <v>1990</v>
      </c>
      <c r="O30" s="3346" t="s">
        <v>1991</v>
      </c>
      <c r="P30" s="3346" t="s">
        <v>1992</v>
      </c>
      <c r="Q30" s="3349" t="s">
        <v>3256</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2024</v>
      </c>
      <c r="C31" s="765" t="e">
        <f>E34+SUM(I37:I42)</f>
        <v>#DIV/0!</v>
      </c>
      <c r="D31" s="2083"/>
      <c r="E31" s="2084"/>
      <c r="F31" s="2085"/>
      <c r="G31" s="2084"/>
      <c r="H31" s="2084"/>
      <c r="I31" s="2084"/>
      <c r="J31" s="2086"/>
      <c r="K31" s="1118"/>
      <c r="L31" s="3347" t="s">
        <v>1995</v>
      </c>
      <c r="M31" s="1996">
        <v>0.25</v>
      </c>
      <c r="N31" s="1996">
        <v>0.2</v>
      </c>
      <c r="O31" s="1996">
        <v>0.15</v>
      </c>
      <c r="P31" s="1996">
        <v>0.1</v>
      </c>
      <c r="Q31" s="3342">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8"/>
      <c r="L32" s="3348" t="s">
        <v>1998</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2029</v>
      </c>
      <c r="C33" s="175" t="e">
        <f>ROUND(C5*C22*C23*C24*C25*C28,0)</f>
        <v>#DIV/0!</v>
      </c>
      <c r="D33" s="2094">
        <f>'数据-汇总表'!D3</f>
        <v>26199.81</v>
      </c>
      <c r="E33" s="772" t="e">
        <f>ROUND(C33*D33/10000,0)</f>
        <v>#DIV/0!</v>
      </c>
      <c r="F33" s="3340" t="s">
        <v>3254</v>
      </c>
      <c r="G33" s="2095"/>
      <c r="H33" s="2095"/>
      <c r="I33" s="2095"/>
      <c r="J33" s="2096"/>
      <c r="K33" s="1118"/>
      <c r="L33" s="3343" t="s">
        <v>3257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t="e">
        <f>ROUND(IF(B25="楼层修正",SUM(V2:V16)*M40,C34*D34/10000),0)</f>
        <v>#DIV/0!</v>
      </c>
      <c r="F34" s="2100" t="s">
        <v>2031</v>
      </c>
      <c r="G34" s="2101"/>
      <c r="H34" s="2101"/>
      <c r="I34" s="2101"/>
      <c r="J34" s="2102"/>
      <c r="K34" s="1118"/>
      <c r="L34" s="3343" t="s">
        <v>3258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3255</v>
      </c>
      <c r="D35" s="2033"/>
      <c r="E35" s="2105"/>
      <c r="F35" s="2105"/>
      <c r="G35" s="2031" t="s">
        <v>2033</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3259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854"/>
      <c r="B37" s="2109" t="s">
        <v>2035</v>
      </c>
      <c r="C37" s="175" t="e">
        <f>ROUND(D5*C22*C23*C24*C28*F37,0)</f>
        <v>#DIV/0!</v>
      </c>
      <c r="D37" s="2094"/>
      <c r="E37" s="171" t="e">
        <f>ROUND(C37*D37/10000,0)</f>
        <v>#DIV/0!</v>
      </c>
      <c r="F37" s="171">
        <f>SUMIF(修正!A57:A68,G2,修正!B57:B68)</f>
        <v>0.6</v>
      </c>
      <c r="G37" s="171" t="e">
        <f>ROUND(IF(E2="工业",C37*$M$42,C37*$M$41),0)</f>
        <v>#DIV/0!</v>
      </c>
      <c r="H37" s="171">
        <f>D37</f>
        <v>0</v>
      </c>
      <c r="I37" s="171" t="e">
        <f>ROUND(G37*H37/10000,0)</f>
        <v>#DIV/0!</v>
      </c>
      <c r="J37" s="3006"/>
      <c r="K37" s="3353" t="s">
        <v>3260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855"/>
      <c r="B38" s="2037" t="s">
        <v>2036</v>
      </c>
      <c r="C38" s="175" t="e">
        <f>ROUND(D5*C22*C23*C24*C28*F38,0)</f>
        <v>#DIV/0!</v>
      </c>
      <c r="D38" s="2094"/>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55"/>
      <c r="B39" s="2037" t="s">
        <v>3253</v>
      </c>
      <c r="C39" s="175" t="e">
        <f>ROUND(D5*C22*C23*C24*C28*F39,0)</f>
        <v>#DIV/0!</v>
      </c>
      <c r="D39" s="2094"/>
      <c r="E39" s="171" t="e">
        <f t="shared" si="4"/>
        <v>#DIV/0!</v>
      </c>
      <c r="F39" s="171">
        <f>SUMIF(修正!A57:A68,G2,修正!D57:D68)</f>
        <v>0.25</v>
      </c>
      <c r="G39" s="171" t="e">
        <f>ROUND(IF(E2="工业",C39*$M$42,C39*$M$41),0)</f>
        <v>#DIV/0!</v>
      </c>
      <c r="H39" s="171">
        <f t="shared" si="5"/>
        <v>0</v>
      </c>
      <c r="I39" s="171" t="e">
        <f t="shared" si="6"/>
        <v>#DIV/0!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2037</v>
      </c>
      <c r="C40" s="171" t="e">
        <f>ROUND(D5*C22*C23*C24*C28*F40,0)</f>
        <v>#DIV/0!</v>
      </c>
      <c r="D40" s="2094"/>
      <c r="E40" s="171" t="e">
        <f t="shared" si="4"/>
        <v>#DIV/0!</v>
      </c>
      <c r="F40" s="175">
        <f>SUMIF(修正!A57:A68,G2,修正!E57:E68)</f>
        <v>0.25</v>
      </c>
      <c r="G40" s="171" t="e">
        <f>ROUND(IF(E2="工业",C40*$M$42,C40*$M$41),0)</f>
        <v>#DIV/0!</v>
      </c>
      <c r="H40" s="171">
        <f t="shared" si="5"/>
        <v>0</v>
      </c>
      <c r="I40" s="171" t="e">
        <f t="shared" si="6"/>
        <v>#DIV/0!</v>
      </c>
      <c r="J40" s="2110"/>
      <c r="L40" s="2112" t="s">
        <v>2038</v>
      </c>
      <c r="M40" s="2113"/>
      <c r="Z40" s="1119"/>
      <c r="AA40" s="1119"/>
      <c r="AB40" s="1119"/>
      <c r="AC40" s="1119"/>
      <c r="AD40" s="1119"/>
      <c r="AE40" s="1119"/>
      <c r="AF40" s="1119"/>
      <c r="AG40" s="1119"/>
      <c r="AH40" s="1119"/>
      <c r="AI40" s="1119"/>
      <c r="AJ40" s="1119"/>
    </row>
    <row r="41" spans="1:37" s="1118" customFormat="1">
      <c r="A41" s="2111"/>
      <c r="B41" s="2037" t="s">
        <v>2039</v>
      </c>
      <c r="C41" s="171">
        <f>ROUND(D5*C22*C23*C44*C28*F41,0)</f>
        <v>2179</v>
      </c>
      <c r="D41" s="2094"/>
      <c r="E41" s="171">
        <f t="shared" si="4"/>
        <v>0</v>
      </c>
      <c r="F41" s="175">
        <f>SUMIF(修正!A57:A68,G2,修正!F57:F68)</f>
        <v>0.25</v>
      </c>
      <c r="G41" s="171">
        <f>ROUND(IF(E2="工业",C41*$M$42,C41*$M$41),0)</f>
        <v>545</v>
      </c>
      <c r="H41" s="171">
        <f t="shared" si="5"/>
        <v>0</v>
      </c>
      <c r="I41" s="171">
        <f t="shared" si="6"/>
        <v>0</v>
      </c>
      <c r="J41" s="2110"/>
      <c r="L41" s="3354" t="s">
        <v>3261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1308</v>
      </c>
      <c r="D42" s="2099"/>
      <c r="E42" s="187">
        <f t="shared" si="4"/>
        <v>0</v>
      </c>
      <c r="F42" s="766">
        <f>SUMIF(修正!A57:A68,G2,修正!G57:G68)</f>
        <v>0.15</v>
      </c>
      <c r="G42" s="187">
        <f>ROUND(IF(E2="工业",C42*$M$42,C42*$M$41),0)</f>
        <v>327</v>
      </c>
      <c r="H42" s="187">
        <f t="shared" si="5"/>
        <v>0</v>
      </c>
      <c r="I42" s="187">
        <f t="shared" si="6"/>
        <v>0</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0.91510000000000002</v>
      </c>
      <c r="D44" s="171" t="s">
        <v>1998</v>
      </c>
      <c r="E44" s="2149">
        <f>G24</f>
        <v>5.5E-2</v>
      </c>
      <c r="F44" s="171" t="s">
        <v>2007</v>
      </c>
      <c r="G44" s="183">
        <f>'数据-取费表'!F7</f>
        <v>35.71</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2042</v>
      </c>
      <c r="B48" s="2123" t="e">
        <f>1+E50</f>
        <v>#VALUE!</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2" t="s">
        <v>2047</v>
      </c>
      <c r="F49" s="2127" t="s">
        <v>2048</v>
      </c>
      <c r="G49" s="1349" t="s">
        <v>310</v>
      </c>
      <c r="H49" s="2128"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6" t="s">
        <v>2051</v>
      </c>
      <c r="B50" s="2129" t="str">
        <f>估价对象房地状况!C4</f>
        <v>一般</v>
      </c>
      <c r="C50" s="2040" t="s">
        <v>3392</v>
      </c>
      <c r="D50" s="1064" t="e">
        <f t="shared" ref="D50:D58" si="7">SUMIF($J$49:$N$49,C50,J50:N50)</f>
        <v>#VALUE!</v>
      </c>
      <c r="E50" s="743" t="e">
        <f>ROUND(SUM(D50:D58),4)</f>
        <v>#VALUE!</v>
      </c>
      <c r="F50" s="1812"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6" t="s">
        <v>2052</v>
      </c>
      <c r="B51" s="2130" t="str">
        <f>估价对象房地状况!C18</f>
        <v>一般</v>
      </c>
      <c r="C51" s="2040" t="s">
        <v>3392</v>
      </c>
      <c r="D51" s="1064" t="e">
        <f t="shared" si="7"/>
        <v>#VALUE!</v>
      </c>
      <c r="E51" s="744"/>
      <c r="F51" s="1812"/>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3" t="s">
        <v>3263</v>
      </c>
      <c r="B52" s="2130" t="str">
        <f>估价对象房地状况!C19</f>
        <v>较好</v>
      </c>
      <c r="C52" s="2040" t="s">
        <v>3392</v>
      </c>
      <c r="D52" s="1064" t="e">
        <f t="shared" si="7"/>
        <v>#VALUE!</v>
      </c>
      <c r="E52" s="744"/>
      <c r="F52" s="1812"/>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6" t="s">
        <v>2053</v>
      </c>
      <c r="B53" s="2131" t="s">
        <v>2054</v>
      </c>
      <c r="C53" s="2040" t="s">
        <v>3392</v>
      </c>
      <c r="D53" s="1064" t="e">
        <f t="shared" si="7"/>
        <v>#VALUE!</v>
      </c>
      <c r="E53" s="744"/>
      <c r="F53" s="1812"/>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3497</v>
      </c>
      <c r="D54" s="1064">
        <f t="shared" si="7"/>
        <v>0</v>
      </c>
      <c r="E54" s="744"/>
      <c r="F54" s="1812"/>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6" t="s">
        <v>2056</v>
      </c>
      <c r="B55" s="2132" t="s">
        <v>2057</v>
      </c>
      <c r="C55" s="2040" t="s">
        <v>3392</v>
      </c>
      <c r="D55" s="1064" t="e">
        <f t="shared" si="7"/>
        <v>#VALUE!</v>
      </c>
      <c r="E55" s="744"/>
      <c r="F55" s="1812"/>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3" t="s">
        <v>2058</v>
      </c>
      <c r="B56" s="1324" t="str">
        <f>估价对象房地状况!C21</f>
        <v>较好</v>
      </c>
      <c r="C56" s="2040" t="s">
        <v>3392</v>
      </c>
      <c r="D56" s="1064" t="e">
        <f t="shared" si="7"/>
        <v>#VALUE!</v>
      </c>
      <c r="E56" s="744"/>
      <c r="F56" s="1812"/>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3" t="s">
        <v>2059</v>
      </c>
      <c r="B57" s="2130" t="str">
        <f>估价对象房地状况!C22</f>
        <v>七通</v>
      </c>
      <c r="C57" s="2040" t="s">
        <v>3498</v>
      </c>
      <c r="D57" s="1064" t="e">
        <f t="shared" si="7"/>
        <v>#VALUE!</v>
      </c>
      <c r="E57" s="744"/>
      <c r="F57" s="1812"/>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4" t="s">
        <v>2060</v>
      </c>
      <c r="B58" s="2135" t="str">
        <f>估价对象房地状况!C20</f>
        <v>一般</v>
      </c>
      <c r="C58" s="2040" t="s">
        <v>3392</v>
      </c>
      <c r="D58" s="1064" t="e">
        <f t="shared" si="7"/>
        <v>#VALUE!</v>
      </c>
      <c r="E58" s="745"/>
      <c r="F58" s="1812"/>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2" t="s">
        <v>2061</v>
      </c>
      <c r="B59" s="2123">
        <f>1+E61</f>
        <v>1.0672999999999999</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2" t="s">
        <v>2047</v>
      </c>
      <c r="F60" s="2127" t="s">
        <v>2062</v>
      </c>
      <c r="G60" s="1349" t="s">
        <v>310</v>
      </c>
      <c r="H60" s="2128"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6" t="s">
        <v>2063</v>
      </c>
      <c r="B61" s="2129" t="str">
        <f>估价对象房地状况!C17</f>
        <v>一般</v>
      </c>
      <c r="C61" s="2040" t="s">
        <v>3392</v>
      </c>
      <c r="D61" s="1064">
        <f t="shared" ref="D61:D69" si="13">SUMIF($J$60:$N$60,C61,J61:N61)</f>
        <v>1.6199999999999999E-2</v>
      </c>
      <c r="E61" s="743">
        <f>ROUND(SUM(D61:D69),4)</f>
        <v>6.7299999999999999E-2</v>
      </c>
      <c r="F61" s="1812">
        <f>IF(E2="办公",SUMIF(L1:L12,G2,N1:N12),"——")</f>
        <v>0.13</v>
      </c>
      <c r="G61" s="1062">
        <f t="shared" ref="G61:G69" si="14">H61</f>
        <v>1.6199999999999999E-2</v>
      </c>
      <c r="H61" s="1065">
        <f t="shared" ref="H61:H69" si="15">IFERROR(ROUNDDOWN($F$61*I61/2,4),"——")</f>
        <v>1.6199999999999999E-2</v>
      </c>
      <c r="I61" s="3361">
        <v>0.25</v>
      </c>
      <c r="J61" s="1063">
        <f t="shared" ref="J61:J69" si="16">K61+$G61</f>
        <v>3.2399999999999998E-2</v>
      </c>
      <c r="K61" s="1063">
        <f t="shared" ref="K61:K69" si="17">$L61+$G61</f>
        <v>1.6199999999999999E-2</v>
      </c>
      <c r="L61" s="1063">
        <v>0</v>
      </c>
      <c r="M61" s="1063">
        <f t="shared" ref="M61:N69" si="18">L61-$G61</f>
        <v>-1.6199999999999999E-2</v>
      </c>
      <c r="N61" s="1063">
        <f t="shared" si="18"/>
        <v>-3.2399999999999998E-2</v>
      </c>
      <c r="AA61" s="1119"/>
      <c r="AB61" s="1119"/>
      <c r="AC61" s="1119"/>
      <c r="AD61" s="1119"/>
      <c r="AE61" s="1119"/>
      <c r="AF61" s="1119"/>
      <c r="AG61" s="1119"/>
      <c r="AH61" s="1119"/>
      <c r="AI61" s="1119"/>
      <c r="AJ61" s="1119"/>
      <c r="AK61" s="1119"/>
    </row>
    <row r="62" spans="1:37" s="1118" customFormat="1" ht="14.25">
      <c r="A62" s="2126" t="s">
        <v>2052</v>
      </c>
      <c r="B62" s="2130" t="str">
        <f>估价对象房地状况!C18</f>
        <v>一般</v>
      </c>
      <c r="C62" s="2040" t="s">
        <v>3392</v>
      </c>
      <c r="D62" s="1064">
        <f t="shared" si="13"/>
        <v>1.6899999999999998E-2</v>
      </c>
      <c r="E62" s="744"/>
      <c r="F62" s="1812"/>
      <c r="G62" s="1062">
        <f t="shared" si="14"/>
        <v>1.6899999999999998E-2</v>
      </c>
      <c r="H62" s="1065">
        <f t="shared" si="15"/>
        <v>1.6899999999999998E-2</v>
      </c>
      <c r="I62" s="3361">
        <v>0.26</v>
      </c>
      <c r="J62" s="1063">
        <f t="shared" si="16"/>
        <v>3.3799999999999997E-2</v>
      </c>
      <c r="K62" s="1063">
        <f t="shared" si="17"/>
        <v>1.6899999999999998E-2</v>
      </c>
      <c r="L62" s="1063">
        <v>0</v>
      </c>
      <c r="M62" s="1063">
        <f t="shared" si="18"/>
        <v>-1.6899999999999998E-2</v>
      </c>
      <c r="N62" s="1063">
        <f t="shared" si="18"/>
        <v>-3.3799999999999997E-2</v>
      </c>
      <c r="AA62" s="1119"/>
      <c r="AB62" s="1119"/>
      <c r="AC62" s="1119"/>
      <c r="AD62" s="1119"/>
      <c r="AE62" s="1119"/>
      <c r="AF62" s="1119"/>
      <c r="AG62" s="1119"/>
      <c r="AH62" s="1119"/>
      <c r="AI62" s="1119"/>
      <c r="AJ62" s="1119"/>
      <c r="AK62" s="1119"/>
    </row>
    <row r="63" spans="1:37" s="1118" customFormat="1" ht="36">
      <c r="A63" s="3363" t="s">
        <v>3263</v>
      </c>
      <c r="B63" s="2130" t="str">
        <f>估价对象房地状况!C19</f>
        <v>较好</v>
      </c>
      <c r="C63" s="2040" t="s">
        <v>3392</v>
      </c>
      <c r="D63" s="1064">
        <f t="shared" si="13"/>
        <v>7.1000000000000004E-3</v>
      </c>
      <c r="E63" s="744"/>
      <c r="F63" s="1812"/>
      <c r="G63" s="1062">
        <f t="shared" si="14"/>
        <v>7.1000000000000004E-3</v>
      </c>
      <c r="H63" s="1065">
        <f t="shared" si="15"/>
        <v>7.1000000000000004E-3</v>
      </c>
      <c r="I63" s="3361">
        <v>0.11</v>
      </c>
      <c r="J63" s="1063">
        <f t="shared" si="16"/>
        <v>1.4200000000000001E-2</v>
      </c>
      <c r="K63" s="1063">
        <f t="shared" si="17"/>
        <v>7.1000000000000004E-3</v>
      </c>
      <c r="L63" s="1063">
        <v>0</v>
      </c>
      <c r="M63" s="1063">
        <f t="shared" si="18"/>
        <v>-7.1000000000000004E-3</v>
      </c>
      <c r="N63" s="1063">
        <f t="shared" si="18"/>
        <v>-1.4200000000000001E-2</v>
      </c>
      <c r="AA63" s="1119"/>
      <c r="AB63" s="1119"/>
      <c r="AC63" s="1119"/>
      <c r="AD63" s="1119"/>
      <c r="AE63" s="1119"/>
      <c r="AF63" s="1119"/>
      <c r="AG63" s="1119"/>
      <c r="AH63" s="1119"/>
      <c r="AI63" s="1119"/>
      <c r="AJ63" s="1119"/>
      <c r="AK63" s="1119"/>
    </row>
    <row r="64" spans="1:37" s="1118" customFormat="1" ht="36.75">
      <c r="A64" s="2126" t="s">
        <v>2053</v>
      </c>
      <c r="B64" s="2131" t="s">
        <v>2054</v>
      </c>
      <c r="C64" s="2040" t="s">
        <v>3392</v>
      </c>
      <c r="D64" s="1064">
        <f t="shared" si="13"/>
        <v>3.2000000000000002E-3</v>
      </c>
      <c r="E64" s="744"/>
      <c r="F64" s="1812"/>
      <c r="G64" s="1062">
        <f t="shared" si="14"/>
        <v>3.2000000000000002E-3</v>
      </c>
      <c r="H64" s="1065">
        <f t="shared" si="15"/>
        <v>3.2000000000000002E-3</v>
      </c>
      <c r="I64" s="3361">
        <v>0.05</v>
      </c>
      <c r="J64" s="1063">
        <f t="shared" si="16"/>
        <v>6.4000000000000003E-3</v>
      </c>
      <c r="K64" s="1063">
        <f t="shared" si="17"/>
        <v>3.2000000000000002E-3</v>
      </c>
      <c r="L64" s="1063">
        <v>0</v>
      </c>
      <c r="M64" s="1063">
        <f t="shared" si="18"/>
        <v>-3.2000000000000002E-3</v>
      </c>
      <c r="N64" s="1063">
        <f t="shared" si="18"/>
        <v>-6.4000000000000003E-3</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t="s">
        <v>3497</v>
      </c>
      <c r="D65" s="1064">
        <f t="shared" si="13"/>
        <v>0</v>
      </c>
      <c r="E65" s="744"/>
      <c r="F65" s="1812"/>
      <c r="G65" s="1062">
        <f t="shared" si="14"/>
        <v>3.2000000000000002E-3</v>
      </c>
      <c r="H65" s="1065">
        <f t="shared" si="15"/>
        <v>3.2000000000000002E-3</v>
      </c>
      <c r="I65" s="3361">
        <v>0.05</v>
      </c>
      <c r="J65" s="1063">
        <f t="shared" si="16"/>
        <v>6.4000000000000003E-3</v>
      </c>
      <c r="K65" s="1063">
        <f t="shared" si="17"/>
        <v>3.2000000000000002E-3</v>
      </c>
      <c r="L65" s="1063">
        <v>0</v>
      </c>
      <c r="M65" s="1063">
        <f t="shared" si="18"/>
        <v>-3.2000000000000002E-3</v>
      </c>
      <c r="N65" s="1063">
        <f t="shared" si="18"/>
        <v>-6.4000000000000003E-3</v>
      </c>
      <c r="AA65" s="1119"/>
      <c r="AB65" s="1119"/>
      <c r="AC65" s="1119"/>
      <c r="AD65" s="1119"/>
      <c r="AE65" s="1119"/>
      <c r="AF65" s="1119"/>
      <c r="AG65" s="1119"/>
      <c r="AH65" s="1119"/>
      <c r="AI65" s="1119"/>
      <c r="AJ65" s="1119"/>
      <c r="AK65" s="1119"/>
    </row>
    <row r="66" spans="1:37" s="1118" customFormat="1" ht="24">
      <c r="A66" s="2126" t="s">
        <v>2056</v>
      </c>
      <c r="B66" s="2132" t="s">
        <v>2057</v>
      </c>
      <c r="C66" s="2040" t="s">
        <v>3392</v>
      </c>
      <c r="D66" s="1064">
        <f t="shared" si="13"/>
        <v>3.8999999999999998E-3</v>
      </c>
      <c r="E66" s="744"/>
      <c r="F66" s="1812"/>
      <c r="G66" s="1062">
        <f t="shared" si="14"/>
        <v>3.8999999999999998E-3</v>
      </c>
      <c r="H66" s="1065">
        <f t="shared" si="15"/>
        <v>3.8999999999999998E-3</v>
      </c>
      <c r="I66" s="3361">
        <v>0.06</v>
      </c>
      <c r="J66" s="1063">
        <f t="shared" si="16"/>
        <v>7.7999999999999996E-3</v>
      </c>
      <c r="K66" s="1063">
        <f t="shared" si="17"/>
        <v>3.8999999999999998E-3</v>
      </c>
      <c r="L66" s="1063">
        <v>0</v>
      </c>
      <c r="M66" s="1063">
        <f t="shared" si="18"/>
        <v>-3.8999999999999998E-3</v>
      </c>
      <c r="N66" s="1063">
        <f t="shared" si="18"/>
        <v>-7.7999999999999996E-3</v>
      </c>
      <c r="AA66" s="1119"/>
      <c r="AB66" s="1119"/>
      <c r="AC66" s="1119"/>
      <c r="AD66" s="1119"/>
      <c r="AE66" s="1119"/>
      <c r="AF66" s="1119"/>
      <c r="AG66" s="1119"/>
      <c r="AH66" s="1119"/>
      <c r="AI66" s="1119"/>
      <c r="AJ66" s="1119"/>
      <c r="AK66" s="1119"/>
    </row>
    <row r="67" spans="1:37" s="1118" customFormat="1" ht="24">
      <c r="A67" s="2126" t="s">
        <v>2058</v>
      </c>
      <c r="B67" s="1324" t="str">
        <f>估价对象房地状况!C21</f>
        <v>较好</v>
      </c>
      <c r="C67" s="2040" t="s">
        <v>3392</v>
      </c>
      <c r="D67" s="1064">
        <f t="shared" si="13"/>
        <v>3.8999999999999998E-3</v>
      </c>
      <c r="E67" s="744"/>
      <c r="F67" s="1812"/>
      <c r="G67" s="1062">
        <f t="shared" si="14"/>
        <v>3.8999999999999998E-3</v>
      </c>
      <c r="H67" s="1065">
        <f t="shared" si="15"/>
        <v>3.8999999999999998E-3</v>
      </c>
      <c r="I67" s="3361">
        <v>0.06</v>
      </c>
      <c r="J67" s="1063">
        <f t="shared" si="16"/>
        <v>7.7999999999999996E-3</v>
      </c>
      <c r="K67" s="1063">
        <f t="shared" si="17"/>
        <v>3.8999999999999998E-3</v>
      </c>
      <c r="L67" s="1063">
        <v>0</v>
      </c>
      <c r="M67" s="1063">
        <f t="shared" si="18"/>
        <v>-3.8999999999999998E-3</v>
      </c>
      <c r="N67" s="1063">
        <f t="shared" si="18"/>
        <v>-7.7999999999999996E-3</v>
      </c>
      <c r="AA67" s="1119"/>
      <c r="AB67" s="1119"/>
      <c r="AC67" s="1119"/>
      <c r="AD67" s="1119"/>
      <c r="AE67" s="1119"/>
      <c r="AF67" s="1119"/>
      <c r="AG67" s="1119"/>
      <c r="AH67" s="1119"/>
      <c r="AI67" s="1119"/>
      <c r="AJ67" s="1119"/>
      <c r="AK67" s="1119"/>
    </row>
    <row r="68" spans="1:37" s="1118" customFormat="1" ht="24">
      <c r="A68" s="2126" t="s">
        <v>2059</v>
      </c>
      <c r="B68" s="1324" t="str">
        <f>估价对象房地状况!C22</f>
        <v>七通</v>
      </c>
      <c r="C68" s="2040" t="s">
        <v>3498</v>
      </c>
      <c r="D68" s="1064">
        <f t="shared" si="13"/>
        <v>1.1599999999999999E-2</v>
      </c>
      <c r="E68" s="744"/>
      <c r="F68" s="1812"/>
      <c r="G68" s="1062">
        <f t="shared" si="14"/>
        <v>5.7999999999999996E-3</v>
      </c>
      <c r="H68" s="1065">
        <f t="shared" si="15"/>
        <v>5.7999999999999996E-3</v>
      </c>
      <c r="I68" s="3361">
        <v>0.09</v>
      </c>
      <c r="J68" s="1063">
        <f t="shared" si="16"/>
        <v>1.1599999999999999E-2</v>
      </c>
      <c r="K68" s="1063">
        <f t="shared" si="17"/>
        <v>5.7999999999999996E-3</v>
      </c>
      <c r="L68" s="1063">
        <v>0</v>
      </c>
      <c r="M68" s="1063">
        <f t="shared" si="18"/>
        <v>-5.7999999999999996E-3</v>
      </c>
      <c r="N68" s="1063">
        <f t="shared" si="18"/>
        <v>-1.1599999999999999E-2</v>
      </c>
      <c r="AA68" s="1119"/>
      <c r="AB68" s="1119"/>
      <c r="AC68" s="1119"/>
      <c r="AD68" s="1119"/>
      <c r="AE68" s="1119"/>
      <c r="AF68" s="1119"/>
      <c r="AG68" s="1119"/>
      <c r="AH68" s="1119"/>
      <c r="AI68" s="1119"/>
      <c r="AJ68" s="1119"/>
      <c r="AK68" s="1119"/>
    </row>
    <row r="69" spans="1:37" s="1118" customFormat="1" ht="24.75" thickBot="1">
      <c r="A69" s="2134" t="s">
        <v>2060</v>
      </c>
      <c r="B69" s="2136" t="str">
        <f>估价对象房地状况!C20</f>
        <v>一般</v>
      </c>
      <c r="C69" s="2040" t="s">
        <v>3392</v>
      </c>
      <c r="D69" s="1064">
        <f t="shared" si="13"/>
        <v>4.4999999999999997E-3</v>
      </c>
      <c r="E69" s="745"/>
      <c r="F69" s="1812"/>
      <c r="G69" s="1062">
        <f t="shared" si="14"/>
        <v>4.4999999999999997E-3</v>
      </c>
      <c r="H69" s="1065">
        <f t="shared" si="15"/>
        <v>4.4999999999999997E-3</v>
      </c>
      <c r="I69" s="3362">
        <v>7.0000000000000007E-2</v>
      </c>
      <c r="J69" s="1063">
        <f t="shared" si="16"/>
        <v>8.9999999999999993E-3</v>
      </c>
      <c r="K69" s="1063">
        <f t="shared" si="17"/>
        <v>4.4999999999999997E-3</v>
      </c>
      <c r="L69" s="1063">
        <v>0</v>
      </c>
      <c r="M69" s="1063">
        <f t="shared" si="18"/>
        <v>-4.4999999999999997E-3</v>
      </c>
      <c r="N69" s="1063">
        <f t="shared" si="18"/>
        <v>-8.9999999999999993E-3</v>
      </c>
      <c r="AA69" s="1119"/>
      <c r="AB69" s="1119"/>
      <c r="AC69" s="1119"/>
      <c r="AD69" s="1119"/>
      <c r="AE69" s="1119"/>
      <c r="AF69" s="1119"/>
      <c r="AG69" s="1119"/>
      <c r="AH69" s="1119"/>
      <c r="AI69" s="1119"/>
      <c r="AJ69" s="1119"/>
      <c r="AK69" s="1119"/>
    </row>
    <row r="70" spans="1:37" s="1118" customFormat="1" ht="15">
      <c r="A70" s="2122" t="s">
        <v>2064</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2" t="s">
        <v>2047</v>
      </c>
      <c r="F71" s="2127" t="s">
        <v>2062</v>
      </c>
      <c r="G71" s="1349" t="s">
        <v>310</v>
      </c>
      <c r="H71" s="2128"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6" t="s">
        <v>2065</v>
      </c>
      <c r="B72" s="2129" t="str">
        <f>估价对象房地状况!C15</f>
        <v>较好</v>
      </c>
      <c r="C72" s="2040" t="s">
        <v>3392</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2052</v>
      </c>
      <c r="B73" s="2130" t="str">
        <f>估价对象房地状况!C18</f>
        <v>一般</v>
      </c>
      <c r="C73" s="2040" t="s">
        <v>3392</v>
      </c>
      <c r="D73" s="1064" t="e">
        <f t="shared" si="19"/>
        <v>#VALUE!</v>
      </c>
      <c r="E73" s="746"/>
      <c r="F73" s="1812"/>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3" t="s">
        <v>3263</v>
      </c>
      <c r="B74" s="2130" t="str">
        <f>估价对象房地状况!C19</f>
        <v>较好</v>
      </c>
      <c r="C74" s="2040" t="s">
        <v>3392</v>
      </c>
      <c r="D74" s="1064" t="e">
        <f t="shared" si="19"/>
        <v>#VALUE!</v>
      </c>
      <c r="E74" s="746"/>
      <c r="F74" s="1812"/>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t="s">
        <v>3497</v>
      </c>
      <c r="D75" s="1064">
        <f t="shared" si="19"/>
        <v>0</v>
      </c>
      <c r="E75" s="746"/>
      <c r="F75" s="1812"/>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2058</v>
      </c>
      <c r="B76" s="1324" t="str">
        <f>估价对象房地状况!C21</f>
        <v>较好</v>
      </c>
      <c r="C76" s="2040" t="s">
        <v>3392</v>
      </c>
      <c r="D76" s="1064" t="e">
        <f t="shared" si="19"/>
        <v>#VALUE!</v>
      </c>
      <c r="E76" s="746"/>
      <c r="F76" s="1812"/>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2059</v>
      </c>
      <c r="B77" s="1324" t="str">
        <f>估价对象房地状况!C22</f>
        <v>七通</v>
      </c>
      <c r="C77" s="2040" t="s">
        <v>3498</v>
      </c>
      <c r="D77" s="1064" t="e">
        <f t="shared" si="19"/>
        <v>#VALUE!</v>
      </c>
      <c r="E77" s="746"/>
      <c r="F77" s="1812"/>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2056</v>
      </c>
      <c r="B78" s="2132" t="s">
        <v>2057</v>
      </c>
      <c r="C78" s="2040" t="s">
        <v>3392</v>
      </c>
      <c r="D78" s="1064" t="e">
        <f t="shared" si="19"/>
        <v>#VALUE!</v>
      </c>
      <c r="E78" s="746"/>
      <c r="F78" s="1812"/>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2060</v>
      </c>
      <c r="B79" s="2129" t="str">
        <f>估价对象房地状况!C20</f>
        <v>一般</v>
      </c>
      <c r="C79" s="2040" t="s">
        <v>3392</v>
      </c>
      <c r="D79" s="1064" t="e">
        <f t="shared" si="19"/>
        <v>#VALUE!</v>
      </c>
      <c r="E79" s="746"/>
      <c r="F79" s="1812"/>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2067</v>
      </c>
      <c r="B80" s="2138"/>
      <c r="C80" s="2040" t="s">
        <v>3497</v>
      </c>
      <c r="D80" s="1064">
        <f t="shared" si="19"/>
        <v>0</v>
      </c>
      <c r="E80" s="747"/>
      <c r="F80" s="1812"/>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2068</v>
      </c>
      <c r="B81" s="2123" t="e">
        <f>1+E83</f>
        <v>#VALUE!</v>
      </c>
      <c r="C81" s="740"/>
      <c r="D81" s="740"/>
      <c r="E81" s="741"/>
      <c r="F81" s="2125"/>
      <c r="G81" s="3"/>
      <c r="H81" s="3"/>
      <c r="I81" s="3"/>
      <c r="J81" s="4"/>
      <c r="K81" s="4"/>
      <c r="L81" s="4"/>
      <c r="M81" s="4"/>
      <c r="N81" s="4"/>
      <c r="Z81" s="1994"/>
      <c r="AA81" s="2049"/>
      <c r="AG81" s="1120"/>
      <c r="AK81" s="2049"/>
    </row>
    <row r="82" spans="1:37" ht="24.75">
      <c r="A82" s="2126" t="s">
        <v>2043</v>
      </c>
      <c r="B82" s="1349"/>
      <c r="C82" s="1349" t="s">
        <v>2045</v>
      </c>
      <c r="D82" s="1349" t="s">
        <v>2046</v>
      </c>
      <c r="E82" s="742" t="s">
        <v>2047</v>
      </c>
      <c r="F82" s="2127" t="s">
        <v>2062</v>
      </c>
      <c r="G82" s="1349" t="s">
        <v>310</v>
      </c>
      <c r="H82" s="2128" t="s">
        <v>2049</v>
      </c>
      <c r="I82" s="1349" t="s">
        <v>2050</v>
      </c>
      <c r="J82" s="552" t="s">
        <v>1720</v>
      </c>
      <c r="K82" s="552" t="s">
        <v>1721</v>
      </c>
      <c r="L82" s="552" t="s">
        <v>1722</v>
      </c>
      <c r="M82" s="552" t="s">
        <v>1723</v>
      </c>
      <c r="N82" s="552" t="s">
        <v>1724</v>
      </c>
      <c r="Z82" s="1994"/>
      <c r="AA82" s="2049"/>
      <c r="AG82" s="1120"/>
      <c r="AK82" s="2049"/>
    </row>
    <row r="83" spans="1:37" ht="24">
      <c r="A83" s="2126" t="s">
        <v>2069</v>
      </c>
      <c r="B83" s="2130" t="str">
        <f>估价对象房地状况!G15</f>
        <v>较好</v>
      </c>
      <c r="C83" s="2040" t="s">
        <v>3392</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2052</v>
      </c>
      <c r="B84" s="2130" t="str">
        <f>估价对象房地状况!G16</f>
        <v>较好</v>
      </c>
      <c r="C84" s="2040" t="s">
        <v>3392</v>
      </c>
      <c r="D84" s="1064" t="e">
        <f t="shared" si="25"/>
        <v>#VALUE!</v>
      </c>
      <c r="E84" s="746"/>
      <c r="F84" s="1812"/>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3" t="s">
        <v>3264</v>
      </c>
      <c r="B85" s="2130" t="str">
        <f>估价对象房地状况!G17</f>
        <v>较好</v>
      </c>
      <c r="C85" s="2040" t="s">
        <v>3392</v>
      </c>
      <c r="D85" s="1064" t="e">
        <f t="shared" si="25"/>
        <v>#VALUE!</v>
      </c>
      <c r="E85" s="746"/>
      <c r="F85" s="1812"/>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2066</v>
      </c>
      <c r="B86" s="2130">
        <f>估价对象房地状况!G22</f>
        <v>0</v>
      </c>
      <c r="C86" s="2040" t="s">
        <v>3497</v>
      </c>
      <c r="D86" s="1064">
        <f t="shared" si="25"/>
        <v>0</v>
      </c>
      <c r="E86" s="746"/>
      <c r="F86" s="1812"/>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2058</v>
      </c>
      <c r="B87" s="1324" t="str">
        <f>估价对象房地状况!G19</f>
        <v>较好</v>
      </c>
      <c r="C87" s="2040" t="s">
        <v>3392</v>
      </c>
      <c r="D87" s="1064" t="e">
        <f t="shared" si="25"/>
        <v>#VALUE!</v>
      </c>
      <c r="E87" s="746"/>
      <c r="F87" s="1812"/>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6" t="s">
        <v>2059</v>
      </c>
      <c r="B88" s="1324" t="str">
        <f>估价对象房地状况!G20</f>
        <v>七通</v>
      </c>
      <c r="C88" s="2040" t="s">
        <v>3498</v>
      </c>
      <c r="D88" s="1064" t="e">
        <f t="shared" si="25"/>
        <v>#VALUE!</v>
      </c>
      <c r="E88" s="746"/>
      <c r="F88" s="1812"/>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6" t="s">
        <v>2056</v>
      </c>
      <c r="B89" s="2132" t="s">
        <v>2070</v>
      </c>
      <c r="C89" s="2040" t="s">
        <v>3392</v>
      </c>
      <c r="D89" s="1064" t="e">
        <f t="shared" si="25"/>
        <v>#VALUE!</v>
      </c>
      <c r="E89" s="746"/>
      <c r="F89" s="1812"/>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4" t="s">
        <v>2071</v>
      </c>
      <c r="B90" s="2139" t="str">
        <f>估价对象房地状况!G18</f>
        <v>较好</v>
      </c>
      <c r="C90" s="2040" t="s">
        <v>3392</v>
      </c>
      <c r="D90" s="1064" t="e">
        <f t="shared" si="25"/>
        <v>#VALUE!</v>
      </c>
      <c r="E90" s="747"/>
      <c r="F90" s="1812"/>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2604</v>
      </c>
      <c r="B91" s="3372" t="e">
        <f>1+E93</f>
        <v>#VALUE!</v>
      </c>
      <c r="C91" s="3365"/>
      <c r="D91" s="3366"/>
      <c r="E91" s="1812"/>
      <c r="F91" s="1812"/>
      <c r="G91" s="3367"/>
      <c r="H91" s="3368"/>
      <c r="I91" s="3369"/>
      <c r="J91" s="3370"/>
      <c r="K91" s="3370"/>
      <c r="L91" s="3370"/>
      <c r="M91" s="3370"/>
      <c r="N91" s="3370"/>
    </row>
    <row r="92" spans="1:37" ht="24.75">
      <c r="A92" s="3373" t="s">
        <v>3265</v>
      </c>
      <c r="B92" s="3360"/>
      <c r="C92" s="3360" t="s">
        <v>3274</v>
      </c>
      <c r="D92" s="3360" t="s">
        <v>3275</v>
      </c>
      <c r="E92" s="3342" t="s">
        <v>3276</v>
      </c>
      <c r="F92" s="3375" t="s">
        <v>3277</v>
      </c>
      <c r="G92" s="3360" t="s">
        <v>3278</v>
      </c>
      <c r="H92" s="3382" t="s">
        <v>3281</v>
      </c>
      <c r="I92" s="3360" t="s">
        <v>3282</v>
      </c>
      <c r="J92" s="3383" t="s">
        <v>3283</v>
      </c>
      <c r="K92" s="3383" t="s">
        <v>3284</v>
      </c>
      <c r="L92" s="3383" t="s">
        <v>3285</v>
      </c>
      <c r="M92" s="3383" t="s">
        <v>3286</v>
      </c>
      <c r="N92" s="3383" t="s">
        <v>3287</v>
      </c>
    </row>
    <row r="93" spans="1:37" ht="24">
      <c r="A93" s="3363" t="s">
        <v>3266</v>
      </c>
      <c r="B93" s="1304"/>
      <c r="C93" s="2040" t="s">
        <v>3392</v>
      </c>
      <c r="D93" s="3360" t="e">
        <f>SUMIF($J$92:$N$92,C93,J93:N93)</f>
        <v>#VALUE!</v>
      </c>
      <c r="E93" s="3376" t="e">
        <f>ROUND(SUM(D93:D101),4)</f>
        <v>#VALUE!</v>
      </c>
      <c r="F93" s="1812"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3267</v>
      </c>
      <c r="B94" s="3364" t="str">
        <f>估价对象房地状况!C18</f>
        <v>一般</v>
      </c>
      <c r="C94" s="2040" t="s">
        <v>3392</v>
      </c>
      <c r="D94" s="3360" t="e">
        <f t="shared" ref="D94:D101" si="35">SUMIF($J$60:$N$60,C94,J94:N94)</f>
        <v>#VALUE!</v>
      </c>
      <c r="E94" s="3377"/>
      <c r="F94" s="1812"/>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3263</v>
      </c>
      <c r="B95" s="3364" t="str">
        <f>估价对象房地状况!C19</f>
        <v>较好</v>
      </c>
      <c r="C95" s="2040" t="s">
        <v>3392</v>
      </c>
      <c r="D95" s="3360" t="e">
        <f t="shared" si="35"/>
        <v>#VALUE!</v>
      </c>
      <c r="E95" s="3377"/>
      <c r="F95" s="1812"/>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3268</v>
      </c>
      <c r="B96" s="3379" t="s">
        <v>3279</v>
      </c>
      <c r="C96" s="2040" t="s">
        <v>3392</v>
      </c>
      <c r="D96" s="3360" t="e">
        <f t="shared" si="35"/>
        <v>#VALUE!</v>
      </c>
      <c r="E96" s="3377"/>
      <c r="F96" s="1812"/>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3269</v>
      </c>
      <c r="B97" s="3364">
        <f>估价对象房地状况!C24</f>
        <v>0</v>
      </c>
      <c r="C97" s="2040" t="s">
        <v>3497</v>
      </c>
      <c r="D97" s="3360">
        <f t="shared" si="35"/>
        <v>0</v>
      </c>
      <c r="E97" s="3377"/>
      <c r="F97" s="1812"/>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3270</v>
      </c>
      <c r="B98" s="3380" t="s">
        <v>3280</v>
      </c>
      <c r="C98" s="2040" t="s">
        <v>3392</v>
      </c>
      <c r="D98" s="3360" t="e">
        <f t="shared" si="35"/>
        <v>#VALUE!</v>
      </c>
      <c r="E98" s="3377"/>
      <c r="F98" s="1812"/>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3271</v>
      </c>
      <c r="B99" s="3364" t="str">
        <f>估价对象房地状况!C21</f>
        <v>较好</v>
      </c>
      <c r="C99" s="2040" t="s">
        <v>3392</v>
      </c>
      <c r="D99" s="3360" t="e">
        <f t="shared" si="35"/>
        <v>#VALUE!</v>
      </c>
      <c r="E99" s="3377"/>
      <c r="F99" s="1812"/>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3272</v>
      </c>
      <c r="B100" s="3364" t="str">
        <f>估价对象房地状况!C22</f>
        <v>七通</v>
      </c>
      <c r="C100" s="2040" t="s">
        <v>3498</v>
      </c>
      <c r="D100" s="3360" t="e">
        <f t="shared" si="35"/>
        <v>#VALUE!</v>
      </c>
      <c r="E100" s="3377"/>
      <c r="F100" s="1812"/>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3273</v>
      </c>
      <c r="B101" s="3381" t="str">
        <f>估价对象房地状况!C20</f>
        <v>一般</v>
      </c>
      <c r="C101" s="2040" t="s">
        <v>3392</v>
      </c>
      <c r="D101" s="3360" t="e">
        <f t="shared" si="35"/>
        <v>#VALUE!</v>
      </c>
      <c r="E101" s="3378"/>
      <c r="F101" s="1812"/>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852" t="s">
        <v>3288</v>
      </c>
      <c r="B103" s="3852"/>
      <c r="C103" s="3852"/>
      <c r="D103" s="3852"/>
      <c r="E103" s="3852"/>
      <c r="F103" s="3852"/>
      <c r="G103" s="3852"/>
      <c r="H103" s="3852"/>
      <c r="I103" s="3852"/>
      <c r="J103" s="3852"/>
      <c r="K103" s="3384"/>
      <c r="L103" s="3384"/>
      <c r="M103" s="3384"/>
      <c r="N103" s="3384"/>
    </row>
    <row r="104" spans="1:14">
      <c r="A104" s="3853" t="s">
        <v>3289</v>
      </c>
      <c r="B104" s="3853" t="s">
        <v>3290</v>
      </c>
      <c r="C104" s="3385" t="s">
        <v>3291</v>
      </c>
      <c r="D104" s="3386"/>
      <c r="E104" s="3386"/>
      <c r="F104" s="3386"/>
      <c r="G104" s="3386"/>
      <c r="H104" s="3386"/>
      <c r="I104" s="3386"/>
      <c r="J104" s="3387"/>
      <c r="K104" s="3388"/>
      <c r="L104" s="3388"/>
      <c r="M104" s="3388"/>
      <c r="N104" s="3388"/>
    </row>
    <row r="105" spans="1:14">
      <c r="A105" s="3853"/>
      <c r="B105" s="3853"/>
      <c r="C105" s="3389" t="s">
        <v>3292</v>
      </c>
      <c r="D105" s="3389" t="s">
        <v>3293</v>
      </c>
      <c r="E105" s="3389" t="s">
        <v>3294</v>
      </c>
      <c r="F105" s="3389" t="s">
        <v>3295</v>
      </c>
      <c r="G105" s="3389" t="s">
        <v>3296</v>
      </c>
      <c r="H105" s="3389" t="s">
        <v>3297</v>
      </c>
      <c r="I105" s="3389" t="s">
        <v>3298</v>
      </c>
      <c r="J105" s="3389" t="s">
        <v>3299</v>
      </c>
      <c r="K105" s="3389" t="s">
        <v>3300</v>
      </c>
      <c r="L105" s="3389" t="s">
        <v>3301</v>
      </c>
      <c r="M105" s="3389" t="s">
        <v>3302</v>
      </c>
      <c r="N105" s="3389" t="s">
        <v>3303</v>
      </c>
    </row>
    <row r="106" spans="1:14">
      <c r="A106" s="3839" t="s">
        <v>3304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4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4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4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4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40"/>
      <c r="B111" s="3389" t="s">
        <v>3262</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841"/>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842" t="s">
        <v>3305</v>
      </c>
      <c r="B113" s="3842"/>
      <c r="C113" s="3842"/>
      <c r="D113" s="3842"/>
      <c r="E113" s="3842"/>
      <c r="F113" s="3842"/>
      <c r="G113" s="3842"/>
      <c r="H113" s="3842"/>
      <c r="I113" s="3842"/>
      <c r="J113" s="384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3306</v>
      </c>
      <c r="B116" s="3410">
        <f>G3</f>
        <v>1</v>
      </c>
      <c r="C116" s="3394" t="s">
        <v>3307</v>
      </c>
      <c r="D116" s="3395">
        <f>SUMPRODUCT((A118:A122=F116)*(B117:M117=H116)*B118:M122)</f>
        <v>0.92730000000000001</v>
      </c>
      <c r="E116" s="1996" t="s">
        <v>3308</v>
      </c>
      <c r="F116" s="3396" t="str">
        <f>E2</f>
        <v>办公</v>
      </c>
      <c r="G116" s="1996" t="s">
        <v>3309</v>
      </c>
      <c r="H116" s="3396" t="str">
        <f>G2</f>
        <v>六级</v>
      </c>
      <c r="I116" s="1996"/>
      <c r="J116" s="3397"/>
      <c r="K116" s="3397"/>
      <c r="L116" s="3397"/>
      <c r="M116" s="3397"/>
      <c r="N116" s="3392"/>
    </row>
    <row r="117" spans="1:14">
      <c r="A117" s="3398"/>
      <c r="B117" s="3399" t="s">
        <v>3310</v>
      </c>
      <c r="C117" s="3399" t="s">
        <v>3311</v>
      </c>
      <c r="D117" s="3399" t="s">
        <v>3312</v>
      </c>
      <c r="E117" s="3400" t="s">
        <v>3313</v>
      </c>
      <c r="F117" s="3400" t="s">
        <v>3314</v>
      </c>
      <c r="G117" s="3400" t="s">
        <v>3315</v>
      </c>
      <c r="H117" s="3401" t="s">
        <v>3316</v>
      </c>
      <c r="I117" s="3401" t="s">
        <v>3317</v>
      </c>
      <c r="J117" s="3402" t="s">
        <v>3318</v>
      </c>
      <c r="K117" s="3402" t="s">
        <v>3319</v>
      </c>
      <c r="L117" s="3402" t="s">
        <v>3320</v>
      </c>
      <c r="M117" s="3403" t="s">
        <v>3321</v>
      </c>
      <c r="N117" s="3392"/>
    </row>
    <row r="118" spans="1:14">
      <c r="A118" s="3404" t="s">
        <v>3322</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40">I118</f>
        <v>0.8306</v>
      </c>
      <c r="K118" s="3382">
        <f t="shared" si="40"/>
        <v>0.8306</v>
      </c>
      <c r="L118" s="3382">
        <f t="shared" si="40"/>
        <v>0.8306</v>
      </c>
      <c r="M118" s="3405">
        <f t="shared" si="40"/>
        <v>0.8306</v>
      </c>
      <c r="N118" s="3392"/>
    </row>
    <row r="119" spans="1:14">
      <c r="A119" s="3404" t="s">
        <v>3323</v>
      </c>
      <c r="B119" s="3382">
        <f>ROUND(0.993-0.0112*B116,4)</f>
        <v>0.98180000000000001</v>
      </c>
      <c r="C119" s="3382">
        <f>B119</f>
        <v>0.98180000000000001</v>
      </c>
      <c r="D119" s="3382">
        <f>ROUND(0.9415-0.0142*B116,4)</f>
        <v>0.92730000000000001</v>
      </c>
      <c r="E119" s="3382">
        <f t="shared" ref="E119:H120" si="41">D119</f>
        <v>0.92730000000000001</v>
      </c>
      <c r="F119" s="3382">
        <f t="shared" si="41"/>
        <v>0.92730000000000001</v>
      </c>
      <c r="G119" s="3382">
        <f t="shared" si="41"/>
        <v>0.92730000000000001</v>
      </c>
      <c r="H119" s="3382">
        <f t="shared" si="41"/>
        <v>0.92730000000000001</v>
      </c>
      <c r="I119" s="3382">
        <f>ROUND(0.838-0.0182*B116,4)</f>
        <v>0.81979999999999997</v>
      </c>
      <c r="J119" s="3382">
        <f t="shared" si="40"/>
        <v>0.81979999999999997</v>
      </c>
      <c r="K119" s="3382">
        <f t="shared" si="40"/>
        <v>0.81979999999999997</v>
      </c>
      <c r="L119" s="3382">
        <f t="shared" si="40"/>
        <v>0.81979999999999997</v>
      </c>
      <c r="M119" s="3405">
        <f t="shared" si="40"/>
        <v>0.81979999999999997</v>
      </c>
      <c r="N119" s="3392"/>
    </row>
    <row r="120" spans="1:14">
      <c r="A120" s="3404" t="s">
        <v>3324</v>
      </c>
      <c r="B120" s="3382">
        <f>ROUND(0.9448-0.0115*B116,4)</f>
        <v>0.93330000000000002</v>
      </c>
      <c r="C120" s="3382">
        <f>B120</f>
        <v>0.93330000000000002</v>
      </c>
      <c r="D120" s="3382">
        <f>ROUND(0.937-0.0145*B116,4)</f>
        <v>0.92249999999999999</v>
      </c>
      <c r="E120" s="3382">
        <f t="shared" si="41"/>
        <v>0.92249999999999999</v>
      </c>
      <c r="F120" s="3382">
        <f t="shared" si="41"/>
        <v>0.92249999999999999</v>
      </c>
      <c r="G120" s="3382">
        <f t="shared" si="41"/>
        <v>0.92249999999999999</v>
      </c>
      <c r="H120" s="3382">
        <f t="shared" si="41"/>
        <v>0.92249999999999999</v>
      </c>
      <c r="I120" s="3382">
        <f>ROUND(0.7965-0.0185*B116,4)</f>
        <v>0.77800000000000002</v>
      </c>
      <c r="J120" s="3382">
        <f t="shared" si="40"/>
        <v>0.77800000000000002</v>
      </c>
      <c r="K120" s="3382">
        <f t="shared" si="40"/>
        <v>0.77800000000000002</v>
      </c>
      <c r="L120" s="3382">
        <f t="shared" si="40"/>
        <v>0.77800000000000002</v>
      </c>
      <c r="M120" s="3405">
        <f t="shared" si="40"/>
        <v>0.77800000000000002</v>
      </c>
      <c r="N120" s="3392"/>
    </row>
    <row r="121" spans="1:14" ht="13.5" thickBot="1">
      <c r="A121" s="3406" t="s">
        <v>3325</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40"/>
        <v>0.57150000000000001</v>
      </c>
      <c r="K121" s="3407">
        <f t="shared" si="40"/>
        <v>0.57150000000000001</v>
      </c>
      <c r="L121" s="3407">
        <f t="shared" si="40"/>
        <v>0.57150000000000001</v>
      </c>
      <c r="M121" s="3408">
        <f t="shared" si="40"/>
        <v>0.57150000000000001</v>
      </c>
      <c r="N121" s="3392"/>
    </row>
    <row r="122" spans="1:14">
      <c r="A122" s="3409" t="s">
        <v>2604</v>
      </c>
      <c r="B122" s="3382">
        <f>ROUND(0.9404-0.0106*B116,4)</f>
        <v>0.92979999999999996</v>
      </c>
      <c r="C122" s="3382">
        <f>B122</f>
        <v>0.92979999999999996</v>
      </c>
      <c r="D122" s="3382">
        <f>ROUND(0.8955-0.0135*B116,4)</f>
        <v>0.88200000000000001</v>
      </c>
      <c r="E122" s="3382">
        <f t="shared" ref="E122:H122" si="42">D122</f>
        <v>0.88200000000000001</v>
      </c>
      <c r="F122" s="3382">
        <f t="shared" si="42"/>
        <v>0.88200000000000001</v>
      </c>
      <c r="G122" s="3382">
        <f t="shared" si="42"/>
        <v>0.88200000000000001</v>
      </c>
      <c r="H122" s="3382">
        <f t="shared" si="42"/>
        <v>0.88200000000000001</v>
      </c>
      <c r="I122" s="3382">
        <f>ROUND(0.7632-0.0166*B116,4)</f>
        <v>0.74660000000000004</v>
      </c>
      <c r="J122" s="3382">
        <f t="shared" si="40"/>
        <v>0.74660000000000004</v>
      </c>
      <c r="K122" s="3382">
        <f t="shared" si="40"/>
        <v>0.74660000000000004</v>
      </c>
      <c r="L122" s="3382">
        <f t="shared" si="40"/>
        <v>0.74660000000000004</v>
      </c>
      <c r="M122" s="3405">
        <f t="shared" si="40"/>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9"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65" t="s">
        <v>2599</v>
      </c>
      <c r="B20" s="3858" t="s">
        <v>2620</v>
      </c>
      <c r="C20" s="3097" t="s">
        <v>2431</v>
      </c>
      <c r="D20" s="3098"/>
      <c r="E20" s="3099">
        <v>1</v>
      </c>
      <c r="F20" s="3100" t="s">
        <v>2432</v>
      </c>
      <c r="G20" s="3100"/>
    </row>
    <row r="21" spans="1:13" ht="19.5" customHeight="1">
      <c r="A21" s="3866"/>
      <c r="B21" s="3859"/>
      <c r="C21" s="3101" t="s">
        <v>2433</v>
      </c>
      <c r="D21" s="3102"/>
      <c r="E21" s="3103">
        <v>1</v>
      </c>
      <c r="F21" s="3100" t="s">
        <v>2434</v>
      </c>
      <c r="G21" s="3100"/>
    </row>
    <row r="22" spans="1:13" ht="19.5" customHeight="1">
      <c r="A22" s="3866"/>
      <c r="B22" s="3859"/>
      <c r="C22" s="3101" t="s">
        <v>2435</v>
      </c>
      <c r="D22" s="3102"/>
      <c r="E22" s="3103">
        <v>0.9</v>
      </c>
      <c r="F22" s="3100" t="s">
        <v>2436</v>
      </c>
      <c r="G22" s="3100"/>
    </row>
    <row r="23" spans="1:13" ht="19.5" customHeight="1">
      <c r="A23" s="3866"/>
      <c r="B23" s="3859"/>
      <c r="C23" s="3101" t="s">
        <v>2437</v>
      </c>
      <c r="D23" s="3102"/>
      <c r="E23" s="3103">
        <v>0.9</v>
      </c>
      <c r="F23" s="3100" t="s">
        <v>2438</v>
      </c>
      <c r="G23" s="3100"/>
    </row>
    <row r="24" spans="1:13" ht="19.5" customHeight="1">
      <c r="A24" s="3866"/>
      <c r="B24" s="3859"/>
      <c r="C24" s="3101" t="s">
        <v>2439</v>
      </c>
      <c r="D24" s="3102"/>
      <c r="E24" s="3103">
        <v>0.8</v>
      </c>
      <c r="F24" s="3100" t="s">
        <v>2440</v>
      </c>
      <c r="G24" s="3100"/>
    </row>
    <row r="25" spans="1:13" ht="19.5" customHeight="1" thickBot="1">
      <c r="A25" s="3867"/>
      <c r="B25" s="3860"/>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61" t="s">
        <v>2623</v>
      </c>
      <c r="B27" s="3858" t="s">
        <v>2604</v>
      </c>
      <c r="C27" s="3097" t="s">
        <v>2444</v>
      </c>
      <c r="D27" s="3098"/>
      <c r="E27" s="3099">
        <v>1</v>
      </c>
      <c r="F27" s="3100" t="s">
        <v>2445</v>
      </c>
      <c r="G27" s="3100"/>
    </row>
    <row r="28" spans="1:13" ht="19.5" customHeight="1">
      <c r="A28" s="3862"/>
      <c r="B28" s="3859"/>
      <c r="C28" s="3101" t="s">
        <v>2446</v>
      </c>
      <c r="D28" s="3102"/>
      <c r="E28" s="3103">
        <v>1</v>
      </c>
      <c r="F28" s="3100" t="s">
        <v>2447</v>
      </c>
      <c r="G28" s="3100"/>
    </row>
    <row r="29" spans="1:13" ht="19.5" customHeight="1">
      <c r="A29" s="3862"/>
      <c r="B29" s="3859"/>
      <c r="C29" s="3101" t="s">
        <v>2448</v>
      </c>
      <c r="D29" s="3102"/>
      <c r="E29" s="3103">
        <v>0.8</v>
      </c>
      <c r="F29" s="3100" t="s">
        <v>2449</v>
      </c>
      <c r="G29" s="3100"/>
    </row>
    <row r="30" spans="1:13" ht="19.5" customHeight="1">
      <c r="A30" s="3862"/>
      <c r="B30" s="3859"/>
      <c r="C30" s="3101" t="s">
        <v>2450</v>
      </c>
      <c r="D30" s="3102"/>
      <c r="E30" s="3103">
        <v>0.8</v>
      </c>
      <c r="F30" s="3100" t="s">
        <v>2451</v>
      </c>
      <c r="G30" s="3100"/>
    </row>
    <row r="31" spans="1:13" ht="19.5" customHeight="1">
      <c r="A31" s="3862"/>
      <c r="B31" s="3859"/>
      <c r="C31" s="3101" t="s">
        <v>2452</v>
      </c>
      <c r="D31" s="3102"/>
      <c r="E31" s="3103">
        <v>0.8</v>
      </c>
      <c r="F31" s="3100" t="s">
        <v>2453</v>
      </c>
      <c r="G31" s="3100"/>
    </row>
    <row r="32" spans="1:13" ht="19.5" customHeight="1">
      <c r="A32" s="3862"/>
      <c r="B32" s="3859"/>
      <c r="C32" s="3101" t="s">
        <v>2454</v>
      </c>
      <c r="D32" s="3102"/>
      <c r="E32" s="3103">
        <v>0.7</v>
      </c>
      <c r="F32" s="3100" t="s">
        <v>2455</v>
      </c>
      <c r="G32" s="3100"/>
    </row>
    <row r="33" spans="1:7" ht="19.5" customHeight="1">
      <c r="A33" s="3862"/>
      <c r="B33" s="3859"/>
      <c r="C33" s="3101" t="s">
        <v>2456</v>
      </c>
      <c r="D33" s="3102"/>
      <c r="E33" s="3103">
        <v>0.8</v>
      </c>
      <c r="F33" s="3100" t="s">
        <v>2457</v>
      </c>
      <c r="G33" s="3100"/>
    </row>
    <row r="34" spans="1:7" ht="19.5" customHeight="1">
      <c r="A34" s="3862"/>
      <c r="B34" s="3859"/>
      <c r="C34" s="3101" t="s">
        <v>2458</v>
      </c>
      <c r="D34" s="3102"/>
      <c r="E34" s="3103">
        <v>0.6</v>
      </c>
      <c r="F34" s="3100" t="s">
        <v>2459</v>
      </c>
      <c r="G34" s="3100"/>
    </row>
    <row r="35" spans="1:7" ht="19.5" customHeight="1">
      <c r="A35" s="3862"/>
      <c r="B35" s="3859"/>
      <c r="C35" s="3101" t="s">
        <v>2460</v>
      </c>
      <c r="D35" s="3102"/>
      <c r="E35" s="3103">
        <v>0.2</v>
      </c>
      <c r="F35" s="3100" t="s">
        <v>2461</v>
      </c>
      <c r="G35" s="3100"/>
    </row>
    <row r="36" spans="1:7" ht="19.5" customHeight="1">
      <c r="A36" s="3862"/>
      <c r="B36" s="3859"/>
      <c r="C36" s="3101" t="s">
        <v>2462</v>
      </c>
      <c r="D36" s="3102"/>
      <c r="E36" s="3103">
        <v>0.2</v>
      </c>
      <c r="F36" s="3100" t="s">
        <v>2463</v>
      </c>
      <c r="G36" s="3100"/>
    </row>
    <row r="37" spans="1:7" ht="19.5" customHeight="1">
      <c r="A37" s="3862"/>
      <c r="B37" s="3864" t="s">
        <v>2624</v>
      </c>
      <c r="C37" s="3101" t="s">
        <v>2464</v>
      </c>
      <c r="D37" s="3102"/>
      <c r="E37" s="3103">
        <v>0.6</v>
      </c>
      <c r="F37" s="3100" t="s">
        <v>2465</v>
      </c>
      <c r="G37" s="3100"/>
    </row>
    <row r="38" spans="1:7" ht="19.5" customHeight="1">
      <c r="A38" s="3862"/>
      <c r="B38" s="3859"/>
      <c r="C38" s="3101" t="s">
        <v>2466</v>
      </c>
      <c r="D38" s="3102"/>
      <c r="E38" s="3103">
        <v>0.6</v>
      </c>
      <c r="F38" s="3100" t="s">
        <v>2467</v>
      </c>
      <c r="G38" s="3100"/>
    </row>
    <row r="39" spans="1:7" ht="19.5" customHeight="1" thickBot="1">
      <c r="A39" s="3863"/>
      <c r="B39" s="3860"/>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65" t="s">
        <v>2602</v>
      </c>
      <c r="B41" s="3858" t="s">
        <v>2626</v>
      </c>
      <c r="C41" s="3097" t="s">
        <v>2471</v>
      </c>
      <c r="D41" s="3098"/>
      <c r="E41" s="3099">
        <v>1</v>
      </c>
      <c r="F41" s="3100" t="s">
        <v>2472</v>
      </c>
      <c r="G41" s="3100"/>
    </row>
    <row r="42" spans="1:7" ht="19.5" customHeight="1">
      <c r="A42" s="3866"/>
      <c r="B42" s="3859"/>
      <c r="C42" s="3101" t="s">
        <v>2473</v>
      </c>
      <c r="D42" s="3102"/>
      <c r="E42" s="3103">
        <v>1</v>
      </c>
      <c r="F42" s="3100" t="s">
        <v>2474</v>
      </c>
      <c r="G42" s="3100"/>
    </row>
    <row r="43" spans="1:7" ht="19.5" customHeight="1">
      <c r="A43" s="3866"/>
      <c r="B43" s="3868"/>
      <c r="C43" s="3101" t="s">
        <v>2475</v>
      </c>
      <c r="D43" s="3102"/>
      <c r="E43" s="3103">
        <v>1.5</v>
      </c>
      <c r="F43" s="3100" t="s">
        <v>2476</v>
      </c>
      <c r="G43" s="3100"/>
    </row>
    <row r="44" spans="1:7" ht="19.5" customHeight="1">
      <c r="A44" s="3866"/>
      <c r="B44" s="3112" t="s">
        <v>2627</v>
      </c>
      <c r="C44" s="3101" t="s">
        <v>2628</v>
      </c>
      <c r="D44" s="3102"/>
      <c r="E44" s="3103">
        <v>2</v>
      </c>
      <c r="F44" s="3100" t="s">
        <v>2477</v>
      </c>
      <c r="G44" s="3100"/>
    </row>
    <row r="45" spans="1:7" ht="19.5" customHeight="1">
      <c r="A45" s="3866"/>
      <c r="B45" s="3864" t="s">
        <v>2629</v>
      </c>
      <c r="C45" s="3101" t="s">
        <v>2478</v>
      </c>
      <c r="D45" s="3102"/>
      <c r="E45" s="3103">
        <v>1</v>
      </c>
      <c r="F45" s="3100" t="s">
        <v>2479</v>
      </c>
      <c r="G45" s="3100"/>
    </row>
    <row r="46" spans="1:7" ht="19.5" customHeight="1">
      <c r="A46" s="3866"/>
      <c r="B46" s="3859"/>
      <c r="C46" s="3101" t="s">
        <v>2480</v>
      </c>
      <c r="D46" s="3102"/>
      <c r="E46" s="3103">
        <v>1</v>
      </c>
      <c r="F46" s="3100" t="s">
        <v>2481</v>
      </c>
      <c r="G46" s="3100"/>
    </row>
    <row r="47" spans="1:7" ht="19.5" customHeight="1">
      <c r="A47" s="3866"/>
      <c r="B47" s="3859"/>
      <c r="C47" s="3101" t="s">
        <v>2482</v>
      </c>
      <c r="D47" s="3102"/>
      <c r="E47" s="3103">
        <v>1</v>
      </c>
      <c r="F47" s="3100" t="s">
        <v>2483</v>
      </c>
      <c r="G47" s="3100"/>
    </row>
    <row r="48" spans="1:7" ht="19.5" customHeight="1">
      <c r="A48" s="3866"/>
      <c r="B48" s="3859"/>
      <c r="C48" s="3101" t="s">
        <v>2484</v>
      </c>
      <c r="D48" s="3102"/>
      <c r="E48" s="3103">
        <v>1</v>
      </c>
      <c r="F48" s="3100" t="s">
        <v>2485</v>
      </c>
      <c r="G48" s="3100"/>
    </row>
    <row r="49" spans="1:7" ht="19.5" customHeight="1">
      <c r="A49" s="3866"/>
      <c r="B49" s="3859"/>
      <c r="C49" s="3101" t="s">
        <v>2486</v>
      </c>
      <c r="D49" s="3102"/>
      <c r="E49" s="3103">
        <v>1</v>
      </c>
      <c r="F49" s="3100" t="s">
        <v>2487</v>
      </c>
      <c r="G49" s="3100"/>
    </row>
    <row r="50" spans="1:7" ht="19.5" customHeight="1">
      <c r="A50" s="3866"/>
      <c r="B50" s="3859"/>
      <c r="C50" s="3101" t="s">
        <v>2488</v>
      </c>
      <c r="D50" s="3102"/>
      <c r="E50" s="3103">
        <v>1</v>
      </c>
      <c r="F50" s="3100" t="s">
        <v>2489</v>
      </c>
      <c r="G50" s="3100"/>
    </row>
    <row r="51" spans="1:7" ht="19.5" customHeight="1" thickBot="1">
      <c r="A51" s="3867"/>
      <c r="B51" s="3860"/>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64" t="s">
        <v>2643</v>
      </c>
      <c r="C73" s="3086" t="s">
        <v>2644</v>
      </c>
      <c r="D73" s="3086" t="s">
        <v>2645</v>
      </c>
      <c r="E73" s="3112">
        <v>0.2</v>
      </c>
      <c r="F73" s="3112">
        <v>25</v>
      </c>
    </row>
    <row r="74" spans="1:7" ht="24">
      <c r="A74" s="3112">
        <v>2</v>
      </c>
      <c r="B74" s="3859"/>
      <c r="C74" s="3086" t="s">
        <v>2646</v>
      </c>
      <c r="D74" s="3086" t="s">
        <v>2647</v>
      </c>
      <c r="E74" s="3112">
        <v>0.2</v>
      </c>
      <c r="F74" s="3112">
        <v>25</v>
      </c>
    </row>
    <row r="75" spans="1:7" ht="24">
      <c r="A75" s="3112">
        <v>3</v>
      </c>
      <c r="B75" s="3859"/>
      <c r="C75" s="3086" t="s">
        <v>2648</v>
      </c>
      <c r="D75" s="3086" t="s">
        <v>2649</v>
      </c>
      <c r="E75" s="3112">
        <v>0.2</v>
      </c>
      <c r="F75" s="3112">
        <v>25</v>
      </c>
    </row>
    <row r="76" spans="1:7" ht="13.5">
      <c r="A76" s="3112">
        <v>4</v>
      </c>
      <c r="B76" s="3859"/>
      <c r="C76" s="3086" t="s">
        <v>2650</v>
      </c>
      <c r="D76" s="3086" t="s">
        <v>2651</v>
      </c>
      <c r="E76" s="3112">
        <v>0.15</v>
      </c>
      <c r="F76" s="3112">
        <v>20</v>
      </c>
    </row>
    <row r="77" spans="1:7" ht="24">
      <c r="A77" s="3112">
        <v>5</v>
      </c>
      <c r="B77" s="3859"/>
      <c r="C77" s="3086" t="s">
        <v>2652</v>
      </c>
      <c r="D77" s="3086" t="s">
        <v>2653</v>
      </c>
      <c r="E77" s="3112">
        <v>0.15</v>
      </c>
      <c r="F77" s="3112">
        <v>20</v>
      </c>
    </row>
    <row r="78" spans="1:7" ht="24">
      <c r="A78" s="3112">
        <v>6</v>
      </c>
      <c r="B78" s="3859"/>
      <c r="C78" s="3086" t="s">
        <v>2654</v>
      </c>
      <c r="D78" s="3086" t="s">
        <v>2655</v>
      </c>
      <c r="E78" s="3112">
        <v>0.15</v>
      </c>
      <c r="F78" s="3112">
        <v>20</v>
      </c>
    </row>
    <row r="79" spans="1:7" ht="24">
      <c r="A79" s="3112">
        <v>7</v>
      </c>
      <c r="B79" s="3859"/>
      <c r="C79" s="3086" t="s">
        <v>2656</v>
      </c>
      <c r="D79" s="3086" t="s">
        <v>2657</v>
      </c>
      <c r="E79" s="3112">
        <v>0.15</v>
      </c>
      <c r="F79" s="3112">
        <v>20</v>
      </c>
    </row>
    <row r="80" spans="1:7" ht="24">
      <c r="A80" s="3112">
        <v>8</v>
      </c>
      <c r="B80" s="3859"/>
      <c r="C80" s="3086" t="s">
        <v>2658</v>
      </c>
      <c r="D80" s="3086" t="s">
        <v>2659</v>
      </c>
      <c r="E80" s="3112">
        <v>0.1</v>
      </c>
      <c r="F80" s="3112">
        <v>15</v>
      </c>
    </row>
    <row r="81" spans="1:6" ht="24">
      <c r="A81" s="3112">
        <v>9</v>
      </c>
      <c r="B81" s="3859"/>
      <c r="C81" s="3086" t="s">
        <v>2660</v>
      </c>
      <c r="D81" s="3086" t="s">
        <v>2661</v>
      </c>
      <c r="E81" s="3112">
        <v>0.1</v>
      </c>
      <c r="F81" s="3112">
        <v>15</v>
      </c>
    </row>
    <row r="82" spans="1:6" ht="24">
      <c r="A82" s="3112">
        <v>10</v>
      </c>
      <c r="B82" s="3859"/>
      <c r="C82" s="3086" t="s">
        <v>2662</v>
      </c>
      <c r="D82" s="3086" t="s">
        <v>2663</v>
      </c>
      <c r="E82" s="3112">
        <v>0.1</v>
      </c>
      <c r="F82" s="3112">
        <v>15</v>
      </c>
    </row>
    <row r="83" spans="1:6" ht="24">
      <c r="A83" s="3112">
        <v>11</v>
      </c>
      <c r="B83" s="3859"/>
      <c r="C83" s="3086" t="s">
        <v>2664</v>
      </c>
      <c r="D83" s="3086" t="s">
        <v>2665</v>
      </c>
      <c r="E83" s="3112">
        <v>0.1</v>
      </c>
      <c r="F83" s="3112">
        <v>15</v>
      </c>
    </row>
    <row r="84" spans="1:6" ht="24">
      <c r="A84" s="3112">
        <v>12</v>
      </c>
      <c r="B84" s="3859"/>
      <c r="C84" s="3086" t="s">
        <v>2666</v>
      </c>
      <c r="D84" s="3086" t="s">
        <v>2667</v>
      </c>
      <c r="E84" s="3112">
        <v>0.1</v>
      </c>
      <c r="F84" s="3112">
        <v>15</v>
      </c>
    </row>
    <row r="85" spans="1:6" ht="13.5">
      <c r="A85" s="3112">
        <v>13</v>
      </c>
      <c r="B85" s="3859"/>
      <c r="C85" s="3086" t="s">
        <v>2668</v>
      </c>
      <c r="D85" s="3086" t="s">
        <v>2669</v>
      </c>
      <c r="E85" s="3112">
        <v>0.1</v>
      </c>
      <c r="F85" s="3112">
        <v>15</v>
      </c>
    </row>
    <row r="86" spans="1:6" ht="13.5">
      <c r="A86" s="3112">
        <v>14</v>
      </c>
      <c r="B86" s="3859"/>
      <c r="C86" s="3086" t="s">
        <v>2670</v>
      </c>
      <c r="D86" s="3086" t="s">
        <v>2671</v>
      </c>
      <c r="E86" s="3112">
        <v>0.1</v>
      </c>
      <c r="F86" s="3112">
        <v>15</v>
      </c>
    </row>
    <row r="87" spans="1:6" ht="13.5">
      <c r="A87" s="3112">
        <v>15</v>
      </c>
      <c r="B87" s="3859"/>
      <c r="C87" s="3086" t="s">
        <v>2672</v>
      </c>
      <c r="D87" s="3086" t="s">
        <v>2673</v>
      </c>
      <c r="E87" s="3112">
        <v>0.1</v>
      </c>
      <c r="F87" s="3112">
        <v>15</v>
      </c>
    </row>
    <row r="88" spans="1:6" ht="24">
      <c r="A88" s="3112">
        <v>16</v>
      </c>
      <c r="B88" s="3859"/>
      <c r="C88" s="3086" t="s">
        <v>2674</v>
      </c>
      <c r="D88" s="3086" t="s">
        <v>2675</v>
      </c>
      <c r="E88" s="3112">
        <v>0.1</v>
      </c>
      <c r="F88" s="3112">
        <v>15</v>
      </c>
    </row>
    <row r="89" spans="1:6" ht="24">
      <c r="A89" s="3112">
        <v>17</v>
      </c>
      <c r="B89" s="3868"/>
      <c r="C89" s="3086" t="s">
        <v>2676</v>
      </c>
      <c r="D89" s="3086" t="s">
        <v>2677</v>
      </c>
      <c r="E89" s="3112">
        <v>0.1</v>
      </c>
      <c r="F89" s="3112">
        <v>15</v>
      </c>
    </row>
    <row r="90" spans="1:6" ht="13.5">
      <c r="A90" s="3112">
        <v>18</v>
      </c>
      <c r="B90" s="3864" t="s">
        <v>2678</v>
      </c>
      <c r="C90" s="3086" t="s">
        <v>2679</v>
      </c>
      <c r="D90" s="3086" t="s">
        <v>2680</v>
      </c>
      <c r="E90" s="3112">
        <v>0.2</v>
      </c>
      <c r="F90" s="3112">
        <v>25</v>
      </c>
    </row>
    <row r="91" spans="1:6" ht="24">
      <c r="A91" s="3112">
        <v>19</v>
      </c>
      <c r="B91" s="3859"/>
      <c r="C91" s="3086" t="s">
        <v>2681</v>
      </c>
      <c r="D91" s="3086" t="s">
        <v>2682</v>
      </c>
      <c r="E91" s="3112">
        <v>0.2</v>
      </c>
      <c r="F91" s="3112">
        <v>25</v>
      </c>
    </row>
    <row r="92" spans="1:6" ht="13.5">
      <c r="A92" s="3112">
        <v>20</v>
      </c>
      <c r="B92" s="3859"/>
      <c r="C92" s="3086" t="s">
        <v>2683</v>
      </c>
      <c r="D92" s="3086" t="s">
        <v>2684</v>
      </c>
      <c r="E92" s="3112">
        <v>0.15</v>
      </c>
      <c r="F92" s="3112">
        <v>20</v>
      </c>
    </row>
    <row r="93" spans="1:6" ht="13.5">
      <c r="A93" s="3112">
        <v>21</v>
      </c>
      <c r="B93" s="3859"/>
      <c r="C93" s="3086" t="s">
        <v>2685</v>
      </c>
      <c r="D93" s="3086" t="s">
        <v>2686</v>
      </c>
      <c r="E93" s="3112">
        <v>0.15</v>
      </c>
      <c r="F93" s="3112">
        <v>20</v>
      </c>
    </row>
    <row r="94" spans="1:6" ht="13.5">
      <c r="A94" s="3112">
        <v>22</v>
      </c>
      <c r="B94" s="3859"/>
      <c r="C94" s="3086" t="s">
        <v>2687</v>
      </c>
      <c r="D94" s="3086" t="s">
        <v>2688</v>
      </c>
      <c r="E94" s="3112">
        <v>0.15</v>
      </c>
      <c r="F94" s="3112">
        <v>20</v>
      </c>
    </row>
    <row r="95" spans="1:6" ht="36">
      <c r="A95" s="3112">
        <v>23</v>
      </c>
      <c r="B95" s="3859"/>
      <c r="C95" s="3086" t="s">
        <v>2689</v>
      </c>
      <c r="D95" s="3086" t="s">
        <v>2690</v>
      </c>
      <c r="E95" s="3112">
        <v>0.15</v>
      </c>
      <c r="F95" s="3112">
        <v>20</v>
      </c>
    </row>
    <row r="96" spans="1:6" ht="13.5">
      <c r="A96" s="3112">
        <v>24</v>
      </c>
      <c r="B96" s="3859"/>
      <c r="C96" s="3086" t="s">
        <v>2691</v>
      </c>
      <c r="D96" s="3086" t="s">
        <v>2692</v>
      </c>
      <c r="E96" s="3112">
        <v>0.1</v>
      </c>
      <c r="F96" s="3112">
        <v>15</v>
      </c>
    </row>
    <row r="97" spans="1:6" ht="13.5">
      <c r="A97" s="3112">
        <v>25</v>
      </c>
      <c r="B97" s="3859"/>
      <c r="C97" s="3086" t="s">
        <v>2693</v>
      </c>
      <c r="D97" s="3086" t="s">
        <v>2694</v>
      </c>
      <c r="E97" s="3112">
        <v>0.1</v>
      </c>
      <c r="F97" s="3112">
        <v>15</v>
      </c>
    </row>
    <row r="98" spans="1:6" ht="24">
      <c r="A98" s="3112">
        <v>26</v>
      </c>
      <c r="B98" s="3859"/>
      <c r="C98" s="3086" t="s">
        <v>2695</v>
      </c>
      <c r="D98" s="3086" t="s">
        <v>2696</v>
      </c>
      <c r="E98" s="3112">
        <v>0.1</v>
      </c>
      <c r="F98" s="3112">
        <v>15</v>
      </c>
    </row>
    <row r="99" spans="1:6" ht="24">
      <c r="A99" s="3112">
        <v>27</v>
      </c>
      <c r="B99" s="3859"/>
      <c r="C99" s="3086" t="s">
        <v>2697</v>
      </c>
      <c r="D99" s="3086" t="s">
        <v>2698</v>
      </c>
      <c r="E99" s="3112">
        <v>0.1</v>
      </c>
      <c r="F99" s="3112">
        <v>15</v>
      </c>
    </row>
    <row r="100" spans="1:6" ht="13.5">
      <c r="A100" s="3112">
        <v>28</v>
      </c>
      <c r="B100" s="3859"/>
      <c r="C100" s="3086" t="s">
        <v>2699</v>
      </c>
      <c r="D100" s="3086" t="s">
        <v>2700</v>
      </c>
      <c r="E100" s="3112">
        <v>0.1</v>
      </c>
      <c r="F100" s="3112">
        <v>15</v>
      </c>
    </row>
    <row r="101" spans="1:6" ht="13.5">
      <c r="A101" s="3112">
        <v>29</v>
      </c>
      <c r="B101" s="3859"/>
      <c r="C101" s="3086" t="s">
        <v>2701</v>
      </c>
      <c r="D101" s="3086" t="s">
        <v>2702</v>
      </c>
      <c r="E101" s="3112">
        <v>0.1</v>
      </c>
      <c r="F101" s="3112">
        <v>15</v>
      </c>
    </row>
    <row r="102" spans="1:6" ht="13.5">
      <c r="A102" s="3112">
        <v>30</v>
      </c>
      <c r="B102" s="3859"/>
      <c r="C102" s="3086" t="s">
        <v>2703</v>
      </c>
      <c r="D102" s="3086" t="s">
        <v>2704</v>
      </c>
      <c r="E102" s="3112">
        <v>0.1</v>
      </c>
      <c r="F102" s="3112">
        <v>15</v>
      </c>
    </row>
    <row r="103" spans="1:6" ht="24">
      <c r="A103" s="3112">
        <v>31</v>
      </c>
      <c r="B103" s="3859"/>
      <c r="C103" s="3086" t="s">
        <v>2705</v>
      </c>
      <c r="D103" s="3086" t="s">
        <v>2706</v>
      </c>
      <c r="E103" s="3112">
        <v>0.1</v>
      </c>
      <c r="F103" s="3112">
        <v>15</v>
      </c>
    </row>
    <row r="104" spans="1:6" ht="24">
      <c r="A104" s="3112">
        <v>32</v>
      </c>
      <c r="B104" s="3859"/>
      <c r="C104" s="3086" t="s">
        <v>2707</v>
      </c>
      <c r="D104" s="3086" t="s">
        <v>2708</v>
      </c>
      <c r="E104" s="3112">
        <v>0.1</v>
      </c>
      <c r="F104" s="3112">
        <v>15</v>
      </c>
    </row>
    <row r="105" spans="1:6" ht="24">
      <c r="A105" s="3112">
        <v>33</v>
      </c>
      <c r="B105" s="3859"/>
      <c r="C105" s="3086" t="s">
        <v>2709</v>
      </c>
      <c r="D105" s="3086" t="s">
        <v>2710</v>
      </c>
      <c r="E105" s="3112">
        <v>0.1</v>
      </c>
      <c r="F105" s="3112">
        <v>15</v>
      </c>
    </row>
    <row r="106" spans="1:6" ht="24">
      <c r="A106" s="3112">
        <v>34</v>
      </c>
      <c r="B106" s="3868"/>
      <c r="C106" s="3086" t="s">
        <v>2711</v>
      </c>
      <c r="D106" s="3086" t="s">
        <v>2712</v>
      </c>
      <c r="E106" s="3112">
        <v>0.1</v>
      </c>
      <c r="F106" s="3112">
        <v>15</v>
      </c>
    </row>
    <row r="107" spans="1:6" ht="24">
      <c r="A107" s="3112">
        <v>35</v>
      </c>
      <c r="B107" s="3864" t="s">
        <v>2713</v>
      </c>
      <c r="C107" s="3112" t="s">
        <v>2714</v>
      </c>
      <c r="D107" s="3086" t="s">
        <v>2715</v>
      </c>
      <c r="E107" s="3112">
        <v>0.15</v>
      </c>
      <c r="F107" s="3112">
        <v>20</v>
      </c>
    </row>
    <row r="108" spans="1:6" ht="13.5">
      <c r="A108" s="3112">
        <v>36</v>
      </c>
      <c r="B108" s="3859"/>
      <c r="C108" s="3112" t="s">
        <v>2716</v>
      </c>
      <c r="D108" s="3086" t="s">
        <v>2717</v>
      </c>
      <c r="E108" s="3112">
        <v>0.15</v>
      </c>
      <c r="F108" s="3112">
        <v>20</v>
      </c>
    </row>
    <row r="109" spans="1:6" ht="13.5">
      <c r="A109" s="3112">
        <v>37</v>
      </c>
      <c r="B109" s="3859"/>
      <c r="C109" s="3112" t="s">
        <v>2718</v>
      </c>
      <c r="D109" s="3086" t="s">
        <v>2719</v>
      </c>
      <c r="E109" s="3112">
        <v>0.15</v>
      </c>
      <c r="F109" s="3112">
        <v>20</v>
      </c>
    </row>
    <row r="110" spans="1:6" ht="13.5">
      <c r="A110" s="3112">
        <v>38</v>
      </c>
      <c r="B110" s="3859"/>
      <c r="C110" s="3112" t="s">
        <v>2720</v>
      </c>
      <c r="D110" s="3086" t="s">
        <v>2721</v>
      </c>
      <c r="E110" s="3112">
        <v>0.1</v>
      </c>
      <c r="F110" s="3112">
        <v>15</v>
      </c>
    </row>
    <row r="111" spans="1:6" ht="24">
      <c r="A111" s="3112">
        <v>39</v>
      </c>
      <c r="B111" s="3859"/>
      <c r="C111" s="3112" t="s">
        <v>2722</v>
      </c>
      <c r="D111" s="3086" t="s">
        <v>2723</v>
      </c>
      <c r="E111" s="3112">
        <v>0.1</v>
      </c>
      <c r="F111" s="3112">
        <v>15</v>
      </c>
    </row>
    <row r="112" spans="1:6" ht="24">
      <c r="A112" s="3112">
        <v>40</v>
      </c>
      <c r="B112" s="3868"/>
      <c r="C112" s="3112" t="s">
        <v>2724</v>
      </c>
      <c r="D112" s="3086" t="s">
        <v>2725</v>
      </c>
      <c r="E112" s="3112">
        <v>0.1</v>
      </c>
      <c r="F112" s="3112">
        <v>15</v>
      </c>
    </row>
    <row r="113" spans="1:6" ht="13.5">
      <c r="A113" s="3112">
        <v>41</v>
      </c>
      <c r="B113" s="3869" t="s">
        <v>2726</v>
      </c>
      <c r="C113" s="3112" t="s">
        <v>2727</v>
      </c>
      <c r="D113" s="3086" t="s">
        <v>2728</v>
      </c>
      <c r="E113" s="3112">
        <v>0.1</v>
      </c>
      <c r="F113" s="3112">
        <v>15</v>
      </c>
    </row>
    <row r="114" spans="1:6" ht="13.5">
      <c r="A114" s="3112">
        <v>42</v>
      </c>
      <c r="B114" s="3869"/>
      <c r="C114" s="3112" t="s">
        <v>2729</v>
      </c>
      <c r="D114" s="3086" t="s">
        <v>2730</v>
      </c>
      <c r="E114" s="3112">
        <v>0.1</v>
      </c>
      <c r="F114" s="3112">
        <v>15</v>
      </c>
    </row>
    <row r="115" spans="1:6" ht="24">
      <c r="A115" s="3112">
        <v>43</v>
      </c>
      <c r="B115" s="3869"/>
      <c r="C115" s="3112" t="s">
        <v>2731</v>
      </c>
      <c r="D115" s="3086" t="s">
        <v>2732</v>
      </c>
      <c r="E115" s="3112">
        <v>0.1</v>
      </c>
      <c r="F115" s="3112">
        <v>15</v>
      </c>
    </row>
    <row r="116" spans="1:6" ht="13.5">
      <c r="A116" s="3112">
        <v>44</v>
      </c>
      <c r="B116" s="3864" t="s">
        <v>2733</v>
      </c>
      <c r="C116" s="3112" t="s">
        <v>2734</v>
      </c>
      <c r="D116" s="3086" t="s">
        <v>2735</v>
      </c>
      <c r="E116" s="3112">
        <v>0.1</v>
      </c>
      <c r="F116" s="3112">
        <v>15</v>
      </c>
    </row>
    <row r="117" spans="1:6" ht="24">
      <c r="A117" s="3112">
        <v>45</v>
      </c>
      <c r="B117" s="3868"/>
      <c r="C117" s="3086" t="s">
        <v>2736</v>
      </c>
      <c r="D117" s="3086" t="s">
        <v>2737</v>
      </c>
      <c r="E117" s="3112">
        <v>0.1</v>
      </c>
      <c r="F117" s="3112">
        <v>15</v>
      </c>
    </row>
    <row r="118" spans="1:6" ht="24">
      <c r="A118" s="3112">
        <v>46</v>
      </c>
      <c r="B118" s="3864" t="s">
        <v>2738</v>
      </c>
      <c r="C118" s="3112" t="s">
        <v>2739</v>
      </c>
      <c r="D118" s="3086" t="s">
        <v>2740</v>
      </c>
      <c r="E118" s="3112">
        <v>0.1</v>
      </c>
      <c r="F118" s="3112">
        <v>15</v>
      </c>
    </row>
    <row r="119" spans="1:6" ht="24">
      <c r="A119" s="3112">
        <v>47</v>
      </c>
      <c r="B119" s="3868"/>
      <c r="C119" s="3112" t="s">
        <v>2741</v>
      </c>
      <c r="D119" s="3086" t="s">
        <v>2742</v>
      </c>
      <c r="E119" s="3112">
        <v>0.1</v>
      </c>
      <c r="F119" s="3112">
        <v>15</v>
      </c>
    </row>
    <row r="120" spans="1:6" ht="13.5">
      <c r="A120" s="3112">
        <v>48</v>
      </c>
      <c r="B120" s="3864" t="s">
        <v>2743</v>
      </c>
      <c r="C120" s="3112" t="s">
        <v>2744</v>
      </c>
      <c r="D120" s="3086" t="s">
        <v>2745</v>
      </c>
      <c r="E120" s="3112">
        <v>0.1</v>
      </c>
      <c r="F120" s="3112">
        <v>15</v>
      </c>
    </row>
    <row r="121" spans="1:6" ht="13.5">
      <c r="A121" s="3112">
        <v>49</v>
      </c>
      <c r="B121" s="3868"/>
      <c r="C121" s="3112" t="s">
        <v>2746</v>
      </c>
      <c r="D121" s="3086" t="s">
        <v>2747</v>
      </c>
      <c r="E121" s="3112">
        <v>0.1</v>
      </c>
      <c r="F121" s="3112">
        <v>15</v>
      </c>
    </row>
    <row r="122" spans="1:6" ht="24">
      <c r="A122" s="3112">
        <v>50</v>
      </c>
      <c r="B122" s="3869" t="s">
        <v>2748</v>
      </c>
      <c r="C122" s="3112" t="s">
        <v>2749</v>
      </c>
      <c r="D122" s="3086" t="s">
        <v>2750</v>
      </c>
      <c r="E122" s="3112">
        <v>0.1</v>
      </c>
      <c r="F122" s="3112">
        <v>15</v>
      </c>
    </row>
    <row r="123" spans="1:6" ht="24">
      <c r="A123" s="3112">
        <v>51</v>
      </c>
      <c r="B123" s="3869"/>
      <c r="C123" s="3112" t="s">
        <v>2751</v>
      </c>
      <c r="D123" s="3086" t="s">
        <v>2752</v>
      </c>
      <c r="E123" s="3112">
        <v>0.1</v>
      </c>
      <c r="F123" s="3112">
        <v>15</v>
      </c>
    </row>
    <row r="124" spans="1:6" ht="24">
      <c r="A124" s="3112">
        <v>52</v>
      </c>
      <c r="B124" s="3869" t="s">
        <v>2753</v>
      </c>
      <c r="C124" s="3112" t="s">
        <v>2754</v>
      </c>
      <c r="D124" s="3086" t="s">
        <v>2755</v>
      </c>
      <c r="E124" s="3112">
        <v>0.1</v>
      </c>
      <c r="F124" s="3112">
        <v>15</v>
      </c>
    </row>
    <row r="125" spans="1:6" ht="24">
      <c r="A125" s="3112">
        <v>53</v>
      </c>
      <c r="B125" s="3869"/>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869" t="s">
        <v>2761</v>
      </c>
      <c r="C127" s="3112" t="s">
        <v>2762</v>
      </c>
      <c r="D127" s="3086" t="s">
        <v>2763</v>
      </c>
      <c r="E127" s="3112">
        <v>0.1</v>
      </c>
      <c r="F127" s="3112">
        <v>15</v>
      </c>
    </row>
    <row r="128" spans="1:6" ht="13.5">
      <c r="A128" s="3112">
        <v>56</v>
      </c>
      <c r="B128" s="3869"/>
      <c r="C128" s="3112" t="s">
        <v>2764</v>
      </c>
      <c r="D128" s="3086" t="s">
        <v>2765</v>
      </c>
      <c r="E128" s="3112">
        <v>0.1</v>
      </c>
      <c r="F128" s="3112">
        <v>15</v>
      </c>
    </row>
    <row r="129" spans="1:6" ht="24">
      <c r="A129" s="3112">
        <v>57</v>
      </c>
      <c r="B129" s="3869"/>
      <c r="C129" s="3112" t="s">
        <v>2766</v>
      </c>
      <c r="D129" s="3086" t="s">
        <v>2767</v>
      </c>
      <c r="E129" s="3112">
        <v>0.1</v>
      </c>
      <c r="F129" s="3112">
        <v>15</v>
      </c>
    </row>
    <row r="130" spans="1:6" ht="24">
      <c r="A130" s="3112">
        <v>58</v>
      </c>
      <c r="B130" s="3869" t="s">
        <v>2768</v>
      </c>
      <c r="C130" s="3112" t="s">
        <v>2769</v>
      </c>
      <c r="D130" s="3086" t="s">
        <v>2770</v>
      </c>
      <c r="E130" s="3112">
        <v>0.1</v>
      </c>
      <c r="F130" s="3112">
        <v>15</v>
      </c>
    </row>
    <row r="131" spans="1:6" ht="13.5">
      <c r="A131" s="3112">
        <v>59</v>
      </c>
      <c r="B131" s="3869"/>
      <c r="C131" s="3112" t="s">
        <v>2771</v>
      </c>
      <c r="D131" s="3086" t="s">
        <v>2772</v>
      </c>
      <c r="E131" s="3112">
        <v>0.1</v>
      </c>
      <c r="F131" s="3112">
        <v>15</v>
      </c>
    </row>
    <row r="132" spans="1:6" ht="13.5">
      <c r="A132" s="3112">
        <v>60</v>
      </c>
      <c r="B132" s="3864" t="s">
        <v>2773</v>
      </c>
      <c r="C132" s="3112" t="s">
        <v>2774</v>
      </c>
      <c r="D132" s="3086" t="s">
        <v>2775</v>
      </c>
      <c r="E132" s="3112">
        <v>0.1</v>
      </c>
      <c r="F132" s="3112">
        <v>15</v>
      </c>
    </row>
    <row r="133" spans="1:6" ht="13.5">
      <c r="A133" s="3112">
        <v>61</v>
      </c>
      <c r="B133" s="3868"/>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869" t="s">
        <v>2781</v>
      </c>
      <c r="C135" s="3112" t="s">
        <v>2782</v>
      </c>
      <c r="D135" s="3086" t="s">
        <v>2783</v>
      </c>
      <c r="E135" s="3112">
        <v>0.1</v>
      </c>
      <c r="F135" s="3112">
        <v>15</v>
      </c>
    </row>
    <row r="136" spans="1:6" ht="13.5">
      <c r="A136" s="3112">
        <v>64</v>
      </c>
      <c r="B136" s="3869"/>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2790</v>
      </c>
      <c r="B1" s="3121"/>
      <c r="C1" s="3121"/>
      <c r="D1" s="3121"/>
      <c r="E1" s="3121"/>
      <c r="F1" s="3121"/>
      <c r="G1" s="3121"/>
      <c r="H1" s="3121"/>
      <c r="I1" s="3121"/>
      <c r="J1" s="3121"/>
      <c r="K1" s="3121"/>
      <c r="L1" s="3121"/>
      <c r="M1" s="3121"/>
      <c r="N1" s="748"/>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49">
        <f>SUMPRODUCT((A95:A184=ROUNDDOWN(基准地价修正!G3,1))*(B94:M94=基准地价修正!G2)*(B95:M184))</f>
        <v>1.2158</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49">
        <f>SUMPRODUCT((A371:A460=ROUNDDOWN(基准地价修正!G3,1))*(B370:M370=基准地价修正!G2)*(B371:M460))</f>
        <v>1.1565000000000001</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估价结果一览表（市场价值不需“结果表-1”）</v>
      </c>
      <c r="B3" s="3526"/>
      <c r="C3" s="3526"/>
      <c r="D3" s="3526"/>
      <c r="E3" s="3526"/>
    </row>
    <row r="4" spans="1:5" ht="19.5" thickBot="1">
      <c r="A4" s="1491"/>
      <c r="B4" s="3524" t="s">
        <v>917</v>
      </c>
      <c r="C4" s="3524"/>
      <c r="D4" s="3524"/>
      <c r="E4" s="1491"/>
    </row>
    <row r="5" spans="1:5" ht="16.5" thickTop="1">
      <c r="A5" s="1489"/>
      <c r="B5" s="3522" t="s">
        <v>909</v>
      </c>
      <c r="C5" s="1492" t="s">
        <v>910</v>
      </c>
      <c r="D5" s="849">
        <f ca="1">结果表!H101</f>
        <v>65329</v>
      </c>
      <c r="E5" s="1489"/>
    </row>
    <row r="6" spans="1:5" ht="15.75">
      <c r="A6" s="1489"/>
      <c r="B6" s="3522"/>
      <c r="C6" s="1492" t="s">
        <v>911</v>
      </c>
      <c r="D6" s="849" t="str">
        <f ca="1">NUMBERSTRING(INT(D5*10000),2)&amp;"元整"</f>
        <v>陆亿伍仟叁佰贰拾玖万元整</v>
      </c>
      <c r="E6" s="1489"/>
    </row>
    <row r="7" spans="1:5" ht="15.75">
      <c r="A7" s="1489"/>
      <c r="B7" s="3527"/>
      <c r="C7" s="1493" t="s">
        <v>912</v>
      </c>
      <c r="D7" s="850">
        <f ca="1">结果表!H102</f>
        <v>25377</v>
      </c>
      <c r="E7" s="1489"/>
    </row>
    <row r="8" spans="1:5" ht="15.75">
      <c r="A8" s="1489"/>
      <c r="B8" s="3528" t="str">
        <f>结果表!E103</f>
        <v>2.估价师知悉的法定优先受偿款</v>
      </c>
      <c r="C8" s="1494" t="s">
        <v>913</v>
      </c>
      <c r="D8" s="850">
        <f>结果表!H103</f>
        <v>0</v>
      </c>
      <c r="E8" s="1489"/>
    </row>
    <row r="9" spans="1:5" ht="15.75">
      <c r="A9" s="1489"/>
      <c r="B9" s="3530"/>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1" t="str">
        <f>结果表!E107</f>
        <v>3.房地产抵押价值</v>
      </c>
      <c r="C13" s="1497" t="s">
        <v>910</v>
      </c>
      <c r="D13" s="852">
        <f ca="1">结果表!H107</f>
        <v>65329</v>
      </c>
      <c r="E13" s="1489"/>
    </row>
    <row r="14" spans="1:5" ht="15.75">
      <c r="A14" s="1489"/>
      <c r="B14" s="3522"/>
      <c r="C14" s="1492" t="s">
        <v>911</v>
      </c>
      <c r="D14" s="849" t="str">
        <f ca="1">NUMBERSTRING(INT(D13*10000),2)&amp;"元整"</f>
        <v>陆亿伍仟叁佰贰拾玖万元整</v>
      </c>
      <c r="E14" s="1489"/>
    </row>
    <row r="15" spans="1:5" ht="15">
      <c r="A15" s="1489"/>
      <c r="B15" s="3527"/>
      <c r="C15" s="1493" t="s">
        <v>921</v>
      </c>
      <c r="D15" s="858">
        <f ca="1">结果表!H108</f>
        <v>25377</v>
      </c>
      <c r="E15" s="1489"/>
    </row>
    <row r="16" spans="1:5" ht="15">
      <c r="A16" s="1489"/>
      <c r="B16" s="3528" t="str">
        <f>结果表!E109</f>
        <v>——</v>
      </c>
      <c r="C16" s="1497" t="s">
        <v>922</v>
      </c>
      <c r="D16" s="1498" t="str">
        <f>结果表!H109</f>
        <v>——</v>
      </c>
      <c r="E16" s="1489"/>
    </row>
    <row r="17" spans="1:5" ht="15.75">
      <c r="A17" s="1489"/>
      <c r="B17" s="3529"/>
      <c r="C17" s="1492" t="s">
        <v>923</v>
      </c>
      <c r="D17" s="849" t="e">
        <f>NUMBERSTRING(INT(D16*10000),2)&amp;"元整"</f>
        <v>#VALUE!</v>
      </c>
      <c r="E17" s="1489"/>
    </row>
    <row r="18" spans="1:5" ht="15">
      <c r="A18" s="1489"/>
      <c r="B18" s="3530"/>
      <c r="C18" s="1493" t="s">
        <v>912</v>
      </c>
      <c r="D18" s="858" t="str">
        <f>结果表!H110</f>
        <v>——</v>
      </c>
      <c r="E18" s="1489"/>
    </row>
    <row r="19" spans="1:5" ht="15.75">
      <c r="A19" s="1489"/>
      <c r="B19" s="3521" t="str">
        <f>结果表!E111</f>
        <v>——</v>
      </c>
      <c r="C19" s="1497" t="s">
        <v>910</v>
      </c>
      <c r="D19" s="850" t="str">
        <f>结果表!H111</f>
        <v>——</v>
      </c>
      <c r="E19" s="1489"/>
    </row>
    <row r="20" spans="1:5" ht="15.75">
      <c r="A20" s="1489"/>
      <c r="B20" s="3522"/>
      <c r="C20" s="1492" t="s">
        <v>923</v>
      </c>
      <c r="D20" s="849" t="e">
        <f>NUMBERSTRING(INT(D19*10000),2)&amp;"元整"</f>
        <v>#VALUE!</v>
      </c>
      <c r="E20" s="1489"/>
    </row>
    <row r="21" spans="1:5" ht="15.75" thickBot="1">
      <c r="A21" s="1489"/>
      <c r="B21" s="3523"/>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47919</v>
      </c>
      <c r="C2" s="2" t="s">
        <v>106</v>
      </c>
      <c r="D2" s="199"/>
      <c r="E2" s="199"/>
      <c r="F2" s="199"/>
      <c r="G2" s="199"/>
    </row>
    <row r="3" spans="1:7" s="200" customFormat="1" ht="18" customHeight="1" thickBot="1">
      <c r="A3" s="203" t="s">
        <v>58</v>
      </c>
      <c r="B3" s="204">
        <f ca="1">ROUND(B2*10000/'数据-汇总表'!E3,0)</f>
        <v>18614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515</v>
      </c>
      <c r="D10" s="844">
        <f>'数据-汇总表'!E6</f>
        <v>25743.170000000006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463</v>
      </c>
      <c r="D19" s="848">
        <f>'数据-汇总表'!E3</f>
        <v>25743.170000000006</v>
      </c>
      <c r="E19" s="211">
        <f>'数据-取费表'!B31</f>
        <v>180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32</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3869</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3869</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15257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13891</v>
      </c>
      <c r="D34" s="217"/>
      <c r="E34" s="220"/>
      <c r="F34" s="257">
        <f>IF('数据-取费表'!B24=0,1,'数据-取费表'!N16)</f>
        <v>1</v>
      </c>
      <c r="G34" s="219" t="s">
        <v>89</v>
      </c>
    </row>
    <row r="35" spans="1:7" ht="13.5" customHeight="1">
      <c r="A35" s="779" t="s">
        <v>351</v>
      </c>
      <c r="B35" s="215" t="s">
        <v>33</v>
      </c>
      <c r="C35" s="220">
        <f>ROUND(C34*F35,0)</f>
        <v>695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463</v>
      </c>
      <c r="D37" s="217">
        <f>'数据-汇总表'!E3</f>
        <v>25743.170000000006</v>
      </c>
      <c r="E37" s="249">
        <f>'数据-取费表'!B35</f>
        <v>180</v>
      </c>
      <c r="F37" s="259"/>
      <c r="G37" s="261" t="s">
        <v>92</v>
      </c>
    </row>
    <row r="38" spans="1:7" ht="13.5" customHeight="1">
      <c r="A38" s="779" t="s">
        <v>354</v>
      </c>
      <c r="B38" s="215" t="s">
        <v>36</v>
      </c>
      <c r="C38" s="220">
        <f>ROUND(C34*F38,0)</f>
        <v>208</v>
      </c>
      <c r="D38" s="220"/>
      <c r="E38" s="220"/>
      <c r="F38" s="259">
        <f>'数据-取费表'!B36</f>
        <v>1.4999999999999999E-2</v>
      </c>
      <c r="G38" s="219" t="s">
        <v>90</v>
      </c>
    </row>
    <row r="39" spans="1:7" s="214" customFormat="1" ht="13.5" customHeight="1">
      <c r="A39" s="776" t="s">
        <v>338</v>
      </c>
      <c r="B39" s="210" t="s">
        <v>77</v>
      </c>
      <c r="C39" s="232">
        <f>ROUND(C33*F20,0)</f>
        <v>305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537</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526</v>
      </c>
      <c r="D42" s="238"/>
      <c r="E42" s="238"/>
      <c r="F42" s="239"/>
      <c r="G42" s="3734" t="s">
        <v>94</v>
      </c>
    </row>
    <row r="43" spans="1:7" ht="13.5" customHeight="1">
      <c r="A43" s="779" t="s">
        <v>347</v>
      </c>
      <c r="B43" s="215" t="s">
        <v>426</v>
      </c>
      <c r="C43" s="238">
        <f ca="1">ROUND(IF('数据-取费表'!B22&lt;=1,C39*F22*'数据-取费表'!B21/2,C39*(POWER((1+F22),'数据-取费表'!B21/2)-1)),0)</f>
        <v>11</v>
      </c>
      <c r="D43" s="238"/>
      <c r="E43" s="238"/>
      <c r="F43" s="239"/>
      <c r="G43" s="3735"/>
    </row>
    <row r="44" spans="1:7" ht="13.5" customHeight="1">
      <c r="A44" s="779" t="s">
        <v>348</v>
      </c>
      <c r="B44" s="215" t="s">
        <v>428</v>
      </c>
      <c r="C44" s="238">
        <f ca="1">ROUND(IF('数据-取费表'!B22&lt;=1,C40*F22*'数据-取费表'!B21/2,C40*(POWER((1+F22),'数据-取费表'!B21/2)-1)),4)</f>
        <v>6.9999999999999999E-4</v>
      </c>
      <c r="D44" s="238"/>
      <c r="E44" s="238"/>
      <c r="F44" s="239"/>
      <c r="G44" s="3736"/>
    </row>
    <row r="45" spans="1:7" s="214" customFormat="1" ht="13.5" customHeight="1">
      <c r="A45" s="776" t="s">
        <v>341</v>
      </c>
      <c r="B45" s="244" t="s">
        <v>85</v>
      </c>
      <c r="C45" s="245">
        <f>C46</f>
        <v>2801</v>
      </c>
      <c r="D45" s="235">
        <f>C47</f>
        <v>3.5999999999999999E-3</v>
      </c>
      <c r="E45" s="236" t="s">
        <v>102</v>
      </c>
      <c r="F45" s="246"/>
      <c r="G45" s="247" t="s">
        <v>434</v>
      </c>
    </row>
    <row r="46" spans="1:7" s="214" customFormat="1" ht="13.5" customHeight="1">
      <c r="A46" s="779" t="s">
        <v>349</v>
      </c>
      <c r="B46" s="248" t="s">
        <v>427</v>
      </c>
      <c r="C46" s="249">
        <f>ROUND((C33+C39)*F27,0)</f>
        <v>2801</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20470</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18832</v>
      </c>
      <c r="D51" s="232"/>
      <c r="E51" s="232"/>
      <c r="F51" s="264"/>
      <c r="G51" s="234" t="s">
        <v>37</v>
      </c>
    </row>
    <row r="52" spans="1:7" s="208" customFormat="1" ht="16.5" thickBot="1">
      <c r="A52" s="265" t="s">
        <v>38</v>
      </c>
      <c r="B52" s="266"/>
      <c r="C52" s="267">
        <f ca="1">C31+C51</f>
        <v>47919</v>
      </c>
      <c r="D52" s="266"/>
      <c r="E52" s="266"/>
      <c r="F52" s="266"/>
      <c r="G52" s="268"/>
    </row>
    <row r="55" spans="1:7" ht="15">
      <c r="B55" s="270" t="s">
        <v>39</v>
      </c>
      <c r="C55" s="271"/>
    </row>
    <row r="56" spans="1:7">
      <c r="B56" s="273" t="s">
        <v>40</v>
      </c>
      <c r="C56" s="274">
        <f ca="1">ROUND(C51/C52,3)</f>
        <v>0.39300000000000002</v>
      </c>
    </row>
    <row r="57" spans="1:7">
      <c r="B57" s="273" t="s">
        <v>41</v>
      </c>
      <c r="C57" s="275">
        <f ca="1">1-C56</f>
        <v>0.60699999999999998</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2" t="s">
        <v>2833</v>
      </c>
      <c r="B1" s="3872"/>
      <c r="C1" s="3872"/>
      <c r="D1" s="3872"/>
      <c r="E1" s="3872"/>
      <c r="F1" s="3872"/>
      <c r="G1" s="3873"/>
      <c r="I1" s="3217" t="s">
        <v>2834</v>
      </c>
      <c r="J1" s="3218" t="s">
        <v>2835</v>
      </c>
      <c r="K1" s="3218" t="s">
        <v>2836</v>
      </c>
      <c r="L1" s="3218" t="s">
        <v>2837</v>
      </c>
      <c r="M1" s="3218" t="s">
        <v>2838</v>
      </c>
      <c r="N1" s="3218" t="s">
        <v>2839</v>
      </c>
      <c r="O1" s="3218" t="s">
        <v>2840</v>
      </c>
      <c r="P1" s="3218" t="s">
        <v>2841</v>
      </c>
      <c r="Q1" s="3218" t="s">
        <v>2842</v>
      </c>
      <c r="R1" s="3218" t="s">
        <v>2843</v>
      </c>
      <c r="S1" s="3218" t="s">
        <v>2844</v>
      </c>
      <c r="T1" s="3219" t="s">
        <v>2845</v>
      </c>
    </row>
    <row r="2" spans="1:20" ht="12" thickBot="1">
      <c r="A2" s="3221" t="s">
        <v>2846</v>
      </c>
      <c r="B2" s="3221"/>
      <c r="C2" s="3221"/>
      <c r="D2" s="3221"/>
      <c r="E2" s="3221"/>
      <c r="F2" s="3221"/>
      <c r="G2" s="3222" t="s">
        <v>2847</v>
      </c>
      <c r="I2" s="3223" t="s">
        <v>2848</v>
      </c>
      <c r="J2" s="3223" t="s">
        <v>2849</v>
      </c>
      <c r="K2" s="3223" t="s">
        <v>2850</v>
      </c>
      <c r="L2" s="3223" t="s">
        <v>2851</v>
      </c>
      <c r="M2" s="3223" t="s">
        <v>2852</v>
      </c>
      <c r="N2" s="3223" t="s">
        <v>2853</v>
      </c>
      <c r="O2" s="3223" t="s">
        <v>2854</v>
      </c>
      <c r="P2" s="3223" t="s">
        <v>2855</v>
      </c>
      <c r="Q2" s="3223" t="s">
        <v>2856</v>
      </c>
      <c r="R2" s="3223" t="s">
        <v>2857</v>
      </c>
      <c r="S2" s="3223" t="s">
        <v>2858</v>
      </c>
      <c r="T2" s="3223" t="s">
        <v>2859</v>
      </c>
    </row>
    <row r="3" spans="1:20" s="3229" customFormat="1">
      <c r="A3" s="3870" t="s">
        <v>2860</v>
      </c>
      <c r="B3" s="3224"/>
      <c r="C3" s="3225" t="s">
        <v>2803</v>
      </c>
      <c r="D3" s="3225" t="s">
        <v>2861</v>
      </c>
      <c r="E3" s="3225" t="s">
        <v>2805</v>
      </c>
      <c r="F3" s="3225" t="s">
        <v>2862</v>
      </c>
      <c r="G3" s="3225" t="s">
        <v>2623</v>
      </c>
      <c r="H3" s="3226"/>
      <c r="I3" s="3227" t="s">
        <v>2863</v>
      </c>
      <c r="J3" s="3228" t="s">
        <v>128</v>
      </c>
      <c r="K3" s="3228" t="s">
        <v>129</v>
      </c>
      <c r="L3" s="3227" t="s">
        <v>130</v>
      </c>
      <c r="M3" s="3227" t="s">
        <v>131</v>
      </c>
      <c r="N3" s="3227" t="s">
        <v>132</v>
      </c>
      <c r="O3" s="3227" t="s">
        <v>133</v>
      </c>
      <c r="P3" s="3227" t="s">
        <v>134</v>
      </c>
      <c r="Q3" s="3227" t="s">
        <v>135</v>
      </c>
      <c r="R3" s="3227" t="s">
        <v>136</v>
      </c>
      <c r="S3" s="3227" t="s">
        <v>2864</v>
      </c>
      <c r="T3" s="3227" t="s">
        <v>2865</v>
      </c>
    </row>
    <row r="4" spans="1:20" s="3229" customFormat="1" ht="12" thickBot="1">
      <c r="A4" s="3871"/>
      <c r="B4" s="3230" t="s">
        <v>2866</v>
      </c>
      <c r="C4" s="3230" t="s">
        <v>2867</v>
      </c>
      <c r="D4" s="3230" t="s">
        <v>2867</v>
      </c>
      <c r="E4" s="3230" t="s">
        <v>2867</v>
      </c>
      <c r="F4" s="3231" t="s">
        <v>2867</v>
      </c>
      <c r="G4" s="3231" t="s">
        <v>2867</v>
      </c>
      <c r="H4" s="3226"/>
      <c r="I4" s="3228" t="s">
        <v>137</v>
      </c>
      <c r="J4" s="3228" t="s">
        <v>111</v>
      </c>
      <c r="K4" s="3228" t="s">
        <v>138</v>
      </c>
      <c r="L4" s="3227" t="s">
        <v>139</v>
      </c>
      <c r="M4" s="3227" t="s">
        <v>140</v>
      </c>
      <c r="N4" s="3227" t="s">
        <v>141</v>
      </c>
      <c r="O4" s="3227" t="s">
        <v>142</v>
      </c>
      <c r="P4" s="3227" t="s">
        <v>143</v>
      </c>
      <c r="Q4" s="3227" t="s">
        <v>2868</v>
      </c>
      <c r="R4" s="3227" t="s">
        <v>2869</v>
      </c>
      <c r="S4" s="3227" t="s">
        <v>2870</v>
      </c>
      <c r="T4" s="3227" t="s">
        <v>2871</v>
      </c>
    </row>
    <row r="5" spans="1:20">
      <c r="A5" s="3232" t="s">
        <v>2834</v>
      </c>
      <c r="B5" s="3223" t="s">
        <v>2848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2872</v>
      </c>
      <c r="R5" s="3227" t="s">
        <v>2873</v>
      </c>
      <c r="S5" s="3227" t="s">
        <v>153</v>
      </c>
      <c r="T5" s="3227" t="s">
        <v>2874</v>
      </c>
    </row>
    <row r="6" spans="1:20" ht="12" thickBot="1">
      <c r="A6" s="3227" t="s">
        <v>144</v>
      </c>
      <c r="B6" s="3227" t="s">
        <v>2863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2875</v>
      </c>
      <c r="Q6" s="3227" t="s">
        <v>2876</v>
      </c>
      <c r="R6" s="3227" t="s">
        <v>161</v>
      </c>
      <c r="S6" s="3227" t="s">
        <v>2877</v>
      </c>
      <c r="T6" s="3227" t="s">
        <v>2878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2879</v>
      </c>
      <c r="Q7" s="3227" t="s">
        <v>2880</v>
      </c>
      <c r="R7" s="3227" t="s">
        <v>2881</v>
      </c>
      <c r="S7" s="3227" t="s">
        <v>2882</v>
      </c>
      <c r="T7" s="3227" t="s">
        <v>2883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2884</v>
      </c>
      <c r="Q8" s="3227" t="s">
        <v>174</v>
      </c>
      <c r="R8" s="3227" t="s">
        <v>2885</v>
      </c>
      <c r="S8" s="3227" t="s">
        <v>2886</v>
      </c>
      <c r="T8" s="3234" t="s">
        <v>2887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2888</v>
      </c>
      <c r="Q9" s="3227" t="s">
        <v>182</v>
      </c>
      <c r="R9" s="3227" t="s">
        <v>183</v>
      </c>
      <c r="S9" s="3227" t="s">
        <v>200</v>
      </c>
    </row>
    <row r="10" spans="1:20">
      <c r="A10" s="3232" t="s">
        <v>184</v>
      </c>
      <c r="B10" s="3223" t="s">
        <v>2849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2890</v>
      </c>
      <c r="P11" s="3227" t="s">
        <v>191</v>
      </c>
      <c r="Q11" s="3227" t="s">
        <v>199</v>
      </c>
      <c r="R11" s="3227" t="s">
        <v>2891</v>
      </c>
      <c r="S11" s="3227" t="s">
        <v>2892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2893</v>
      </c>
      <c r="P12" s="3227" t="s">
        <v>2894</v>
      </c>
      <c r="Q12" s="3227" t="s">
        <v>2895</v>
      </c>
      <c r="R12" s="3227" t="s">
        <v>2896</v>
      </c>
      <c r="S12" s="3227" t="s">
        <v>2897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2899</v>
      </c>
      <c r="K14" s="3228" t="s">
        <v>215</v>
      </c>
      <c r="L14" s="3227" t="s">
        <v>216</v>
      </c>
      <c r="M14" s="3227" t="s">
        <v>217</v>
      </c>
      <c r="N14" s="3227" t="s">
        <v>218</v>
      </c>
      <c r="O14" s="3227" t="s">
        <v>240</v>
      </c>
      <c r="P14" s="3227" t="s">
        <v>213</v>
      </c>
      <c r="Q14" s="3227" t="s">
        <v>2900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2901</v>
      </c>
      <c r="P15" s="3227" t="s">
        <v>2902</v>
      </c>
      <c r="Q15" s="3227" t="s">
        <v>242</v>
      </c>
      <c r="R15" s="3227" t="s">
        <v>2903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2904</v>
      </c>
      <c r="P16" s="3227" t="s">
        <v>227</v>
      </c>
      <c r="Q16" s="3227" t="s">
        <v>250</v>
      </c>
      <c r="R16" s="3227" t="s">
        <v>207</v>
      </c>
      <c r="S16" s="3227" t="s">
        <v>2905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2906</v>
      </c>
      <c r="P17" s="3227" t="s">
        <v>2907</v>
      </c>
      <c r="Q17" s="3227" t="s">
        <v>256</v>
      </c>
      <c r="R17" s="3227" t="s">
        <v>2908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2909</v>
      </c>
      <c r="P18" s="3227" t="s">
        <v>241</v>
      </c>
      <c r="Q18" s="3227" t="s">
        <v>2910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2911</v>
      </c>
      <c r="P19" s="3227" t="s">
        <v>249</v>
      </c>
      <c r="Q19" s="3227" t="s">
        <v>2912</v>
      </c>
      <c r="R19" s="3227" t="s">
        <v>265</v>
      </c>
      <c r="S19" s="3227" t="s">
        <v>2913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2914</v>
      </c>
      <c r="P20" s="3227" t="s">
        <v>2915</v>
      </c>
      <c r="Q20" s="3227" t="s">
        <v>290</v>
      </c>
      <c r="R20" s="3227" t="s">
        <v>2916</v>
      </c>
      <c r="S20" s="3227" t="s">
        <v>277</v>
      </c>
    </row>
    <row r="21" spans="1:19" ht="14.25" customHeight="1" thickBot="1">
      <c r="A21" s="3227" t="s">
        <v>184</v>
      </c>
      <c r="B21" s="3228" t="s">
        <v>208</v>
      </c>
      <c r="C21" s="3227">
        <v>32370</v>
      </c>
      <c r="D21" s="3227">
        <v>26730</v>
      </c>
      <c r="E21" s="3227">
        <v>26640</v>
      </c>
      <c r="F21" s="3227"/>
      <c r="G21" s="3227">
        <v>19440</v>
      </c>
      <c r="J21" s="3234" t="s">
        <v>2917</v>
      </c>
      <c r="K21" s="3228" t="s">
        <v>267</v>
      </c>
      <c r="L21" s="3227" t="s">
        <v>268</v>
      </c>
      <c r="M21" s="3227" t="s">
        <v>269</v>
      </c>
      <c r="N21" s="3227" t="s">
        <v>270</v>
      </c>
      <c r="O21" s="3227" t="s">
        <v>264</v>
      </c>
      <c r="P21" s="3227" t="s">
        <v>283</v>
      </c>
      <c r="Q21" s="3227" t="s">
        <v>293</v>
      </c>
      <c r="R21" s="3227" t="s">
        <v>2918</v>
      </c>
      <c r="S21" s="3234" t="s">
        <v>2919</v>
      </c>
    </row>
    <row r="22" spans="1:19" ht="14.25" customHeight="1">
      <c r="A22" s="3227" t="s">
        <v>184</v>
      </c>
      <c r="B22" s="3228" t="s">
        <v>2899</v>
      </c>
      <c r="C22" s="3227">
        <v>29830</v>
      </c>
      <c r="D22" s="3227">
        <v>27600</v>
      </c>
      <c r="E22" s="3227">
        <v>28150</v>
      </c>
      <c r="F22" s="3227"/>
      <c r="G22" s="3227">
        <v>20080</v>
      </c>
      <c r="K22" s="3228" t="s">
        <v>2920</v>
      </c>
      <c r="L22" s="3227" t="s">
        <v>272</v>
      </c>
      <c r="M22" s="3227" t="s">
        <v>273</v>
      </c>
      <c r="N22" s="3227" t="s">
        <v>274</v>
      </c>
      <c r="O22" s="3227" t="s">
        <v>2921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2922</v>
      </c>
      <c r="L23" s="3227" t="s">
        <v>278</v>
      </c>
      <c r="M23" s="3227" t="s">
        <v>279</v>
      </c>
      <c r="N23" s="3227" t="s">
        <v>2923</v>
      </c>
      <c r="O23" s="3227" t="s">
        <v>2924</v>
      </c>
      <c r="P23" s="3227" t="s">
        <v>289</v>
      </c>
      <c r="Q23" s="3227" t="s">
        <v>298</v>
      </c>
      <c r="R23" s="3227" t="s">
        <v>2925</v>
      </c>
    </row>
    <row r="24" spans="1:19" ht="14.25" customHeight="1">
      <c r="A24" s="3227" t="s">
        <v>184</v>
      </c>
      <c r="B24" s="3228" t="s">
        <v>230</v>
      </c>
      <c r="C24" s="3227">
        <v>27930</v>
      </c>
      <c r="D24" s="3227">
        <v>32260</v>
      </c>
      <c r="E24" s="3227">
        <v>32120</v>
      </c>
      <c r="F24" s="3227"/>
      <c r="G24" s="3227">
        <v>23470</v>
      </c>
      <c r="K24" s="3228" t="s">
        <v>2926</v>
      </c>
      <c r="L24" s="3227" t="s">
        <v>281</v>
      </c>
      <c r="M24" s="3227" t="s">
        <v>282</v>
      </c>
      <c r="N24" s="3227" t="s">
        <v>2927</v>
      </c>
      <c r="O24" s="3227" t="s">
        <v>285</v>
      </c>
      <c r="P24" s="3227" t="s">
        <v>2928</v>
      </c>
      <c r="Q24" s="3236" t="s">
        <v>2929</v>
      </c>
      <c r="R24" s="3227" t="s">
        <v>2930</v>
      </c>
    </row>
    <row r="25" spans="1:19" ht="14.25" customHeight="1">
      <c r="A25" s="3227" t="s">
        <v>184</v>
      </c>
      <c r="B25" s="3228" t="s">
        <v>235</v>
      </c>
      <c r="C25" s="3227">
        <v>32230</v>
      </c>
      <c r="D25" s="3227">
        <v>29640</v>
      </c>
      <c r="E25" s="3227">
        <v>29510</v>
      </c>
      <c r="F25" s="3227"/>
      <c r="G25" s="3227">
        <v>21560</v>
      </c>
      <c r="K25" s="3228" t="s">
        <v>2931</v>
      </c>
      <c r="L25" s="3227" t="s">
        <v>2932</v>
      </c>
      <c r="M25" s="3227" t="s">
        <v>284</v>
      </c>
      <c r="N25" s="3227" t="s">
        <v>292</v>
      </c>
      <c r="O25" s="3227" t="s">
        <v>288</v>
      </c>
      <c r="P25" s="3227" t="s">
        <v>275</v>
      </c>
      <c r="Q25" s="3236" t="s">
        <v>271</v>
      </c>
      <c r="R25" s="3227" t="s">
        <v>2933</v>
      </c>
    </row>
    <row r="26" spans="1:19" ht="14.25" customHeight="1" thickBot="1">
      <c r="A26" s="3227" t="s">
        <v>184</v>
      </c>
      <c r="B26" s="3228" t="s">
        <v>244</v>
      </c>
      <c r="C26" s="3227">
        <v>31690</v>
      </c>
      <c r="D26" s="3227">
        <v>27650</v>
      </c>
      <c r="E26" s="3227">
        <v>28200</v>
      </c>
      <c r="F26" s="3227"/>
      <c r="G26" s="3227">
        <v>20110</v>
      </c>
      <c r="K26" s="3233" t="s">
        <v>2934</v>
      </c>
      <c r="L26" s="3227" t="s">
        <v>2935</v>
      </c>
      <c r="M26" s="3227" t="s">
        <v>287</v>
      </c>
      <c r="N26" s="3227" t="s">
        <v>294</v>
      </c>
      <c r="O26" s="3227" t="s">
        <v>2936</v>
      </c>
      <c r="P26" s="3227" t="s">
        <v>2937</v>
      </c>
      <c r="Q26" s="3236" t="s">
        <v>276</v>
      </c>
      <c r="R26" s="3227" t="s">
        <v>2938</v>
      </c>
    </row>
    <row r="27" spans="1:19" ht="14.25" customHeight="1">
      <c r="A27" s="3227" t="s">
        <v>184</v>
      </c>
      <c r="B27" s="3228" t="s">
        <v>251</v>
      </c>
      <c r="C27" s="3227">
        <v>29610</v>
      </c>
      <c r="D27" s="3227">
        <v>27770</v>
      </c>
      <c r="E27" s="3227">
        <v>28300</v>
      </c>
      <c r="F27" s="3227"/>
      <c r="G27" s="3227">
        <v>20210</v>
      </c>
      <c r="L27" s="3227" t="s">
        <v>2939</v>
      </c>
      <c r="M27" s="3227" t="s">
        <v>291</v>
      </c>
      <c r="N27" s="3227" t="s">
        <v>297</v>
      </c>
      <c r="O27" s="3227" t="s">
        <v>2940</v>
      </c>
      <c r="P27" s="3227" t="s">
        <v>2941</v>
      </c>
      <c r="Q27" s="3227" t="s">
        <v>2942</v>
      </c>
      <c r="R27" s="3227" t="s">
        <v>2943</v>
      </c>
    </row>
    <row r="28" spans="1:19" ht="14.25" customHeight="1">
      <c r="A28" s="3227" t="s">
        <v>184</v>
      </c>
      <c r="B28" s="3228" t="s">
        <v>259</v>
      </c>
      <c r="C28" s="3227"/>
      <c r="D28" s="3227">
        <v>31520</v>
      </c>
      <c r="E28" s="3227">
        <v>31410</v>
      </c>
      <c r="F28" s="3227"/>
      <c r="G28" s="3227">
        <v>22940</v>
      </c>
      <c r="L28" s="3227" t="s">
        <v>2944</v>
      </c>
      <c r="M28" s="3227" t="s">
        <v>2945</v>
      </c>
      <c r="N28" s="3227" t="s">
        <v>2946</v>
      </c>
      <c r="O28" s="3227" t="s">
        <v>2947</v>
      </c>
      <c r="P28" s="3227" t="s">
        <v>2948</v>
      </c>
      <c r="Q28" s="3227" t="s">
        <v>2949</v>
      </c>
      <c r="R28" s="3227" t="s">
        <v>2950</v>
      </c>
    </row>
    <row r="29" spans="1:19" ht="14.25" customHeight="1" thickBot="1">
      <c r="A29" s="3235" t="s">
        <v>184</v>
      </c>
      <c r="B29" s="3237" t="s">
        <v>2917</v>
      </c>
      <c r="C29" s="3238"/>
      <c r="D29" s="3238">
        <v>29460</v>
      </c>
      <c r="E29" s="3238">
        <v>28640</v>
      </c>
      <c r="F29" s="3238"/>
      <c r="G29" s="3238">
        <v>21430</v>
      </c>
      <c r="L29" s="3227" t="s">
        <v>2951</v>
      </c>
      <c r="M29" s="3227" t="s">
        <v>2952</v>
      </c>
      <c r="N29" s="3227" t="s">
        <v>2953</v>
      </c>
      <c r="O29" s="3227" t="s">
        <v>2954</v>
      </c>
      <c r="P29" s="3227" t="s">
        <v>2955</v>
      </c>
      <c r="Q29" s="3227" t="s">
        <v>2956</v>
      </c>
      <c r="R29" s="3227" t="s">
        <v>280</v>
      </c>
    </row>
    <row r="30" spans="1:19" ht="14.25" customHeight="1">
      <c r="A30" s="3232" t="s">
        <v>296</v>
      </c>
      <c r="B30" s="3223" t="s">
        <v>2850</v>
      </c>
      <c r="C30" s="3223">
        <v>26890</v>
      </c>
      <c r="D30" s="3223">
        <v>26770</v>
      </c>
      <c r="E30" s="3223">
        <v>25700</v>
      </c>
      <c r="F30" s="3223">
        <v>8180</v>
      </c>
      <c r="G30" s="3239">
        <v>18740</v>
      </c>
      <c r="L30" s="3227" t="s">
        <v>2957</v>
      </c>
      <c r="M30" s="3227" t="s">
        <v>2958</v>
      </c>
      <c r="N30" s="3227" t="s">
        <v>2959</v>
      </c>
      <c r="O30" s="3227" t="s">
        <v>2960</v>
      </c>
      <c r="P30" s="3227" t="s">
        <v>2961</v>
      </c>
      <c r="Q30" s="3227" t="s">
        <v>2962</v>
      </c>
      <c r="R30" s="3227" t="s">
        <v>2963</v>
      </c>
    </row>
    <row r="31" spans="1:19" ht="14.25" customHeight="1">
      <c r="A31" s="3227" t="s">
        <v>296</v>
      </c>
      <c r="B31" s="3228" t="s">
        <v>129</v>
      </c>
      <c r="C31" s="3227">
        <v>24550</v>
      </c>
      <c r="D31" s="3227">
        <v>23990</v>
      </c>
      <c r="E31" s="3227">
        <v>22930</v>
      </c>
      <c r="F31" s="3227">
        <v>7470</v>
      </c>
      <c r="G31" s="3240">
        <v>16790</v>
      </c>
      <c r="L31" s="3227" t="s">
        <v>2964</v>
      </c>
      <c r="M31" s="3227" t="s">
        <v>2965</v>
      </c>
      <c r="N31" s="3227" t="s">
        <v>2966</v>
      </c>
      <c r="O31" s="3227" t="s">
        <v>2967</v>
      </c>
      <c r="P31" s="3227" t="s">
        <v>2968</v>
      </c>
      <c r="Q31" s="3227" t="s">
        <v>2969</v>
      </c>
      <c r="R31" s="3227" t="s">
        <v>2970</v>
      </c>
    </row>
    <row r="32" spans="1:19" ht="14.25" customHeight="1" thickBot="1">
      <c r="A32" s="3227" t="s">
        <v>296</v>
      </c>
      <c r="B32" s="3228" t="s">
        <v>138</v>
      </c>
      <c r="C32" s="3227">
        <v>27210</v>
      </c>
      <c r="D32" s="3227">
        <v>23240</v>
      </c>
      <c r="E32" s="3227">
        <v>23260</v>
      </c>
      <c r="F32" s="3227">
        <v>7130</v>
      </c>
      <c r="G32" s="3240">
        <v>16270</v>
      </c>
      <c r="L32" s="3227" t="s">
        <v>2971</v>
      </c>
      <c r="M32" s="3227" t="s">
        <v>2972</v>
      </c>
      <c r="N32" s="3227" t="s">
        <v>300</v>
      </c>
      <c r="O32" s="3227" t="s">
        <v>2973</v>
      </c>
      <c r="P32" s="3227" t="s">
        <v>299</v>
      </c>
      <c r="Q32" s="3227" t="s">
        <v>2974</v>
      </c>
      <c r="R32" s="3234" t="s">
        <v>2975</v>
      </c>
    </row>
    <row r="33" spans="1:17" ht="14.25" customHeight="1" thickBot="1">
      <c r="A33" s="3227" t="s">
        <v>296</v>
      </c>
      <c r="B33" s="3228" t="s">
        <v>147</v>
      </c>
      <c r="C33" s="3227">
        <v>27300</v>
      </c>
      <c r="D33" s="3227">
        <v>22980</v>
      </c>
      <c r="E33" s="3227">
        <v>24260</v>
      </c>
      <c r="F33" s="3227">
        <v>5860</v>
      </c>
      <c r="G33" s="3240">
        <v>16090</v>
      </c>
      <c r="L33" s="3234" t="s">
        <v>2976</v>
      </c>
      <c r="M33" s="3227" t="s">
        <v>2977</v>
      </c>
      <c r="N33" s="3227" t="s">
        <v>301</v>
      </c>
      <c r="O33" s="3227" t="s">
        <v>2978</v>
      </c>
      <c r="P33" s="3227" t="s">
        <v>2979</v>
      </c>
      <c r="Q33" s="3227" t="s">
        <v>2980</v>
      </c>
    </row>
    <row r="34" spans="1:17" ht="14.25" customHeight="1">
      <c r="A34" s="3227" t="s">
        <v>296</v>
      </c>
      <c r="B34" s="3228" t="s">
        <v>156</v>
      </c>
      <c r="C34" s="3227">
        <v>23090</v>
      </c>
      <c r="D34" s="3227">
        <v>23390</v>
      </c>
      <c r="E34" s="3227">
        <v>23510</v>
      </c>
      <c r="F34" s="3227">
        <v>6700</v>
      </c>
      <c r="G34" s="3240">
        <v>16370</v>
      </c>
      <c r="M34" s="3227" t="s">
        <v>2981</v>
      </c>
      <c r="N34" s="3227" t="s">
        <v>302</v>
      </c>
      <c r="O34" s="3227" t="s">
        <v>2982</v>
      </c>
      <c r="P34" s="3227" t="s">
        <v>2983</v>
      </c>
      <c r="Q34" s="3227" t="s">
        <v>2984</v>
      </c>
    </row>
    <row r="35" spans="1:17" ht="14.25" customHeight="1">
      <c r="A35" s="3227" t="s">
        <v>296</v>
      </c>
      <c r="B35" s="3228" t="s">
        <v>163</v>
      </c>
      <c r="C35" s="3227">
        <v>27270</v>
      </c>
      <c r="D35" s="3227">
        <v>24270</v>
      </c>
      <c r="E35" s="3227">
        <v>24950</v>
      </c>
      <c r="F35" s="3227">
        <v>6600</v>
      </c>
      <c r="G35" s="3240">
        <v>16990</v>
      </c>
      <c r="M35" s="3227" t="s">
        <v>2985</v>
      </c>
      <c r="N35" s="3227" t="s">
        <v>2986</v>
      </c>
      <c r="O35" s="3227" t="s">
        <v>2987</v>
      </c>
      <c r="P35" s="3227" t="s">
        <v>2988</v>
      </c>
      <c r="Q35" s="3227" t="s">
        <v>2989</v>
      </c>
    </row>
    <row r="36" spans="1:17" ht="14.25" customHeight="1">
      <c r="A36" s="3227" t="s">
        <v>296</v>
      </c>
      <c r="B36" s="3228" t="s">
        <v>169</v>
      </c>
      <c r="C36" s="3227">
        <v>23490</v>
      </c>
      <c r="D36" s="3227">
        <v>23020</v>
      </c>
      <c r="E36" s="3227">
        <v>25230</v>
      </c>
      <c r="F36" s="3227">
        <v>6780</v>
      </c>
      <c r="G36" s="3240">
        <v>16120</v>
      </c>
      <c r="M36" s="3227" t="s">
        <v>2990</v>
      </c>
      <c r="N36" s="3227" t="s">
        <v>2991</v>
      </c>
      <c r="O36" s="3227" t="s">
        <v>2992</v>
      </c>
      <c r="P36" s="3227" t="s">
        <v>2993</v>
      </c>
      <c r="Q36" s="3227" t="s">
        <v>2994</v>
      </c>
    </row>
    <row r="37" spans="1:17" ht="14.25" customHeight="1">
      <c r="A37" s="3227" t="s">
        <v>296</v>
      </c>
      <c r="B37" s="3228" t="s">
        <v>176</v>
      </c>
      <c r="C37" s="3227">
        <v>24380</v>
      </c>
      <c r="D37" s="3227">
        <v>22240</v>
      </c>
      <c r="E37" s="3227">
        <v>25980</v>
      </c>
      <c r="F37" s="3227">
        <v>8160</v>
      </c>
      <c r="G37" s="3240">
        <v>15570</v>
      </c>
      <c r="M37" s="3227" t="s">
        <v>2995</v>
      </c>
      <c r="N37" s="3227" t="s">
        <v>2996</v>
      </c>
      <c r="O37" s="3227" t="s">
        <v>2997</v>
      </c>
      <c r="P37" s="3227" t="s">
        <v>2998</v>
      </c>
      <c r="Q37" s="3227" t="s">
        <v>2999</v>
      </c>
    </row>
    <row r="38" spans="1:17" ht="14.25" customHeight="1">
      <c r="A38" s="3227" t="s">
        <v>296</v>
      </c>
      <c r="B38" s="3228" t="s">
        <v>186</v>
      </c>
      <c r="C38" s="3227">
        <v>23120</v>
      </c>
      <c r="D38" s="3227">
        <v>24630</v>
      </c>
      <c r="E38" s="3227">
        <v>25030</v>
      </c>
      <c r="F38" s="3227">
        <v>7710</v>
      </c>
      <c r="G38" s="3240">
        <v>17240</v>
      </c>
      <c r="M38" s="3227" t="s">
        <v>3000</v>
      </c>
      <c r="N38" s="3227" t="s">
        <v>3001</v>
      </c>
      <c r="O38" s="3227" t="s">
        <v>3002</v>
      </c>
      <c r="P38" s="3227" t="s">
        <v>3003</v>
      </c>
      <c r="Q38" s="3227" t="s">
        <v>3004</v>
      </c>
    </row>
    <row r="39" spans="1:17" ht="14.25" customHeight="1">
      <c r="A39" s="3227" t="s">
        <v>296</v>
      </c>
      <c r="B39" s="3228" t="s">
        <v>195</v>
      </c>
      <c r="C39" s="3227">
        <v>22330</v>
      </c>
      <c r="D39" s="3227">
        <v>21140</v>
      </c>
      <c r="E39" s="3227">
        <v>23970</v>
      </c>
      <c r="F39" s="3227">
        <v>7940</v>
      </c>
      <c r="G39" s="3240">
        <v>14790</v>
      </c>
      <c r="M39" s="3227" t="s">
        <v>3005</v>
      </c>
      <c r="N39" s="3227" t="s">
        <v>3006</v>
      </c>
      <c r="O39" s="3227" t="s">
        <v>3007</v>
      </c>
      <c r="P39" s="3227" t="s">
        <v>3008</v>
      </c>
      <c r="Q39" s="3227" t="s">
        <v>3009</v>
      </c>
    </row>
    <row r="40" spans="1:17" ht="14.25" customHeight="1">
      <c r="A40" s="3227" t="s">
        <v>296</v>
      </c>
      <c r="B40" s="3228" t="s">
        <v>202</v>
      </c>
      <c r="C40" s="3227">
        <v>24740</v>
      </c>
      <c r="D40" s="3227">
        <v>24690</v>
      </c>
      <c r="E40" s="3227">
        <v>22610</v>
      </c>
      <c r="F40" s="3227"/>
      <c r="G40" s="3240">
        <v>17280</v>
      </c>
      <c r="M40" s="3227" t="s">
        <v>3010</v>
      </c>
      <c r="N40" s="3227" t="s">
        <v>3011</v>
      </c>
      <c r="O40" s="3227" t="s">
        <v>3012</v>
      </c>
      <c r="P40" s="3227" t="s">
        <v>3013</v>
      </c>
      <c r="Q40" s="3227" t="s">
        <v>3014</v>
      </c>
    </row>
    <row r="41" spans="1:17" ht="14.25" customHeight="1" thickBot="1">
      <c r="A41" s="3227" t="s">
        <v>296</v>
      </c>
      <c r="B41" s="3228" t="s">
        <v>209</v>
      </c>
      <c r="C41" s="3227">
        <v>21220</v>
      </c>
      <c r="D41" s="3227">
        <v>21120</v>
      </c>
      <c r="E41" s="3227">
        <v>22590</v>
      </c>
      <c r="F41" s="3227"/>
      <c r="G41" s="3240">
        <v>14780</v>
      </c>
      <c r="M41" s="3234" t="s">
        <v>3015</v>
      </c>
      <c r="N41" s="3227" t="s">
        <v>3016</v>
      </c>
      <c r="O41" s="3227" t="s">
        <v>3017</v>
      </c>
      <c r="P41" s="3227" t="s">
        <v>3018</v>
      </c>
      <c r="Q41" s="3227" t="s">
        <v>3019</v>
      </c>
    </row>
    <row r="42" spans="1:17" ht="14.25" customHeight="1">
      <c r="A42" s="3227" t="s">
        <v>296</v>
      </c>
      <c r="B42" s="3228" t="s">
        <v>215</v>
      </c>
      <c r="C42" s="3227">
        <v>24800</v>
      </c>
      <c r="D42" s="3227">
        <v>22280</v>
      </c>
      <c r="E42" s="3227">
        <v>24350</v>
      </c>
      <c r="F42" s="3227"/>
      <c r="G42" s="3240">
        <v>15590</v>
      </c>
      <c r="N42" s="3227" t="s">
        <v>3020</v>
      </c>
      <c r="O42" s="3227" t="s">
        <v>3021</v>
      </c>
      <c r="P42" s="3227" t="s">
        <v>3022</v>
      </c>
      <c r="Q42" s="3227" t="s">
        <v>3023</v>
      </c>
    </row>
    <row r="43" spans="1:17" ht="14.25" customHeight="1">
      <c r="A43" s="3227" t="s">
        <v>3024</v>
      </c>
      <c r="B43" s="3228" t="s">
        <v>223</v>
      </c>
      <c r="C43" s="3227">
        <v>21210</v>
      </c>
      <c r="D43" s="3227">
        <v>21160</v>
      </c>
      <c r="E43" s="3227">
        <v>22650</v>
      </c>
      <c r="F43" s="3227"/>
      <c r="G43" s="3240">
        <v>14800</v>
      </c>
      <c r="N43" s="3227" t="s">
        <v>3025</v>
      </c>
      <c r="O43" s="3227" t="s">
        <v>3026</v>
      </c>
      <c r="P43" s="3227" t="s">
        <v>3027</v>
      </c>
      <c r="Q43" s="3227" t="s">
        <v>3028</v>
      </c>
    </row>
    <row r="44" spans="1:17" ht="14.25" customHeight="1" thickBot="1">
      <c r="A44" s="3227" t="s">
        <v>296</v>
      </c>
      <c r="B44" s="3228" t="s">
        <v>231</v>
      </c>
      <c r="C44" s="3227">
        <v>22370</v>
      </c>
      <c r="D44" s="3227">
        <v>23140</v>
      </c>
      <c r="E44" s="3227">
        <v>25090</v>
      </c>
      <c r="F44" s="3227"/>
      <c r="G44" s="3240">
        <v>16190</v>
      </c>
      <c r="N44" s="3227" t="s">
        <v>3029</v>
      </c>
      <c r="O44" s="3227" t="s">
        <v>3030</v>
      </c>
      <c r="P44" s="3234" t="s">
        <v>3031</v>
      </c>
      <c r="Q44" s="3227" t="s">
        <v>3032</v>
      </c>
    </row>
    <row r="45" spans="1:17" ht="14.25" customHeight="1" thickBot="1">
      <c r="A45" s="3227" t="s">
        <v>296</v>
      </c>
      <c r="B45" s="3228" t="s">
        <v>236</v>
      </c>
      <c r="C45" s="3227">
        <v>21240</v>
      </c>
      <c r="D45" s="3227">
        <v>27050</v>
      </c>
      <c r="E45" s="3227">
        <v>28000</v>
      </c>
      <c r="F45" s="3227"/>
      <c r="G45" s="3240">
        <v>18940</v>
      </c>
      <c r="N45" s="3227" t="s">
        <v>3033</v>
      </c>
      <c r="O45" s="3234" t="s">
        <v>3034</v>
      </c>
      <c r="Q45" s="3227" t="s">
        <v>3035</v>
      </c>
    </row>
    <row r="46" spans="1:17" ht="14.25" customHeight="1">
      <c r="A46" s="3227" t="s">
        <v>296</v>
      </c>
      <c r="B46" s="3228" t="s">
        <v>245</v>
      </c>
      <c r="C46" s="3227">
        <v>23240</v>
      </c>
      <c r="D46" s="3227">
        <v>23000</v>
      </c>
      <c r="E46" s="3227">
        <v>24980</v>
      </c>
      <c r="F46" s="3227"/>
      <c r="G46" s="3240">
        <v>16100</v>
      </c>
      <c r="N46" s="3227" t="s">
        <v>3036</v>
      </c>
      <c r="Q46" s="3227" t="s">
        <v>3037</v>
      </c>
    </row>
    <row r="47" spans="1:17" ht="14.25" customHeight="1">
      <c r="A47" s="3227" t="s">
        <v>296</v>
      </c>
      <c r="B47" s="3228" t="s">
        <v>252</v>
      </c>
      <c r="C47" s="3227">
        <v>27150</v>
      </c>
      <c r="D47" s="3227">
        <v>23310</v>
      </c>
      <c r="E47" s="3227">
        <v>25150</v>
      </c>
      <c r="F47" s="3227"/>
      <c r="G47" s="3240">
        <v>16310</v>
      </c>
      <c r="N47" s="3227" t="s">
        <v>3038</v>
      </c>
      <c r="Q47" s="3227" t="s">
        <v>3039</v>
      </c>
    </row>
    <row r="48" spans="1:17" ht="14.25" customHeight="1">
      <c r="A48" s="3227" t="s">
        <v>296</v>
      </c>
      <c r="B48" s="3228" t="s">
        <v>260</v>
      </c>
      <c r="C48" s="3227">
        <v>23100</v>
      </c>
      <c r="D48" s="3227">
        <v>21110</v>
      </c>
      <c r="E48" s="3227">
        <v>23080</v>
      </c>
      <c r="F48" s="3227"/>
      <c r="G48" s="3240">
        <v>14780</v>
      </c>
      <c r="N48" s="3227" t="s">
        <v>3040</v>
      </c>
      <c r="Q48" s="3227" t="s">
        <v>3041</v>
      </c>
    </row>
    <row r="49" spans="1:17" ht="14.25" customHeight="1">
      <c r="A49" s="3227" t="s">
        <v>296</v>
      </c>
      <c r="B49" s="3228" t="s">
        <v>267</v>
      </c>
      <c r="C49" s="3227">
        <v>23400</v>
      </c>
      <c r="D49" s="3227">
        <v>22920</v>
      </c>
      <c r="E49" s="3227">
        <v>24900</v>
      </c>
      <c r="F49" s="3227"/>
      <c r="G49" s="3240">
        <v>16040</v>
      </c>
      <c r="N49" s="3227" t="s">
        <v>3042</v>
      </c>
      <c r="Q49" s="3227" t="s">
        <v>3043</v>
      </c>
    </row>
    <row r="50" spans="1:17" ht="14.25" customHeight="1">
      <c r="A50" s="3227" t="s">
        <v>296</v>
      </c>
      <c r="B50" s="3228" t="s">
        <v>2920</v>
      </c>
      <c r="C50" s="3227">
        <v>21200</v>
      </c>
      <c r="D50" s="3227">
        <v>26540</v>
      </c>
      <c r="E50" s="3227">
        <v>23200</v>
      </c>
      <c r="F50" s="3227"/>
      <c r="G50" s="3240">
        <v>18580</v>
      </c>
      <c r="N50" s="3227" t="s">
        <v>3044</v>
      </c>
      <c r="Q50" s="3228" t="s">
        <v>3045</v>
      </c>
    </row>
    <row r="51" spans="1:17" ht="14.25" customHeight="1" thickBot="1">
      <c r="A51" s="3227" t="s">
        <v>296</v>
      </c>
      <c r="B51" s="3228" t="s">
        <v>2922</v>
      </c>
      <c r="C51" s="3227">
        <v>23000</v>
      </c>
      <c r="D51" s="3227">
        <v>23460</v>
      </c>
      <c r="E51" s="3227">
        <v>25290</v>
      </c>
      <c r="F51" s="3227"/>
      <c r="G51" s="3240">
        <v>16420</v>
      </c>
      <c r="N51" s="3227" t="s">
        <v>3046</v>
      </c>
      <c r="Q51" s="3234" t="s">
        <v>3047</v>
      </c>
    </row>
    <row r="52" spans="1:17" ht="14.25" customHeight="1">
      <c r="A52" s="3227" t="s">
        <v>296</v>
      </c>
      <c r="B52" s="3228" t="s">
        <v>2926</v>
      </c>
      <c r="C52" s="3227">
        <v>26660</v>
      </c>
      <c r="D52" s="3227">
        <v>22350</v>
      </c>
      <c r="E52" s="3227">
        <v>22920</v>
      </c>
      <c r="F52" s="3227"/>
      <c r="G52" s="3240">
        <v>15640</v>
      </c>
      <c r="N52" s="3227" t="s">
        <v>3048</v>
      </c>
    </row>
    <row r="53" spans="1:17" ht="14.25" customHeight="1">
      <c r="A53" s="3227" t="s">
        <v>296</v>
      </c>
      <c r="B53" s="3228" t="s">
        <v>2931</v>
      </c>
      <c r="C53" s="3227">
        <v>23580</v>
      </c>
      <c r="D53" s="3227"/>
      <c r="E53" s="3227">
        <v>24280</v>
      </c>
      <c r="F53" s="3227"/>
      <c r="G53" s="3240"/>
      <c r="N53" s="3227" t="s">
        <v>3049</v>
      </c>
    </row>
    <row r="54" spans="1:17" ht="14.25" customHeight="1" thickBot="1">
      <c r="A54" s="3241" t="s">
        <v>296</v>
      </c>
      <c r="B54" s="3233" t="s">
        <v>2934</v>
      </c>
      <c r="C54" s="3234">
        <v>22460</v>
      </c>
      <c r="D54" s="3234"/>
      <c r="E54" s="3234"/>
      <c r="F54" s="3234"/>
      <c r="G54" s="3242"/>
      <c r="N54" s="3227" t="s">
        <v>3050</v>
      </c>
    </row>
    <row r="55" spans="1:17" ht="14.25" customHeight="1">
      <c r="A55" s="3232" t="s">
        <v>110</v>
      </c>
      <c r="B55" s="3223" t="s">
        <v>3051</v>
      </c>
      <c r="C55" s="3227">
        <v>21970</v>
      </c>
      <c r="D55" s="3227">
        <v>20370</v>
      </c>
      <c r="E55" s="3227">
        <v>20180</v>
      </c>
      <c r="F55" s="3227">
        <v>5730</v>
      </c>
      <c r="G55" s="3227">
        <v>13820</v>
      </c>
      <c r="N55" s="3227" t="s">
        <v>3052</v>
      </c>
    </row>
    <row r="56" spans="1:17" ht="14.25" customHeight="1">
      <c r="A56" s="3227" t="s">
        <v>110</v>
      </c>
      <c r="B56" s="3227" t="s">
        <v>130</v>
      </c>
      <c r="C56" s="3227">
        <v>20470</v>
      </c>
      <c r="D56" s="3227">
        <v>20700</v>
      </c>
      <c r="E56" s="3227">
        <v>20380</v>
      </c>
      <c r="F56" s="3227">
        <v>4760</v>
      </c>
      <c r="G56" s="3227">
        <v>14050</v>
      </c>
      <c r="N56" s="3227" t="s">
        <v>3053</v>
      </c>
    </row>
    <row r="57" spans="1:17" ht="14.25" customHeight="1">
      <c r="A57" s="3227" t="s">
        <v>110</v>
      </c>
      <c r="B57" s="3227" t="s">
        <v>139</v>
      </c>
      <c r="C57" s="3227">
        <v>20790</v>
      </c>
      <c r="D57" s="3227">
        <v>21370</v>
      </c>
      <c r="E57" s="3227">
        <v>20890</v>
      </c>
      <c r="F57" s="3227">
        <v>4910</v>
      </c>
      <c r="G57" s="3227">
        <v>14510</v>
      </c>
      <c r="N57" s="3227" t="s">
        <v>3054</v>
      </c>
    </row>
    <row r="58" spans="1:17" ht="14.25" customHeight="1">
      <c r="A58" s="3227" t="s">
        <v>110</v>
      </c>
      <c r="B58" s="3227" t="s">
        <v>148</v>
      </c>
      <c r="C58" s="3227">
        <v>21460</v>
      </c>
      <c r="D58" s="3227">
        <v>20920</v>
      </c>
      <c r="E58" s="3227">
        <v>23410</v>
      </c>
      <c r="F58" s="3227">
        <v>5100</v>
      </c>
      <c r="G58" s="3227">
        <v>14200</v>
      </c>
      <c r="N58" s="3227" t="s">
        <v>3055</v>
      </c>
    </row>
    <row r="59" spans="1:17" ht="14.25" customHeight="1">
      <c r="A59" s="3227" t="s">
        <v>110</v>
      </c>
      <c r="B59" s="3227" t="s">
        <v>157</v>
      </c>
      <c r="C59" s="3227">
        <v>21000</v>
      </c>
      <c r="D59" s="3227">
        <v>21550</v>
      </c>
      <c r="E59" s="3227">
        <v>21150</v>
      </c>
      <c r="F59" s="3227">
        <v>5250</v>
      </c>
      <c r="G59" s="3227">
        <v>14630</v>
      </c>
      <c r="N59" s="3227" t="s">
        <v>3056</v>
      </c>
    </row>
    <row r="60" spans="1:17" ht="14.25" customHeight="1">
      <c r="A60" s="3227" t="s">
        <v>110</v>
      </c>
      <c r="B60" s="3227" t="s">
        <v>164</v>
      </c>
      <c r="C60" s="3227">
        <v>21640</v>
      </c>
      <c r="D60" s="3227">
        <v>21260</v>
      </c>
      <c r="E60" s="3227">
        <v>24040</v>
      </c>
      <c r="F60" s="3227">
        <v>4470</v>
      </c>
      <c r="G60" s="3227">
        <v>14430</v>
      </c>
      <c r="N60" s="3227" t="s">
        <v>3057</v>
      </c>
    </row>
    <row r="61" spans="1:17" ht="14.25" customHeight="1">
      <c r="A61" s="3227" t="s">
        <v>110</v>
      </c>
      <c r="B61" s="3227" t="s">
        <v>170</v>
      </c>
      <c r="C61" s="3227">
        <v>21330</v>
      </c>
      <c r="D61" s="3227">
        <v>18640</v>
      </c>
      <c r="E61" s="3227">
        <v>21190</v>
      </c>
      <c r="F61" s="3227">
        <v>4180</v>
      </c>
      <c r="G61" s="3227">
        <v>12650</v>
      </c>
      <c r="N61" s="3227" t="s">
        <v>3058</v>
      </c>
    </row>
    <row r="62" spans="1:17" ht="14.25" customHeight="1">
      <c r="A62" s="3227" t="s">
        <v>110</v>
      </c>
      <c r="B62" s="3227" t="s">
        <v>177</v>
      </c>
      <c r="C62" s="3227">
        <v>18710</v>
      </c>
      <c r="D62" s="3227">
        <v>19400</v>
      </c>
      <c r="E62" s="3227">
        <v>23750</v>
      </c>
      <c r="F62" s="3227">
        <v>4860</v>
      </c>
      <c r="G62" s="3227">
        <v>13170</v>
      </c>
      <c r="N62" s="3227" t="s">
        <v>3059</v>
      </c>
    </row>
    <row r="63" spans="1:17" ht="14.25" customHeight="1">
      <c r="A63" s="3227" t="s">
        <v>110</v>
      </c>
      <c r="B63" s="3227" t="s">
        <v>187</v>
      </c>
      <c r="C63" s="3227">
        <v>19480</v>
      </c>
      <c r="D63" s="3227">
        <v>16830</v>
      </c>
      <c r="E63" s="3227">
        <v>21590</v>
      </c>
      <c r="F63" s="3227">
        <v>4560</v>
      </c>
      <c r="G63" s="3227">
        <v>11420</v>
      </c>
      <c r="N63" s="3227" t="s">
        <v>3060</v>
      </c>
    </row>
    <row r="64" spans="1:17" ht="14.25" customHeight="1" thickBot="1">
      <c r="A64" s="3227" t="s">
        <v>110</v>
      </c>
      <c r="B64" s="3227" t="s">
        <v>196</v>
      </c>
      <c r="C64" s="3227">
        <v>16920</v>
      </c>
      <c r="D64" s="3227">
        <v>19190</v>
      </c>
      <c r="E64" s="3227">
        <v>22200</v>
      </c>
      <c r="F64" s="3227">
        <v>4390</v>
      </c>
      <c r="G64" s="3227">
        <v>13030</v>
      </c>
      <c r="N64" s="3234" t="s">
        <v>3061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2932</v>
      </c>
      <c r="C78" s="3227">
        <v>19820</v>
      </c>
      <c r="D78" s="3227">
        <v>19780</v>
      </c>
      <c r="E78" s="3227">
        <v>18560</v>
      </c>
      <c r="F78" s="3227"/>
      <c r="G78" s="3227">
        <v>13430</v>
      </c>
    </row>
    <row r="79" spans="1:7" s="3216" customFormat="1" ht="14.25" customHeight="1">
      <c r="A79" s="3227" t="s">
        <v>110</v>
      </c>
      <c r="B79" s="3227" t="s">
        <v>2935</v>
      </c>
      <c r="C79" s="3227">
        <v>21660</v>
      </c>
      <c r="D79" s="3227">
        <v>18000</v>
      </c>
      <c r="E79" s="3227">
        <v>22570</v>
      </c>
      <c r="F79" s="3227"/>
      <c r="G79" s="3227">
        <v>12220</v>
      </c>
    </row>
    <row r="80" spans="1:7" s="3216" customFormat="1" ht="14.25" customHeight="1">
      <c r="A80" s="3227" t="s">
        <v>110</v>
      </c>
      <c r="B80" s="3227" t="s">
        <v>2939</v>
      </c>
      <c r="C80" s="3227">
        <v>19850</v>
      </c>
      <c r="D80" s="3227"/>
      <c r="E80" s="3227">
        <v>21700</v>
      </c>
      <c r="F80" s="3227"/>
      <c r="G80" s="3227"/>
    </row>
    <row r="81" spans="1:7" s="3216" customFormat="1" ht="14.25" customHeight="1">
      <c r="A81" s="3227" t="s">
        <v>110</v>
      </c>
      <c r="B81" s="3227" t="s">
        <v>2944</v>
      </c>
      <c r="C81" s="3227">
        <v>18080</v>
      </c>
      <c r="D81" s="3227"/>
      <c r="E81" s="3227">
        <v>20900</v>
      </c>
      <c r="F81" s="3227"/>
      <c r="G81" s="3227"/>
    </row>
    <row r="82" spans="1:7" s="3216" customFormat="1" ht="14.25" customHeight="1">
      <c r="A82" s="3227" t="s">
        <v>110</v>
      </c>
      <c r="B82" s="3227" t="s">
        <v>2951</v>
      </c>
      <c r="C82" s="3227"/>
      <c r="D82" s="3227"/>
      <c r="E82" s="3227">
        <v>20840</v>
      </c>
      <c r="F82" s="3227"/>
      <c r="G82" s="3227"/>
    </row>
    <row r="83" spans="1:7" s="3216" customFormat="1" ht="14.25" customHeight="1">
      <c r="A83" s="3227" t="s">
        <v>110</v>
      </c>
      <c r="B83" s="3227" t="s">
        <v>3062</v>
      </c>
      <c r="C83" s="3227"/>
      <c r="D83" s="3227"/>
      <c r="E83" s="3227"/>
      <c r="F83" s="3227">
        <v>4770</v>
      </c>
      <c r="G83" s="3227"/>
    </row>
    <row r="84" spans="1:7" s="3216" customFormat="1" ht="14.25" customHeight="1">
      <c r="A84" s="3227" t="s">
        <v>110</v>
      </c>
      <c r="B84" s="3227" t="s">
        <v>3063</v>
      </c>
      <c r="C84" s="3227"/>
      <c r="D84" s="3227"/>
      <c r="E84" s="3227"/>
      <c r="F84" s="3227">
        <v>4600</v>
      </c>
      <c r="G84" s="3227"/>
    </row>
    <row r="85" spans="1:7" s="3216" customFormat="1" ht="14.25" customHeight="1">
      <c r="A85" s="3227" t="s">
        <v>110</v>
      </c>
      <c r="B85" s="3227" t="s">
        <v>3064</v>
      </c>
      <c r="C85" s="3227"/>
      <c r="D85" s="3227"/>
      <c r="E85" s="3227"/>
      <c r="F85" s="3227">
        <v>4680</v>
      </c>
      <c r="G85" s="3227"/>
    </row>
    <row r="86" spans="1:7" s="3216" customFormat="1" ht="14.25" customHeight="1" thickBot="1">
      <c r="A86" s="3235" t="s">
        <v>110</v>
      </c>
      <c r="B86" s="3237" t="s">
        <v>3065</v>
      </c>
      <c r="C86" s="3238">
        <v>16610</v>
      </c>
      <c r="D86" s="3238">
        <v>16540</v>
      </c>
      <c r="E86" s="3238">
        <v>18850</v>
      </c>
      <c r="F86" s="3238"/>
      <c r="G86" s="3238">
        <v>11220</v>
      </c>
    </row>
    <row r="87" spans="1:7" s="3216" customFormat="1" ht="14.25" customHeight="1">
      <c r="A87" s="3232" t="s">
        <v>303</v>
      </c>
      <c r="B87" s="3223" t="s">
        <v>3066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2945</v>
      </c>
      <c r="C113" s="3227">
        <v>15520</v>
      </c>
      <c r="D113" s="3227">
        <v>15450</v>
      </c>
      <c r="E113" s="3227"/>
      <c r="F113" s="3227"/>
      <c r="G113" s="3240">
        <v>10210</v>
      </c>
    </row>
    <row r="114" spans="1:7" s="3216" customFormat="1" ht="14.25" customHeight="1">
      <c r="A114" s="3227" t="s">
        <v>303</v>
      </c>
      <c r="B114" s="3227" t="s">
        <v>2952</v>
      </c>
      <c r="C114" s="3227">
        <v>13110</v>
      </c>
      <c r="D114" s="3227">
        <v>13050</v>
      </c>
      <c r="E114" s="3227"/>
      <c r="F114" s="3227"/>
      <c r="G114" s="3240">
        <v>8620</v>
      </c>
    </row>
    <row r="115" spans="1:7" s="3216" customFormat="1" ht="14.25" customHeight="1">
      <c r="A115" s="3227" t="s">
        <v>303</v>
      </c>
      <c r="B115" s="3227" t="s">
        <v>2958</v>
      </c>
      <c r="C115" s="3227">
        <v>12460</v>
      </c>
      <c r="D115" s="3227">
        <v>12390</v>
      </c>
      <c r="E115" s="3227"/>
      <c r="F115" s="3227"/>
      <c r="G115" s="3240">
        <v>8190</v>
      </c>
    </row>
    <row r="116" spans="1:7" s="3216" customFormat="1" ht="14.25" customHeight="1">
      <c r="A116" s="3227" t="s">
        <v>303</v>
      </c>
      <c r="B116" s="3227" t="s">
        <v>2965</v>
      </c>
      <c r="C116" s="3227">
        <v>13580</v>
      </c>
      <c r="D116" s="3227">
        <v>13520</v>
      </c>
      <c r="E116" s="3227"/>
      <c r="F116" s="3227"/>
      <c r="G116" s="3240">
        <v>8930</v>
      </c>
    </row>
    <row r="117" spans="1:7" s="3216" customFormat="1" ht="14.25" customHeight="1">
      <c r="A117" s="3227" t="s">
        <v>303</v>
      </c>
      <c r="B117" s="3227" t="s">
        <v>2972</v>
      </c>
      <c r="C117" s="3227">
        <v>17120</v>
      </c>
      <c r="D117" s="3227">
        <v>17040</v>
      </c>
      <c r="E117" s="3227"/>
      <c r="F117" s="3227"/>
      <c r="G117" s="3240">
        <v>11260</v>
      </c>
    </row>
    <row r="118" spans="1:7" s="3216" customFormat="1" ht="14.25" customHeight="1">
      <c r="A118" s="3227" t="s">
        <v>303</v>
      </c>
      <c r="B118" s="3227" t="s">
        <v>2977</v>
      </c>
      <c r="C118" s="3227">
        <v>14860</v>
      </c>
      <c r="D118" s="3227">
        <v>14790</v>
      </c>
      <c r="E118" s="3227"/>
      <c r="F118" s="3227"/>
      <c r="G118" s="3240">
        <v>9780</v>
      </c>
    </row>
    <row r="119" spans="1:7" s="3216" customFormat="1" ht="14.25" customHeight="1">
      <c r="A119" s="3227" t="s">
        <v>303</v>
      </c>
      <c r="B119" s="3227" t="s">
        <v>2981</v>
      </c>
      <c r="C119" s="3227">
        <v>16470</v>
      </c>
      <c r="D119" s="3227">
        <v>16400</v>
      </c>
      <c r="E119" s="3227"/>
      <c r="F119" s="3227"/>
      <c r="G119" s="3240">
        <v>10840</v>
      </c>
    </row>
    <row r="120" spans="1:7" s="3216" customFormat="1" ht="14.25" customHeight="1">
      <c r="A120" s="3227" t="s">
        <v>303</v>
      </c>
      <c r="B120" s="3227" t="s">
        <v>3067</v>
      </c>
      <c r="C120" s="3227"/>
      <c r="D120" s="3227"/>
      <c r="E120" s="3227"/>
      <c r="F120" s="3227">
        <v>4160</v>
      </c>
      <c r="G120" s="3240"/>
    </row>
    <row r="121" spans="1:7" s="3216" customFormat="1" ht="14.25" customHeight="1">
      <c r="A121" s="3227" t="s">
        <v>303</v>
      </c>
      <c r="B121" s="3227" t="s">
        <v>3068</v>
      </c>
      <c r="C121" s="3227"/>
      <c r="D121" s="3227"/>
      <c r="E121" s="3227"/>
      <c r="F121" s="3227">
        <v>3880</v>
      </c>
      <c r="G121" s="3240"/>
    </row>
    <row r="122" spans="1:7" s="3216" customFormat="1" ht="14.25" customHeight="1">
      <c r="A122" s="3227" t="s">
        <v>303</v>
      </c>
      <c r="B122" s="3227" t="s">
        <v>3069</v>
      </c>
      <c r="C122" s="3227">
        <v>13750</v>
      </c>
      <c r="D122" s="3227">
        <v>13680</v>
      </c>
      <c r="E122" s="3227">
        <v>16460</v>
      </c>
      <c r="F122" s="3227">
        <v>2880</v>
      </c>
      <c r="G122" s="3240">
        <v>9040</v>
      </c>
    </row>
    <row r="123" spans="1:7" s="3216" customFormat="1" ht="14.25" customHeight="1">
      <c r="A123" s="3227" t="s">
        <v>303</v>
      </c>
      <c r="B123" s="3227" t="s">
        <v>3000</v>
      </c>
      <c r="C123" s="3227">
        <v>13590</v>
      </c>
      <c r="D123" s="3227">
        <v>13520</v>
      </c>
      <c r="E123" s="3227">
        <v>16290</v>
      </c>
      <c r="F123" s="3227">
        <v>2790</v>
      </c>
      <c r="G123" s="3240">
        <v>8930</v>
      </c>
    </row>
    <row r="124" spans="1:7" s="3216" customFormat="1" ht="14.25" customHeight="1">
      <c r="A124" s="3227" t="s">
        <v>303</v>
      </c>
      <c r="B124" s="3227" t="s">
        <v>3005</v>
      </c>
      <c r="C124" s="3227">
        <v>13400</v>
      </c>
      <c r="D124" s="3227">
        <v>13320</v>
      </c>
      <c r="E124" s="3227">
        <v>16100</v>
      </c>
      <c r="F124" s="3227">
        <v>2320</v>
      </c>
      <c r="G124" s="3240">
        <v>8800</v>
      </c>
    </row>
    <row r="125" spans="1:7" s="3216" customFormat="1" ht="14.25" customHeight="1">
      <c r="A125" s="3227" t="s">
        <v>303</v>
      </c>
      <c r="B125" s="3227" t="s">
        <v>3010</v>
      </c>
      <c r="C125" s="3227">
        <v>12860</v>
      </c>
      <c r="D125" s="3227">
        <v>12790</v>
      </c>
      <c r="E125" s="3227">
        <v>15370</v>
      </c>
      <c r="F125" s="3227">
        <v>2280</v>
      </c>
      <c r="G125" s="3240">
        <v>8450</v>
      </c>
    </row>
    <row r="126" spans="1:7" s="3216" customFormat="1" ht="14.25" customHeight="1" thickBot="1">
      <c r="A126" s="3241" t="s">
        <v>303</v>
      </c>
      <c r="B126" s="3234" t="s">
        <v>3015</v>
      </c>
      <c r="C126" s="3234">
        <v>12960</v>
      </c>
      <c r="D126" s="3234">
        <v>12890</v>
      </c>
      <c r="E126" s="3234">
        <v>15530</v>
      </c>
      <c r="F126" s="3234">
        <v>2910</v>
      </c>
      <c r="G126" s="3242">
        <v>8520</v>
      </c>
    </row>
    <row r="127" spans="1:7" s="3216" customFormat="1" ht="14.25" customHeight="1">
      <c r="A127" s="3232" t="s">
        <v>29</v>
      </c>
      <c r="B127" s="3223" t="s">
        <v>3070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3071</v>
      </c>
      <c r="C148" s="3227">
        <v>10370</v>
      </c>
      <c r="D148" s="3227">
        <v>10310</v>
      </c>
      <c r="E148" s="3227">
        <v>12970</v>
      </c>
      <c r="F148" s="3227"/>
      <c r="G148" s="3227">
        <v>6630</v>
      </c>
    </row>
    <row r="149" spans="1:7" s="3216" customFormat="1" ht="14.25" customHeight="1">
      <c r="A149" s="3227" t="s">
        <v>29</v>
      </c>
      <c r="B149" s="3227" t="s">
        <v>3072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2946</v>
      </c>
      <c r="C153" s="3227">
        <v>10880</v>
      </c>
      <c r="D153" s="3227">
        <v>10820</v>
      </c>
      <c r="E153" s="3227">
        <v>13660</v>
      </c>
      <c r="F153" s="3227">
        <v>2260</v>
      </c>
      <c r="G153" s="3227">
        <v>6970</v>
      </c>
    </row>
    <row r="154" spans="1:7" s="3216" customFormat="1" ht="14.25" customHeight="1">
      <c r="A154" s="3227" t="s">
        <v>29</v>
      </c>
      <c r="B154" s="3227" t="s">
        <v>3073</v>
      </c>
      <c r="C154" s="3227">
        <v>11220</v>
      </c>
      <c r="D154" s="3227">
        <v>11160</v>
      </c>
      <c r="E154" s="3227">
        <v>14130</v>
      </c>
      <c r="F154" s="3227">
        <v>2230</v>
      </c>
      <c r="G154" s="3227">
        <v>7180</v>
      </c>
    </row>
    <row r="155" spans="1:7" s="3216" customFormat="1" ht="14.25" customHeight="1">
      <c r="A155" s="3227" t="s">
        <v>29</v>
      </c>
      <c r="B155" s="3227" t="s">
        <v>2959</v>
      </c>
      <c r="C155" s="3227">
        <v>10430</v>
      </c>
      <c r="D155" s="3227">
        <v>10380</v>
      </c>
      <c r="E155" s="3227">
        <v>13140</v>
      </c>
      <c r="F155" s="3227">
        <v>2080</v>
      </c>
      <c r="G155" s="3227">
        <v>6650</v>
      </c>
    </row>
    <row r="156" spans="1:7" s="3216" customFormat="1" ht="14.25" customHeight="1">
      <c r="A156" s="3227" t="s">
        <v>29</v>
      </c>
      <c r="B156" s="3227" t="s">
        <v>3074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3075</v>
      </c>
      <c r="C160" s="3227">
        <v>11180</v>
      </c>
      <c r="D160" s="3227">
        <v>11140</v>
      </c>
      <c r="E160" s="3227">
        <v>14050</v>
      </c>
      <c r="F160" s="3227">
        <v>2270</v>
      </c>
      <c r="G160" s="3227">
        <v>7170</v>
      </c>
    </row>
    <row r="161" spans="1:7" s="3216" customFormat="1" ht="14.25" customHeight="1">
      <c r="A161" s="3227" t="s">
        <v>29</v>
      </c>
      <c r="B161" s="3227" t="s">
        <v>2991</v>
      </c>
      <c r="C161" s="3227">
        <v>11160</v>
      </c>
      <c r="D161" s="3227">
        <v>11120</v>
      </c>
      <c r="E161" s="3227">
        <v>14020</v>
      </c>
      <c r="F161" s="3227">
        <v>2150</v>
      </c>
      <c r="G161" s="3227">
        <v>7160</v>
      </c>
    </row>
    <row r="162" spans="1:7" s="3216" customFormat="1" ht="14.25" customHeight="1">
      <c r="A162" s="3227" t="s">
        <v>29</v>
      </c>
      <c r="B162" s="3227" t="s">
        <v>2996</v>
      </c>
      <c r="C162" s="3227">
        <v>9620</v>
      </c>
      <c r="D162" s="3227">
        <v>9570</v>
      </c>
      <c r="E162" s="3227">
        <v>12320</v>
      </c>
      <c r="F162" s="3227">
        <v>2010</v>
      </c>
      <c r="G162" s="3227">
        <v>6160</v>
      </c>
    </row>
    <row r="163" spans="1:7" s="3216" customFormat="1" ht="14.25" customHeight="1">
      <c r="A163" s="3227" t="s">
        <v>29</v>
      </c>
      <c r="B163" s="3227" t="s">
        <v>3001</v>
      </c>
      <c r="C163" s="3227">
        <v>9320</v>
      </c>
      <c r="D163" s="3227">
        <v>9270</v>
      </c>
      <c r="E163" s="3227">
        <v>11790</v>
      </c>
      <c r="F163" s="3227">
        <v>1920</v>
      </c>
      <c r="G163" s="3227">
        <v>5960</v>
      </c>
    </row>
    <row r="164" spans="1:7" s="3216" customFormat="1" ht="14.25" customHeight="1">
      <c r="A164" s="3227" t="s">
        <v>29</v>
      </c>
      <c r="B164" s="3227" t="s">
        <v>3006</v>
      </c>
      <c r="C164" s="3227"/>
      <c r="D164" s="3227"/>
      <c r="E164" s="3227"/>
      <c r="F164" s="3227">
        <v>1980</v>
      </c>
      <c r="G164" s="3227"/>
    </row>
    <row r="165" spans="1:7" s="3216" customFormat="1" ht="14.25" customHeight="1">
      <c r="A165" s="3227" t="s">
        <v>29</v>
      </c>
      <c r="B165" s="3227" t="s">
        <v>3076</v>
      </c>
      <c r="C165" s="3227">
        <v>11060</v>
      </c>
      <c r="D165" s="3227">
        <v>11030</v>
      </c>
      <c r="E165" s="3227">
        <v>13850</v>
      </c>
      <c r="F165" s="3227">
        <v>2170</v>
      </c>
      <c r="G165" s="3227">
        <v>7090</v>
      </c>
    </row>
    <row r="166" spans="1:7" s="3216" customFormat="1" ht="14.25" customHeight="1">
      <c r="A166" s="3227" t="s">
        <v>29</v>
      </c>
      <c r="B166" s="3227" t="s">
        <v>3016</v>
      </c>
      <c r="C166" s="3227">
        <v>11050</v>
      </c>
      <c r="D166" s="3227">
        <v>11010</v>
      </c>
      <c r="E166" s="3227">
        <v>13920</v>
      </c>
      <c r="F166" s="3227">
        <v>2140</v>
      </c>
      <c r="G166" s="3227">
        <v>7080</v>
      </c>
    </row>
    <row r="167" spans="1:7" s="3216" customFormat="1" ht="14.25" customHeight="1">
      <c r="A167" s="3227" t="s">
        <v>29</v>
      </c>
      <c r="B167" s="3227" t="s">
        <v>3020</v>
      </c>
      <c r="C167" s="3227">
        <v>10930</v>
      </c>
      <c r="D167" s="3227">
        <v>10890</v>
      </c>
      <c r="E167" s="3227">
        <v>13790</v>
      </c>
      <c r="F167" s="3227">
        <v>2010</v>
      </c>
      <c r="G167" s="3227">
        <v>7000</v>
      </c>
    </row>
    <row r="168" spans="1:7" s="3216" customFormat="1" ht="14.25" customHeight="1">
      <c r="A168" s="3227" t="s">
        <v>29</v>
      </c>
      <c r="B168" s="3227" t="s">
        <v>3025</v>
      </c>
      <c r="C168" s="3227">
        <v>9420</v>
      </c>
      <c r="D168" s="3227">
        <v>9380</v>
      </c>
      <c r="E168" s="3227">
        <v>11970</v>
      </c>
      <c r="F168" s="3227"/>
      <c r="G168" s="3227">
        <v>6040</v>
      </c>
    </row>
    <row r="169" spans="1:7" s="3216" customFormat="1" ht="14.25" customHeight="1">
      <c r="A169" s="3227" t="s">
        <v>29</v>
      </c>
      <c r="B169" s="3227" t="s">
        <v>3077</v>
      </c>
      <c r="C169" s="3227"/>
      <c r="D169" s="3227"/>
      <c r="E169" s="3227"/>
      <c r="F169" s="3227">
        <v>2880</v>
      </c>
      <c r="G169" s="3227"/>
    </row>
    <row r="170" spans="1:7" s="3216" customFormat="1" ht="14.25" customHeight="1">
      <c r="A170" s="3227" t="s">
        <v>29</v>
      </c>
      <c r="B170" s="3227" t="s">
        <v>3033</v>
      </c>
      <c r="C170" s="3227"/>
      <c r="D170" s="3227"/>
      <c r="E170" s="3227"/>
      <c r="F170" s="3227">
        <v>2880</v>
      </c>
      <c r="G170" s="3227"/>
    </row>
    <row r="171" spans="1:7" s="3216" customFormat="1" ht="14.25" customHeight="1">
      <c r="A171" s="3227" t="s">
        <v>29</v>
      </c>
      <c r="B171" s="3227" t="s">
        <v>3036</v>
      </c>
      <c r="C171" s="3227"/>
      <c r="D171" s="3227"/>
      <c r="E171" s="3227"/>
      <c r="F171" s="3227">
        <v>2880</v>
      </c>
      <c r="G171" s="3227"/>
    </row>
    <row r="172" spans="1:7" s="3216" customFormat="1" ht="14.25" customHeight="1">
      <c r="A172" s="3227" t="s">
        <v>29</v>
      </c>
      <c r="B172" s="3227" t="s">
        <v>3038</v>
      </c>
      <c r="C172" s="3227"/>
      <c r="D172" s="3227"/>
      <c r="E172" s="3227"/>
      <c r="F172" s="3227">
        <v>2880</v>
      </c>
      <c r="G172" s="3227"/>
    </row>
    <row r="173" spans="1:7" s="3216" customFormat="1" ht="14.25" customHeight="1">
      <c r="A173" s="3227" t="s">
        <v>29</v>
      </c>
      <c r="B173" s="3227" t="s">
        <v>3040</v>
      </c>
      <c r="C173" s="3227"/>
      <c r="D173" s="3227"/>
      <c r="E173" s="3227"/>
      <c r="F173" s="3227">
        <v>2150</v>
      </c>
      <c r="G173" s="3227"/>
    </row>
    <row r="174" spans="1:7" s="3216" customFormat="1" ht="14.25" customHeight="1">
      <c r="A174" s="3227" t="s">
        <v>29</v>
      </c>
      <c r="B174" s="3227" t="s">
        <v>3042</v>
      </c>
      <c r="C174" s="3227"/>
      <c r="D174" s="3227"/>
      <c r="E174" s="3227"/>
      <c r="F174" s="3227">
        <v>2030</v>
      </c>
      <c r="G174" s="3227"/>
    </row>
    <row r="175" spans="1:7" s="3216" customFormat="1" ht="14.25" customHeight="1">
      <c r="A175" s="3227" t="s">
        <v>29</v>
      </c>
      <c r="B175" s="3227" t="s">
        <v>3044</v>
      </c>
      <c r="C175" s="3227"/>
      <c r="D175" s="3227"/>
      <c r="E175" s="3227"/>
      <c r="F175" s="3227">
        <v>2780</v>
      </c>
      <c r="G175" s="3227"/>
    </row>
    <row r="176" spans="1:7" s="3216" customFormat="1" ht="14.25" customHeight="1">
      <c r="A176" s="3227" t="s">
        <v>29</v>
      </c>
      <c r="B176" s="3227" t="s">
        <v>3046</v>
      </c>
      <c r="C176" s="3227"/>
      <c r="D176" s="3227"/>
      <c r="E176" s="3227"/>
      <c r="F176" s="3227">
        <v>2780</v>
      </c>
      <c r="G176" s="3227"/>
    </row>
    <row r="177" spans="1:7" s="3216" customFormat="1" ht="14.25" customHeight="1">
      <c r="A177" s="3227" t="s">
        <v>29</v>
      </c>
      <c r="B177" s="3227" t="s">
        <v>3078</v>
      </c>
      <c r="C177" s="3227"/>
      <c r="D177" s="3227"/>
      <c r="E177" s="3227"/>
      <c r="F177" s="3227">
        <v>2780</v>
      </c>
      <c r="G177" s="3227"/>
    </row>
    <row r="178" spans="1:7" s="3216" customFormat="1" ht="14.25" customHeight="1">
      <c r="A178" s="3227" t="s">
        <v>29</v>
      </c>
      <c r="B178" s="3227" t="s">
        <v>3079</v>
      </c>
      <c r="C178" s="3227"/>
      <c r="D178" s="3227"/>
      <c r="E178" s="3227"/>
      <c r="F178" s="3227">
        <v>2060</v>
      </c>
      <c r="G178" s="3227"/>
    </row>
    <row r="179" spans="1:7" s="3216" customFormat="1" ht="14.25" customHeight="1">
      <c r="A179" s="3227" t="s">
        <v>29</v>
      </c>
      <c r="B179" s="3227" t="s">
        <v>3080</v>
      </c>
      <c r="C179" s="3227"/>
      <c r="D179" s="3227"/>
      <c r="E179" s="3227"/>
      <c r="F179" s="3227">
        <v>2120</v>
      </c>
      <c r="G179" s="3227"/>
    </row>
    <row r="180" spans="1:7" s="3216" customFormat="1" ht="14.25" customHeight="1">
      <c r="A180" s="3227" t="s">
        <v>29</v>
      </c>
      <c r="B180" s="3227" t="s">
        <v>3052</v>
      </c>
      <c r="C180" s="3227"/>
      <c r="D180" s="3227"/>
      <c r="E180" s="3227"/>
      <c r="F180" s="3227">
        <v>2340</v>
      </c>
      <c r="G180" s="3227"/>
    </row>
    <row r="181" spans="1:7" s="3216" customFormat="1" ht="14.25" customHeight="1">
      <c r="A181" s="3227" t="s">
        <v>29</v>
      </c>
      <c r="B181" s="3227" t="s">
        <v>3053</v>
      </c>
      <c r="C181" s="3227"/>
      <c r="D181" s="3227"/>
      <c r="E181" s="3227"/>
      <c r="F181" s="3227">
        <v>2340</v>
      </c>
      <c r="G181" s="3227"/>
    </row>
    <row r="182" spans="1:7" s="3216" customFormat="1" ht="14.25" customHeight="1">
      <c r="A182" s="3227" t="s">
        <v>29</v>
      </c>
      <c r="B182" s="3227" t="s">
        <v>3054</v>
      </c>
      <c r="C182" s="3227"/>
      <c r="D182" s="3227"/>
      <c r="E182" s="3227"/>
      <c r="F182" s="3227">
        <v>2340</v>
      </c>
      <c r="G182" s="3227"/>
    </row>
    <row r="183" spans="1:7" s="3216" customFormat="1" ht="14.25" customHeight="1">
      <c r="A183" s="3227" t="s">
        <v>29</v>
      </c>
      <c r="B183" s="3227" t="s">
        <v>3055</v>
      </c>
      <c r="C183" s="3227"/>
      <c r="D183" s="3227"/>
      <c r="E183" s="3227"/>
      <c r="F183" s="3227">
        <v>2340</v>
      </c>
      <c r="G183" s="3227"/>
    </row>
    <row r="184" spans="1:7" s="3216" customFormat="1" ht="14.25" customHeight="1">
      <c r="A184" s="3227" t="s">
        <v>29</v>
      </c>
      <c r="B184" s="3227" t="s">
        <v>3056</v>
      </c>
      <c r="C184" s="3227"/>
      <c r="D184" s="3227"/>
      <c r="E184" s="3227"/>
      <c r="F184" s="3227">
        <v>2340</v>
      </c>
      <c r="G184" s="3227"/>
    </row>
    <row r="185" spans="1:7" s="3216" customFormat="1" ht="14.25" customHeight="1">
      <c r="A185" s="3227" t="s">
        <v>29</v>
      </c>
      <c r="B185" s="3227" t="s">
        <v>3057</v>
      </c>
      <c r="C185" s="3227"/>
      <c r="D185" s="3227"/>
      <c r="E185" s="3227"/>
      <c r="F185" s="3227">
        <v>2530</v>
      </c>
      <c r="G185" s="3227"/>
    </row>
    <row r="186" spans="1:7" s="3216" customFormat="1" ht="14.25" customHeight="1">
      <c r="A186" s="3227" t="s">
        <v>29</v>
      </c>
      <c r="B186" s="3227" t="s">
        <v>3058</v>
      </c>
      <c r="C186" s="3227"/>
      <c r="D186" s="3227"/>
      <c r="E186" s="3227"/>
      <c r="F186" s="3227">
        <v>2550</v>
      </c>
      <c r="G186" s="3227"/>
    </row>
    <row r="187" spans="1:7" s="3216" customFormat="1" ht="14.25" customHeight="1">
      <c r="A187" s="3227" t="s">
        <v>29</v>
      </c>
      <c r="B187" s="3227" t="s">
        <v>3059</v>
      </c>
      <c r="C187" s="3227"/>
      <c r="D187" s="3227"/>
      <c r="E187" s="3227"/>
      <c r="F187" s="3227">
        <v>2070</v>
      </c>
      <c r="G187" s="3227"/>
    </row>
    <row r="188" spans="1:7" s="3216" customFormat="1" ht="14.25" customHeight="1">
      <c r="A188" s="3227" t="s">
        <v>29</v>
      </c>
      <c r="B188" s="3227" t="s">
        <v>3060</v>
      </c>
      <c r="C188" s="3227"/>
      <c r="D188" s="3227"/>
      <c r="E188" s="3227"/>
      <c r="F188" s="3227">
        <v>2340</v>
      </c>
      <c r="G188" s="3227"/>
    </row>
    <row r="189" spans="1:7" s="3216" customFormat="1" ht="14.25" customHeight="1" thickBot="1">
      <c r="A189" s="3235" t="s">
        <v>29</v>
      </c>
      <c r="B189" s="3238" t="s">
        <v>3061</v>
      </c>
      <c r="C189" s="3238"/>
      <c r="D189" s="3238"/>
      <c r="E189" s="3238"/>
      <c r="F189" s="3238">
        <v>2050</v>
      </c>
      <c r="G189" s="3238"/>
    </row>
    <row r="190" spans="1:7" s="3216" customFormat="1" ht="14.25" customHeight="1">
      <c r="A190" s="3232" t="s">
        <v>304</v>
      </c>
      <c r="B190" s="3223" t="s">
        <v>3081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3082</v>
      </c>
      <c r="C199" s="3227">
        <v>8690</v>
      </c>
      <c r="D199" s="3227">
        <v>8630</v>
      </c>
      <c r="E199" s="3227">
        <v>11350</v>
      </c>
      <c r="F199" s="3227">
        <v>1600</v>
      </c>
      <c r="G199" s="3240">
        <v>5450</v>
      </c>
    </row>
    <row r="200" spans="1:7" s="3216" customFormat="1" ht="14.25" customHeight="1">
      <c r="A200" s="3227" t="s">
        <v>304</v>
      </c>
      <c r="B200" s="3227" t="s">
        <v>2893</v>
      </c>
      <c r="C200" s="3227"/>
      <c r="D200" s="3227"/>
      <c r="E200" s="3227"/>
      <c r="F200" s="3227">
        <v>1510</v>
      </c>
      <c r="G200" s="3240"/>
    </row>
    <row r="201" spans="1:7" s="3216" customFormat="1" ht="14.25" customHeight="1">
      <c r="A201" s="3227" t="s">
        <v>304</v>
      </c>
      <c r="B201" s="3227" t="s">
        <v>3083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3084</v>
      </c>
      <c r="C203" s="3227">
        <v>8130</v>
      </c>
      <c r="D203" s="3227">
        <v>8070</v>
      </c>
      <c r="E203" s="3227">
        <v>10820</v>
      </c>
      <c r="F203" s="3227">
        <v>1690</v>
      </c>
      <c r="G203" s="3240">
        <v>5100</v>
      </c>
    </row>
    <row r="204" spans="1:7" s="3216" customFormat="1" ht="14.25" customHeight="1">
      <c r="A204" s="3227" t="s">
        <v>304</v>
      </c>
      <c r="B204" s="3227" t="s">
        <v>2904</v>
      </c>
      <c r="C204" s="3227">
        <v>8350</v>
      </c>
      <c r="D204" s="3227">
        <v>8290</v>
      </c>
      <c r="E204" s="3227">
        <v>11080</v>
      </c>
      <c r="F204" s="3227">
        <v>1450</v>
      </c>
      <c r="G204" s="3240">
        <v>5240</v>
      </c>
    </row>
    <row r="205" spans="1:7" s="3216" customFormat="1" ht="14.25" customHeight="1">
      <c r="A205" s="3227" t="s">
        <v>304</v>
      </c>
      <c r="B205" s="3227" t="s">
        <v>2906</v>
      </c>
      <c r="C205" s="3227">
        <v>7190</v>
      </c>
      <c r="D205" s="3227">
        <v>7130</v>
      </c>
      <c r="E205" s="3227">
        <v>9490</v>
      </c>
      <c r="F205" s="3227">
        <v>1470</v>
      </c>
      <c r="G205" s="3240">
        <v>4510</v>
      </c>
    </row>
    <row r="206" spans="1:7" s="3216" customFormat="1" ht="14.25" customHeight="1">
      <c r="A206" s="3227" t="s">
        <v>304</v>
      </c>
      <c r="B206" s="3227" t="s">
        <v>2909</v>
      </c>
      <c r="C206" s="3227">
        <v>7000</v>
      </c>
      <c r="D206" s="3227">
        <v>6950</v>
      </c>
      <c r="E206" s="3227">
        <v>9170</v>
      </c>
      <c r="F206" s="3227">
        <v>1400</v>
      </c>
      <c r="G206" s="3240">
        <v>4380</v>
      </c>
    </row>
    <row r="207" spans="1:7" s="3216" customFormat="1" ht="14.25" customHeight="1">
      <c r="A207" s="3227" t="s">
        <v>304</v>
      </c>
      <c r="B207" s="3227" t="s">
        <v>2911</v>
      </c>
      <c r="C207" s="3227">
        <v>6950</v>
      </c>
      <c r="D207" s="3227">
        <v>6900</v>
      </c>
      <c r="E207" s="3227">
        <v>9110</v>
      </c>
      <c r="F207" s="3227">
        <v>1790</v>
      </c>
      <c r="G207" s="3240">
        <v>4360</v>
      </c>
    </row>
    <row r="208" spans="1:7" s="3216" customFormat="1" ht="14.25" customHeight="1">
      <c r="A208" s="3227" t="s">
        <v>304</v>
      </c>
      <c r="B208" s="3227" t="s">
        <v>3085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2921</v>
      </c>
      <c r="C210" s="3227">
        <v>8710</v>
      </c>
      <c r="D210" s="3227">
        <v>8660</v>
      </c>
      <c r="E210" s="3227">
        <v>11440</v>
      </c>
      <c r="F210" s="3227">
        <v>1740</v>
      </c>
      <c r="G210" s="3240">
        <v>5470</v>
      </c>
    </row>
    <row r="211" spans="1:7" s="3216" customFormat="1" ht="14.25" customHeight="1">
      <c r="A211" s="3227" t="s">
        <v>304</v>
      </c>
      <c r="B211" s="3227" t="s">
        <v>3086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3087</v>
      </c>
      <c r="C214" s="3227">
        <v>8090</v>
      </c>
      <c r="D214" s="3227">
        <v>8030</v>
      </c>
      <c r="E214" s="3227">
        <v>10780</v>
      </c>
      <c r="F214" s="3227">
        <v>1570</v>
      </c>
      <c r="G214" s="3240">
        <v>5070</v>
      </c>
    </row>
    <row r="215" spans="1:7" s="3216" customFormat="1" ht="14.25" customHeight="1">
      <c r="A215" s="3227" t="s">
        <v>304</v>
      </c>
      <c r="B215" s="3227" t="s">
        <v>3088</v>
      </c>
      <c r="C215" s="3227">
        <v>7950</v>
      </c>
      <c r="D215" s="3227">
        <v>7900</v>
      </c>
      <c r="E215" s="3227">
        <v>10560</v>
      </c>
      <c r="F215" s="3227">
        <v>1630</v>
      </c>
      <c r="G215" s="3240">
        <v>4990</v>
      </c>
    </row>
    <row r="216" spans="1:7" s="3216" customFormat="1" ht="14.25" customHeight="1">
      <c r="A216" s="3227" t="s">
        <v>304</v>
      </c>
      <c r="B216" s="3227" t="s">
        <v>3089</v>
      </c>
      <c r="C216" s="3227">
        <v>8490</v>
      </c>
      <c r="D216" s="3227">
        <v>8440</v>
      </c>
      <c r="E216" s="3227">
        <v>11260</v>
      </c>
      <c r="F216" s="3227">
        <v>1690</v>
      </c>
      <c r="G216" s="3240">
        <v>5330</v>
      </c>
    </row>
    <row r="217" spans="1:7" s="3216" customFormat="1" ht="14.25" customHeight="1">
      <c r="A217" s="3227" t="s">
        <v>304</v>
      </c>
      <c r="B217" s="3227" t="s">
        <v>2954</v>
      </c>
      <c r="C217" s="3227">
        <v>8200</v>
      </c>
      <c r="D217" s="3227">
        <v>8150</v>
      </c>
      <c r="E217" s="3227">
        <v>10910</v>
      </c>
      <c r="F217" s="3227">
        <v>1670</v>
      </c>
      <c r="G217" s="3240">
        <v>5150</v>
      </c>
    </row>
    <row r="218" spans="1:7" s="3216" customFormat="1" ht="14.25" customHeight="1">
      <c r="A218" s="3227" t="s">
        <v>304</v>
      </c>
      <c r="B218" s="3227" t="s">
        <v>3090</v>
      </c>
      <c r="C218" s="3227"/>
      <c r="D218" s="3227"/>
      <c r="E218" s="3227"/>
      <c r="F218" s="3227">
        <v>2040</v>
      </c>
      <c r="G218" s="3240"/>
    </row>
    <row r="219" spans="1:7" s="3216" customFormat="1" ht="14.25" customHeight="1">
      <c r="A219" s="3227" t="s">
        <v>304</v>
      </c>
      <c r="B219" s="3227" t="s">
        <v>3091</v>
      </c>
      <c r="C219" s="3227"/>
      <c r="D219" s="3227"/>
      <c r="E219" s="3227"/>
      <c r="F219" s="3227">
        <v>2040</v>
      </c>
      <c r="G219" s="3240"/>
    </row>
    <row r="220" spans="1:7" s="3216" customFormat="1" ht="14.25" customHeight="1">
      <c r="A220" s="3227" t="s">
        <v>304</v>
      </c>
      <c r="B220" s="3227" t="s">
        <v>3092</v>
      </c>
      <c r="C220" s="3227"/>
      <c r="D220" s="3227"/>
      <c r="E220" s="3227"/>
      <c r="F220" s="3227">
        <v>2040</v>
      </c>
      <c r="G220" s="3240"/>
    </row>
    <row r="221" spans="1:7" s="3216" customFormat="1" ht="14.25" customHeight="1">
      <c r="A221" s="3227" t="s">
        <v>304</v>
      </c>
      <c r="B221" s="3227" t="s">
        <v>3093</v>
      </c>
      <c r="C221" s="3227"/>
      <c r="D221" s="3227"/>
      <c r="E221" s="3227"/>
      <c r="F221" s="3227">
        <v>2040</v>
      </c>
      <c r="G221" s="3240"/>
    </row>
    <row r="222" spans="1:7" s="3216" customFormat="1" ht="14.25" customHeight="1">
      <c r="A222" s="3227" t="s">
        <v>304</v>
      </c>
      <c r="B222" s="3227" t="s">
        <v>3094</v>
      </c>
      <c r="C222" s="3227"/>
      <c r="D222" s="3227"/>
      <c r="E222" s="3227"/>
      <c r="F222" s="3227">
        <v>2040</v>
      </c>
      <c r="G222" s="3240"/>
    </row>
    <row r="223" spans="1:7" s="3216" customFormat="1" ht="14.25" customHeight="1">
      <c r="A223" s="3227" t="s">
        <v>304</v>
      </c>
      <c r="B223" s="3227" t="s">
        <v>3095</v>
      </c>
      <c r="C223" s="3227"/>
      <c r="D223" s="3227"/>
      <c r="E223" s="3227"/>
      <c r="F223" s="3227">
        <v>1930</v>
      </c>
      <c r="G223" s="3240"/>
    </row>
    <row r="224" spans="1:7" s="3216" customFormat="1" ht="14.25" customHeight="1">
      <c r="A224" s="3227" t="s">
        <v>304</v>
      </c>
      <c r="B224" s="3227" t="s">
        <v>3096</v>
      </c>
      <c r="C224" s="3227"/>
      <c r="D224" s="3227"/>
      <c r="E224" s="3227"/>
      <c r="F224" s="3227">
        <v>1930</v>
      </c>
      <c r="G224" s="3240"/>
    </row>
    <row r="225" spans="1:7" s="3216" customFormat="1" ht="14.25" customHeight="1">
      <c r="A225" s="3227" t="s">
        <v>304</v>
      </c>
      <c r="B225" s="3227" t="s">
        <v>3097</v>
      </c>
      <c r="C225" s="3227"/>
      <c r="D225" s="3227"/>
      <c r="E225" s="3227"/>
      <c r="F225" s="3227">
        <v>1930</v>
      </c>
      <c r="G225" s="3240"/>
    </row>
    <row r="226" spans="1:7" s="3216" customFormat="1" ht="14.25" customHeight="1">
      <c r="A226" s="3227" t="s">
        <v>304</v>
      </c>
      <c r="B226" s="3227" t="s">
        <v>3098</v>
      </c>
      <c r="C226" s="3227"/>
      <c r="D226" s="3227"/>
      <c r="E226" s="3227"/>
      <c r="F226" s="3227">
        <v>1700</v>
      </c>
      <c r="G226" s="3240"/>
    </row>
    <row r="227" spans="1:7" s="3216" customFormat="1" ht="14.25" customHeight="1">
      <c r="A227" s="3227" t="s">
        <v>304</v>
      </c>
      <c r="B227" s="3227" t="s">
        <v>3099</v>
      </c>
      <c r="C227" s="3227"/>
      <c r="D227" s="3227"/>
      <c r="E227" s="3227"/>
      <c r="F227" s="3227">
        <v>1520</v>
      </c>
      <c r="G227" s="3240"/>
    </row>
    <row r="228" spans="1:7" s="3216" customFormat="1" ht="14.25" customHeight="1">
      <c r="A228" s="3227" t="s">
        <v>304</v>
      </c>
      <c r="B228" s="3227" t="s">
        <v>3100</v>
      </c>
      <c r="C228" s="3227"/>
      <c r="D228" s="3227"/>
      <c r="E228" s="3227"/>
      <c r="F228" s="3227">
        <v>1520</v>
      </c>
      <c r="G228" s="3240"/>
    </row>
    <row r="229" spans="1:7" s="3216" customFormat="1" ht="14.25" customHeight="1">
      <c r="A229" s="3227" t="s">
        <v>304</v>
      </c>
      <c r="B229" s="3227" t="s">
        <v>3017</v>
      </c>
      <c r="C229" s="3227"/>
      <c r="D229" s="3227"/>
      <c r="E229" s="3227"/>
      <c r="F229" s="3227">
        <v>1520</v>
      </c>
      <c r="G229" s="3240"/>
    </row>
    <row r="230" spans="1:7" s="3216" customFormat="1" ht="14.25" customHeight="1">
      <c r="A230" s="3227" t="s">
        <v>304</v>
      </c>
      <c r="B230" s="3227" t="s">
        <v>3101</v>
      </c>
      <c r="C230" s="3227"/>
      <c r="D230" s="3227"/>
      <c r="E230" s="3227"/>
      <c r="F230" s="3227">
        <v>1820</v>
      </c>
      <c r="G230" s="3240"/>
    </row>
    <row r="231" spans="1:7" s="3216" customFormat="1" ht="14.25" customHeight="1">
      <c r="A231" s="3227" t="s">
        <v>304</v>
      </c>
      <c r="B231" s="3227" t="s">
        <v>3102</v>
      </c>
      <c r="C231" s="3227"/>
      <c r="D231" s="3227"/>
      <c r="E231" s="3227"/>
      <c r="F231" s="3227">
        <v>1760</v>
      </c>
      <c r="G231" s="3240"/>
    </row>
    <row r="232" spans="1:7" s="3216" customFormat="1" ht="14.25" customHeight="1">
      <c r="A232" s="3227" t="s">
        <v>304</v>
      </c>
      <c r="B232" s="3227" t="s">
        <v>3103</v>
      </c>
      <c r="C232" s="3227"/>
      <c r="D232" s="3227"/>
      <c r="E232" s="3227"/>
      <c r="F232" s="3227">
        <v>1840</v>
      </c>
      <c r="G232" s="3240"/>
    </row>
    <row r="233" spans="1:7" s="3216" customFormat="1" ht="14.25" customHeight="1" thickBot="1">
      <c r="A233" s="3241" t="s">
        <v>304</v>
      </c>
      <c r="B233" s="3234" t="s">
        <v>3034</v>
      </c>
      <c r="C233" s="3234"/>
      <c r="D233" s="3234"/>
      <c r="E233" s="3234"/>
      <c r="F233" s="3234">
        <v>1770</v>
      </c>
      <c r="G233" s="3242"/>
    </row>
    <row r="234" spans="1:7" s="3216" customFormat="1" ht="14.25" customHeight="1">
      <c r="A234" s="3232" t="s">
        <v>305</v>
      </c>
      <c r="B234" s="3223" t="s">
        <v>3104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2875</v>
      </c>
      <c r="C238" s="3227">
        <v>6920</v>
      </c>
      <c r="D238" s="3227">
        <v>6890</v>
      </c>
      <c r="E238" s="3227">
        <v>8640</v>
      </c>
      <c r="F238" s="3227">
        <v>1310</v>
      </c>
      <c r="G238" s="3227">
        <v>4230</v>
      </c>
    </row>
    <row r="239" spans="1:7" s="3216" customFormat="1" ht="14.25" customHeight="1">
      <c r="A239" s="3227" t="s">
        <v>305</v>
      </c>
      <c r="B239" s="3227" t="s">
        <v>3105</v>
      </c>
      <c r="C239" s="3227">
        <v>6780</v>
      </c>
      <c r="D239" s="3227">
        <v>6750</v>
      </c>
      <c r="E239" s="3227">
        <v>8440</v>
      </c>
      <c r="F239" s="3227">
        <v>1160</v>
      </c>
      <c r="G239" s="3227">
        <v>4140</v>
      </c>
    </row>
    <row r="240" spans="1:7" s="3216" customFormat="1" ht="14.25" customHeight="1">
      <c r="A240" s="3227" t="s">
        <v>305</v>
      </c>
      <c r="B240" s="3227" t="s">
        <v>3106</v>
      </c>
      <c r="C240" s="3227">
        <v>5420</v>
      </c>
      <c r="D240" s="3227">
        <v>5380</v>
      </c>
      <c r="E240" s="3227">
        <v>6640</v>
      </c>
      <c r="F240" s="3227">
        <v>1020</v>
      </c>
      <c r="G240" s="3227">
        <v>3300</v>
      </c>
    </row>
    <row r="241" spans="1:7" s="3216" customFormat="1" ht="14.25" customHeight="1">
      <c r="A241" s="3227" t="s">
        <v>305</v>
      </c>
      <c r="B241" s="3227" t="s">
        <v>3107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2937</v>
      </c>
      <c r="C258" s="3227">
        <v>6190</v>
      </c>
      <c r="D258" s="3227">
        <v>6160</v>
      </c>
      <c r="E258" s="3227">
        <v>7680</v>
      </c>
      <c r="F258" s="3227">
        <v>1170</v>
      </c>
      <c r="G258" s="3227">
        <v>3780</v>
      </c>
    </row>
    <row r="259" spans="1:7" s="3216" customFormat="1" ht="14.25" customHeight="1">
      <c r="A259" s="3227" t="s">
        <v>305</v>
      </c>
      <c r="B259" s="3227" t="s">
        <v>3113</v>
      </c>
      <c r="C259" s="3227">
        <v>7610</v>
      </c>
      <c r="D259" s="3227">
        <v>7570</v>
      </c>
      <c r="E259" s="3227">
        <v>9350</v>
      </c>
      <c r="F259" s="3227">
        <v>1350</v>
      </c>
      <c r="G259" s="3227">
        <v>4650</v>
      </c>
    </row>
    <row r="260" spans="1:7" s="3216" customFormat="1" ht="14.25" customHeight="1">
      <c r="A260" s="3227" t="s">
        <v>305</v>
      </c>
      <c r="B260" s="3227" t="s">
        <v>3114</v>
      </c>
      <c r="C260" s="3227">
        <v>6920</v>
      </c>
      <c r="D260" s="3227">
        <v>6880</v>
      </c>
      <c r="E260" s="3227">
        <v>8380</v>
      </c>
      <c r="F260" s="3227">
        <v>1160</v>
      </c>
      <c r="G260" s="3227">
        <v>4220</v>
      </c>
    </row>
    <row r="261" spans="1:7" s="3216" customFormat="1" ht="14.25" customHeight="1">
      <c r="A261" s="3227" t="s">
        <v>305</v>
      </c>
      <c r="B261" s="3227" t="s">
        <v>3115</v>
      </c>
      <c r="C261" s="3227">
        <v>6850</v>
      </c>
      <c r="D261" s="3227">
        <v>6810</v>
      </c>
      <c r="E261" s="3227">
        <v>8290</v>
      </c>
      <c r="F261" s="3227">
        <v>1130</v>
      </c>
      <c r="G261" s="3227">
        <v>4180</v>
      </c>
    </row>
    <row r="262" spans="1:7" s="3216" customFormat="1" ht="14.25" customHeight="1">
      <c r="A262" s="3227" t="s">
        <v>305</v>
      </c>
      <c r="B262" s="3227" t="s">
        <v>3116</v>
      </c>
      <c r="C262" s="3227">
        <v>5860</v>
      </c>
      <c r="D262" s="3227">
        <v>5820</v>
      </c>
      <c r="E262" s="3227">
        <v>7640</v>
      </c>
      <c r="F262" s="3227">
        <v>1070</v>
      </c>
      <c r="G262" s="3227">
        <v>3570</v>
      </c>
    </row>
    <row r="263" spans="1:7" s="3216" customFormat="1" ht="14.25" customHeight="1">
      <c r="A263" s="3227" t="s">
        <v>305</v>
      </c>
      <c r="B263" s="3227" t="s">
        <v>3117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3118</v>
      </c>
      <c r="C265" s="3227"/>
      <c r="D265" s="3227"/>
      <c r="E265" s="3227"/>
      <c r="F265" s="3227">
        <v>1500</v>
      </c>
      <c r="G265" s="3227"/>
    </row>
    <row r="266" spans="1:7" s="3216" customFormat="1" ht="14.25" customHeight="1">
      <c r="A266" s="3227" t="s">
        <v>305</v>
      </c>
      <c r="B266" s="3227" t="s">
        <v>3119</v>
      </c>
      <c r="C266" s="3227"/>
      <c r="D266" s="3227"/>
      <c r="E266" s="3227"/>
      <c r="F266" s="3227">
        <v>1500</v>
      </c>
      <c r="G266" s="3227"/>
    </row>
    <row r="267" spans="1:7" s="3216" customFormat="1" ht="14.25" customHeight="1">
      <c r="A267" s="3227" t="s">
        <v>305</v>
      </c>
      <c r="B267" s="3227" t="s">
        <v>3120</v>
      </c>
      <c r="C267" s="3227"/>
      <c r="D267" s="3227"/>
      <c r="E267" s="3227"/>
      <c r="F267" s="3227">
        <v>1500</v>
      </c>
      <c r="G267" s="3227"/>
    </row>
    <row r="268" spans="1:7" s="3216" customFormat="1" ht="14.25" customHeight="1">
      <c r="A268" s="3227" t="s">
        <v>305</v>
      </c>
      <c r="B268" s="3227" t="s">
        <v>3121</v>
      </c>
      <c r="C268" s="3227"/>
      <c r="D268" s="3227"/>
      <c r="E268" s="3227"/>
      <c r="F268" s="3227">
        <v>1290</v>
      </c>
      <c r="G268" s="3227"/>
    </row>
    <row r="269" spans="1:7" s="3216" customFormat="1" ht="14.25" customHeight="1">
      <c r="A269" s="3227" t="s">
        <v>305</v>
      </c>
      <c r="B269" s="3227" t="s">
        <v>3122</v>
      </c>
      <c r="C269" s="3227"/>
      <c r="D269" s="3227"/>
      <c r="E269" s="3227"/>
      <c r="F269" s="3227">
        <v>1150</v>
      </c>
      <c r="G269" s="3227"/>
    </row>
    <row r="270" spans="1:7" s="3216" customFormat="1" ht="14.25" customHeight="1">
      <c r="A270" s="3227" t="s">
        <v>305</v>
      </c>
      <c r="B270" s="3227" t="s">
        <v>3123</v>
      </c>
      <c r="C270" s="3227"/>
      <c r="D270" s="3227"/>
      <c r="E270" s="3227"/>
      <c r="F270" s="3227">
        <v>1380</v>
      </c>
      <c r="G270" s="3227"/>
    </row>
    <row r="271" spans="1:7" s="3216" customFormat="1" ht="14.25" customHeight="1">
      <c r="A271" s="3227" t="s">
        <v>305</v>
      </c>
      <c r="B271" s="3227" t="s">
        <v>3124</v>
      </c>
      <c r="C271" s="3227"/>
      <c r="D271" s="3227"/>
      <c r="E271" s="3227"/>
      <c r="F271" s="3227">
        <v>1460</v>
      </c>
      <c r="G271" s="3227"/>
    </row>
    <row r="272" spans="1:7" s="3216" customFormat="1" ht="14.25" customHeight="1">
      <c r="A272" s="3227" t="s">
        <v>305</v>
      </c>
      <c r="B272" s="3227" t="s">
        <v>3125</v>
      </c>
      <c r="C272" s="3227"/>
      <c r="D272" s="3227"/>
      <c r="E272" s="3227"/>
      <c r="F272" s="3227">
        <v>1460</v>
      </c>
      <c r="G272" s="3227"/>
    </row>
    <row r="273" spans="1:7" s="3216" customFormat="1" ht="14.25" customHeight="1">
      <c r="A273" s="3227" t="s">
        <v>305</v>
      </c>
      <c r="B273" s="3227" t="s">
        <v>3018</v>
      </c>
      <c r="C273" s="3227"/>
      <c r="D273" s="3227"/>
      <c r="E273" s="3227"/>
      <c r="F273" s="3227">
        <v>1490</v>
      </c>
      <c r="G273" s="3227"/>
    </row>
    <row r="274" spans="1:7" s="3216" customFormat="1" ht="14.25" customHeight="1">
      <c r="A274" s="3227" t="s">
        <v>305</v>
      </c>
      <c r="B274" s="3227" t="s">
        <v>3126</v>
      </c>
      <c r="C274" s="3227"/>
      <c r="D274" s="3227"/>
      <c r="E274" s="3227"/>
      <c r="F274" s="3227">
        <v>1490</v>
      </c>
      <c r="G274" s="3227"/>
    </row>
    <row r="275" spans="1:7" s="3216" customFormat="1" ht="14.25" customHeight="1">
      <c r="A275" s="3227" t="s">
        <v>305</v>
      </c>
      <c r="B275" s="3227" t="s">
        <v>3127</v>
      </c>
      <c r="C275" s="3227"/>
      <c r="D275" s="3227"/>
      <c r="E275" s="3227"/>
      <c r="F275" s="3227">
        <v>1220</v>
      </c>
      <c r="G275" s="3227"/>
    </row>
    <row r="276" spans="1:7" s="3216" customFormat="1" ht="14.25" customHeight="1" thickBot="1">
      <c r="A276" s="3235" t="s">
        <v>305</v>
      </c>
      <c r="B276" s="3237" t="s">
        <v>3128</v>
      </c>
      <c r="C276" s="3238"/>
      <c r="D276" s="3238"/>
      <c r="E276" s="3238"/>
      <c r="F276" s="3238">
        <v>1380</v>
      </c>
      <c r="G276" s="3238"/>
    </row>
    <row r="277" spans="1:7" s="3216" customFormat="1" ht="14.25" customHeight="1">
      <c r="A277" s="3232" t="s">
        <v>306</v>
      </c>
      <c r="B277" s="3223" t="s">
        <v>3129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3130</v>
      </c>
      <c r="C279" s="3227">
        <v>4760</v>
      </c>
      <c r="D279" s="3227">
        <v>4720</v>
      </c>
      <c r="E279" s="3227">
        <v>5540</v>
      </c>
      <c r="F279" s="3227">
        <v>810</v>
      </c>
      <c r="G279" s="3240">
        <v>2850</v>
      </c>
    </row>
    <row r="280" spans="1:7" s="3216" customFormat="1" ht="14.25" customHeight="1">
      <c r="A280" s="3227" t="s">
        <v>306</v>
      </c>
      <c r="B280" s="3227" t="s">
        <v>3131</v>
      </c>
      <c r="C280" s="3227">
        <v>4010</v>
      </c>
      <c r="D280" s="3227">
        <v>3950</v>
      </c>
      <c r="E280" s="3227">
        <v>4710</v>
      </c>
      <c r="F280" s="3227">
        <v>800</v>
      </c>
      <c r="G280" s="3240">
        <v>2390</v>
      </c>
    </row>
    <row r="281" spans="1:7" s="3216" customFormat="1" ht="14.25" customHeight="1">
      <c r="A281" s="3227" t="s">
        <v>306</v>
      </c>
      <c r="B281" s="3227" t="s">
        <v>3132</v>
      </c>
      <c r="C281" s="3227">
        <v>4480</v>
      </c>
      <c r="D281" s="3227">
        <v>4420</v>
      </c>
      <c r="E281" s="3227">
        <v>5230</v>
      </c>
      <c r="F281" s="3227">
        <v>870</v>
      </c>
      <c r="G281" s="3240">
        <v>2660</v>
      </c>
    </row>
    <row r="282" spans="1:7" s="3216" customFormat="1" ht="14.25" customHeight="1">
      <c r="A282" s="3227" t="s">
        <v>306</v>
      </c>
      <c r="B282" s="3227" t="s">
        <v>3133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2910</v>
      </c>
      <c r="C293" s="3227">
        <v>5320</v>
      </c>
      <c r="D293" s="3227">
        <v>5270</v>
      </c>
      <c r="E293" s="3227">
        <v>6160</v>
      </c>
      <c r="F293" s="3227">
        <v>990</v>
      </c>
      <c r="G293" s="3240">
        <v>3170</v>
      </c>
    </row>
    <row r="294" spans="1:7" s="3216" customFormat="1" ht="14.25" customHeight="1">
      <c r="A294" s="3227" t="s">
        <v>306</v>
      </c>
      <c r="B294" s="3227" t="s">
        <v>3136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3137</v>
      </c>
      <c r="C302" s="3227">
        <v>5520</v>
      </c>
      <c r="D302" s="3227">
        <v>5470</v>
      </c>
      <c r="E302" s="3227">
        <v>6410</v>
      </c>
      <c r="F302" s="3227">
        <v>950</v>
      </c>
      <c r="G302" s="3240">
        <v>3300</v>
      </c>
    </row>
    <row r="303" spans="1:7" s="3216" customFormat="1" ht="14.25" customHeight="1">
      <c r="A303" s="3227" t="s">
        <v>306</v>
      </c>
      <c r="B303" s="3227" t="s">
        <v>2949</v>
      </c>
      <c r="C303" s="3227">
        <v>5630</v>
      </c>
      <c r="D303" s="3227">
        <v>5590</v>
      </c>
      <c r="E303" s="3227">
        <v>6550</v>
      </c>
      <c r="F303" s="3227">
        <v>1010</v>
      </c>
      <c r="G303" s="3240">
        <v>3370</v>
      </c>
    </row>
    <row r="304" spans="1:7" s="3216" customFormat="1" ht="14.25" customHeight="1">
      <c r="A304" s="3227" t="s">
        <v>306</v>
      </c>
      <c r="B304" s="3227" t="s">
        <v>2956</v>
      </c>
      <c r="C304" s="3227">
        <v>5680</v>
      </c>
      <c r="D304" s="3227">
        <v>5620</v>
      </c>
      <c r="E304" s="3227">
        <v>6620</v>
      </c>
      <c r="F304" s="3227">
        <v>1050</v>
      </c>
      <c r="G304" s="3240">
        <v>3390</v>
      </c>
    </row>
    <row r="305" spans="1:7" s="3216" customFormat="1" ht="14.25" customHeight="1">
      <c r="A305" s="3227" t="s">
        <v>306</v>
      </c>
      <c r="B305" s="3227" t="s">
        <v>2962</v>
      </c>
      <c r="C305" s="3227">
        <v>5590</v>
      </c>
      <c r="D305" s="3227">
        <v>5530</v>
      </c>
      <c r="E305" s="3227">
        <v>6460</v>
      </c>
      <c r="F305" s="3227">
        <v>900</v>
      </c>
      <c r="G305" s="3240">
        <v>3340</v>
      </c>
    </row>
    <row r="306" spans="1:7" s="3216" customFormat="1" ht="14.25" customHeight="1">
      <c r="A306" s="3227" t="s">
        <v>306</v>
      </c>
      <c r="B306" s="3227" t="s">
        <v>3138</v>
      </c>
      <c r="C306" s="3227">
        <v>5560</v>
      </c>
      <c r="D306" s="3227">
        <v>5510</v>
      </c>
      <c r="E306" s="3227">
        <v>6440</v>
      </c>
      <c r="F306" s="3227">
        <v>900</v>
      </c>
      <c r="G306" s="3240">
        <v>3320</v>
      </c>
    </row>
    <row r="307" spans="1:7" s="3216" customFormat="1" ht="14.25" customHeight="1">
      <c r="A307" s="3227" t="s">
        <v>306</v>
      </c>
      <c r="B307" s="3227" t="s">
        <v>2974</v>
      </c>
      <c r="C307" s="3227">
        <v>5650</v>
      </c>
      <c r="D307" s="3227">
        <v>5600</v>
      </c>
      <c r="E307" s="3227">
        <v>6590</v>
      </c>
      <c r="F307" s="3227">
        <v>930</v>
      </c>
      <c r="G307" s="3240">
        <v>3380</v>
      </c>
    </row>
    <row r="308" spans="1:7" s="3216" customFormat="1" ht="14.25" customHeight="1">
      <c r="A308" s="3227" t="s">
        <v>306</v>
      </c>
      <c r="B308" s="3227" t="s">
        <v>3139</v>
      </c>
      <c r="C308" s="3227">
        <v>5620</v>
      </c>
      <c r="D308" s="3227">
        <v>5580</v>
      </c>
      <c r="E308" s="3227">
        <v>6540</v>
      </c>
      <c r="F308" s="3227">
        <v>910</v>
      </c>
      <c r="G308" s="3240">
        <v>3370</v>
      </c>
    </row>
    <row r="309" spans="1:7" s="3216" customFormat="1" ht="14.25" customHeight="1">
      <c r="A309" s="3227" t="s">
        <v>306</v>
      </c>
      <c r="B309" s="3227" t="s">
        <v>3140</v>
      </c>
      <c r="C309" s="3227">
        <v>5060</v>
      </c>
      <c r="D309" s="3227">
        <v>5020</v>
      </c>
      <c r="E309" s="3227">
        <v>6370</v>
      </c>
      <c r="F309" s="3227">
        <v>800</v>
      </c>
      <c r="G309" s="3240">
        <v>3020</v>
      </c>
    </row>
    <row r="310" spans="1:7" s="3216" customFormat="1" ht="14.25" customHeight="1">
      <c r="A310" s="3227" t="s">
        <v>306</v>
      </c>
      <c r="B310" s="3227" t="s">
        <v>2989</v>
      </c>
      <c r="C310" s="3227">
        <v>5150</v>
      </c>
      <c r="D310" s="3227">
        <v>5110</v>
      </c>
      <c r="E310" s="3227">
        <v>6500</v>
      </c>
      <c r="F310" s="3227">
        <v>880</v>
      </c>
      <c r="G310" s="3240">
        <v>3080</v>
      </c>
    </row>
    <row r="311" spans="1:7" s="3216" customFormat="1" ht="14.25" customHeight="1">
      <c r="A311" s="3227" t="s">
        <v>306</v>
      </c>
      <c r="B311" s="3227" t="s">
        <v>3141</v>
      </c>
      <c r="C311" s="3227">
        <v>4750</v>
      </c>
      <c r="D311" s="3227">
        <v>4710</v>
      </c>
      <c r="E311" s="3227">
        <v>5510</v>
      </c>
      <c r="F311" s="3227">
        <v>880</v>
      </c>
      <c r="G311" s="3240">
        <v>2840</v>
      </c>
    </row>
    <row r="312" spans="1:7" s="3216" customFormat="1" ht="14.25" customHeight="1">
      <c r="A312" s="3227" t="s">
        <v>306</v>
      </c>
      <c r="B312" s="3227" t="s">
        <v>2999</v>
      </c>
      <c r="C312" s="3227">
        <v>4690</v>
      </c>
      <c r="D312" s="3227">
        <v>4640</v>
      </c>
      <c r="E312" s="3227">
        <v>5420</v>
      </c>
      <c r="F312" s="3227">
        <v>800</v>
      </c>
      <c r="G312" s="3240">
        <v>2800</v>
      </c>
    </row>
    <row r="313" spans="1:7" s="3216" customFormat="1" ht="14.25" customHeight="1">
      <c r="A313" s="3227" t="s">
        <v>306</v>
      </c>
      <c r="B313" s="3227" t="s">
        <v>3004</v>
      </c>
      <c r="C313" s="3227">
        <v>4810</v>
      </c>
      <c r="D313" s="3227">
        <v>4760</v>
      </c>
      <c r="E313" s="3227">
        <v>5550</v>
      </c>
      <c r="F313" s="3227">
        <v>920</v>
      </c>
      <c r="G313" s="3240">
        <v>2870</v>
      </c>
    </row>
    <row r="314" spans="1:7" s="3216" customFormat="1" ht="14.25" customHeight="1">
      <c r="A314" s="3227" t="s">
        <v>306</v>
      </c>
      <c r="B314" s="3227" t="s">
        <v>3142</v>
      </c>
      <c r="C314" s="3227"/>
      <c r="D314" s="3227"/>
      <c r="E314" s="3227"/>
      <c r="F314" s="3227">
        <v>1020</v>
      </c>
      <c r="G314" s="3240"/>
    </row>
    <row r="315" spans="1:7" s="3216" customFormat="1" ht="14.25" customHeight="1">
      <c r="A315" s="3227" t="s">
        <v>306</v>
      </c>
      <c r="B315" s="3227" t="s">
        <v>3143</v>
      </c>
      <c r="C315" s="3227"/>
      <c r="D315" s="3227"/>
      <c r="E315" s="3227"/>
      <c r="F315" s="3227">
        <v>1050</v>
      </c>
      <c r="G315" s="3240"/>
    </row>
    <row r="316" spans="1:7" s="3216" customFormat="1" ht="14.25" customHeight="1">
      <c r="A316" s="3227" t="s">
        <v>306</v>
      </c>
      <c r="B316" s="3227" t="s">
        <v>3019</v>
      </c>
      <c r="C316" s="3227"/>
      <c r="D316" s="3227"/>
      <c r="E316" s="3227"/>
      <c r="F316" s="3227">
        <v>900</v>
      </c>
      <c r="G316" s="3240"/>
    </row>
    <row r="317" spans="1:7" s="3216" customFormat="1" ht="14.25" customHeight="1">
      <c r="A317" s="3227" t="s">
        <v>306</v>
      </c>
      <c r="B317" s="3227" t="s">
        <v>3144</v>
      </c>
      <c r="C317" s="3227"/>
      <c r="D317" s="3227"/>
      <c r="E317" s="3227"/>
      <c r="F317" s="3227">
        <v>920</v>
      </c>
      <c r="G317" s="3240"/>
    </row>
    <row r="318" spans="1:7" s="3216" customFormat="1" ht="14.25" customHeight="1">
      <c r="A318" s="3227" t="s">
        <v>306</v>
      </c>
      <c r="B318" s="3227" t="s">
        <v>3145</v>
      </c>
      <c r="C318" s="3227"/>
      <c r="D318" s="3227"/>
      <c r="E318" s="3227"/>
      <c r="F318" s="3227">
        <v>1080</v>
      </c>
      <c r="G318" s="3240"/>
    </row>
    <row r="319" spans="1:7" s="3216" customFormat="1" ht="14.25" customHeight="1">
      <c r="A319" s="3227" t="s">
        <v>306</v>
      </c>
      <c r="B319" s="3227" t="s">
        <v>3032</v>
      </c>
      <c r="C319" s="3227"/>
      <c r="D319" s="3227"/>
      <c r="E319" s="3227"/>
      <c r="F319" s="3227">
        <v>1020</v>
      </c>
      <c r="G319" s="3240"/>
    </row>
    <row r="320" spans="1:7" s="3216" customFormat="1" ht="14.25" customHeight="1">
      <c r="A320" s="3227" t="s">
        <v>306</v>
      </c>
      <c r="B320" s="3227" t="s">
        <v>3035</v>
      </c>
      <c r="C320" s="3227"/>
      <c r="D320" s="3227"/>
      <c r="E320" s="3227"/>
      <c r="F320" s="3227">
        <v>1050</v>
      </c>
      <c r="G320" s="3240"/>
    </row>
    <row r="321" spans="1:7" s="3216" customFormat="1" ht="14.25" customHeight="1">
      <c r="A321" s="3227" t="s">
        <v>306</v>
      </c>
      <c r="B321" s="3227" t="s">
        <v>3037</v>
      </c>
      <c r="C321" s="3227"/>
      <c r="D321" s="3227"/>
      <c r="E321" s="3227"/>
      <c r="F321" s="3227">
        <v>960</v>
      </c>
      <c r="G321" s="3240"/>
    </row>
    <row r="322" spans="1:7" s="3216" customFormat="1" ht="14.25" customHeight="1">
      <c r="A322" s="3227" t="s">
        <v>306</v>
      </c>
      <c r="B322" s="3227" t="s">
        <v>3039</v>
      </c>
      <c r="C322" s="3227"/>
      <c r="D322" s="3227"/>
      <c r="E322" s="3227"/>
      <c r="F322" s="3227">
        <v>960</v>
      </c>
      <c r="G322" s="3240"/>
    </row>
    <row r="323" spans="1:7" s="3216" customFormat="1" ht="14.25" customHeight="1">
      <c r="A323" s="3227" t="s">
        <v>306</v>
      </c>
      <c r="B323" s="3227" t="s">
        <v>3041</v>
      </c>
      <c r="C323" s="3227"/>
      <c r="D323" s="3227"/>
      <c r="E323" s="3227"/>
      <c r="F323" s="3227">
        <v>880</v>
      </c>
      <c r="G323" s="3240"/>
    </row>
    <row r="324" spans="1:7" s="3216" customFormat="1" ht="14.25" customHeight="1">
      <c r="A324" s="3227" t="s">
        <v>306</v>
      </c>
      <c r="B324" s="3227" t="s">
        <v>3043</v>
      </c>
      <c r="C324" s="3227"/>
      <c r="D324" s="3227"/>
      <c r="E324" s="3227"/>
      <c r="F324" s="3227">
        <v>930</v>
      </c>
      <c r="G324" s="3240"/>
    </row>
    <row r="325" spans="1:7" s="3216" customFormat="1" ht="14.25" customHeight="1">
      <c r="A325" s="3227" t="s">
        <v>306</v>
      </c>
      <c r="B325" s="3228" t="s">
        <v>3045</v>
      </c>
      <c r="C325" s="3227"/>
      <c r="D325" s="3227"/>
      <c r="E325" s="3227"/>
      <c r="F325" s="3227">
        <v>900</v>
      </c>
      <c r="G325" s="3240"/>
    </row>
    <row r="326" spans="1:7" s="3216" customFormat="1" ht="14.25" customHeight="1" thickBot="1">
      <c r="A326" s="3241" t="s">
        <v>306</v>
      </c>
      <c r="B326" s="3234" t="s">
        <v>3047</v>
      </c>
      <c r="C326" s="3234"/>
      <c r="D326" s="3234"/>
      <c r="E326" s="3234"/>
      <c r="F326" s="3234">
        <v>790</v>
      </c>
      <c r="G326" s="3242"/>
    </row>
    <row r="327" spans="1:7" s="3216" customFormat="1" ht="14.25" customHeight="1">
      <c r="A327" s="3232" t="s">
        <v>307</v>
      </c>
      <c r="B327" s="3223" t="s">
        <v>3146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3147</v>
      </c>
      <c r="C329" s="3227">
        <v>2730</v>
      </c>
      <c r="D329" s="3227">
        <v>2690</v>
      </c>
      <c r="E329" s="3227">
        <v>3100</v>
      </c>
      <c r="F329" s="3227">
        <v>660</v>
      </c>
      <c r="G329" s="3227">
        <v>1610</v>
      </c>
    </row>
    <row r="330" spans="1:7" s="3216" customFormat="1" ht="14.25" customHeight="1">
      <c r="A330" s="3227" t="s">
        <v>307</v>
      </c>
      <c r="B330" s="3227" t="s">
        <v>3148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2881</v>
      </c>
      <c r="C332" s="3227">
        <v>3520</v>
      </c>
      <c r="D332" s="3227">
        <v>3480</v>
      </c>
      <c r="E332" s="3227">
        <v>3830</v>
      </c>
      <c r="F332" s="3227">
        <v>720</v>
      </c>
      <c r="G332" s="3227">
        <v>2090</v>
      </c>
    </row>
    <row r="333" spans="1:7" s="3216" customFormat="1" ht="14.25" customHeight="1">
      <c r="A333" s="3227" t="s">
        <v>307</v>
      </c>
      <c r="B333" s="3227" t="s">
        <v>3149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2891</v>
      </c>
      <c r="C336" s="3227">
        <v>3570</v>
      </c>
      <c r="D336" s="3227">
        <v>3530</v>
      </c>
      <c r="E336" s="3227">
        <v>3880</v>
      </c>
      <c r="F336" s="3227">
        <v>770</v>
      </c>
      <c r="G336" s="3227">
        <v>2110</v>
      </c>
    </row>
    <row r="337" spans="1:10" s="3216" customFormat="1" ht="14.25" customHeight="1">
      <c r="A337" s="3227" t="s">
        <v>307</v>
      </c>
      <c r="B337" s="3227" t="s">
        <v>3150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2916</v>
      </c>
      <c r="C345" s="3227">
        <v>3190</v>
      </c>
      <c r="D345" s="3227">
        <v>3140</v>
      </c>
      <c r="E345" s="3227">
        <v>3450</v>
      </c>
      <c r="F345" s="3227">
        <v>720</v>
      </c>
      <c r="G345" s="3227">
        <v>1880</v>
      </c>
      <c r="J345" s="3216"/>
    </row>
    <row r="346" spans="1:10">
      <c r="A346" s="3227" t="s">
        <v>307</v>
      </c>
      <c r="B346" s="3227" t="s">
        <v>3153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2925</v>
      </c>
      <c r="C348" s="3227">
        <v>4000</v>
      </c>
      <c r="D348" s="3227">
        <v>3950</v>
      </c>
      <c r="E348" s="3227">
        <v>4430</v>
      </c>
      <c r="F348" s="3227">
        <v>760</v>
      </c>
      <c r="G348" s="3227">
        <v>2360</v>
      </c>
      <c r="J348" s="3216"/>
    </row>
    <row r="349" spans="1:10">
      <c r="A349" s="3227" t="s">
        <v>307</v>
      </c>
      <c r="B349" s="3227" t="s">
        <v>2930</v>
      </c>
      <c r="C349" s="3227">
        <v>3820</v>
      </c>
      <c r="D349" s="3227">
        <v>3780</v>
      </c>
      <c r="E349" s="3227">
        <v>4170</v>
      </c>
      <c r="F349" s="3227">
        <v>710</v>
      </c>
      <c r="G349" s="3227">
        <v>2260</v>
      </c>
      <c r="J349" s="3216"/>
    </row>
    <row r="350" spans="1:10">
      <c r="A350" s="3227" t="s">
        <v>307</v>
      </c>
      <c r="B350" s="3227" t="s">
        <v>3154</v>
      </c>
      <c r="C350" s="3227">
        <v>3760</v>
      </c>
      <c r="D350" s="3227">
        <v>3730</v>
      </c>
      <c r="E350" s="3227">
        <v>4100</v>
      </c>
      <c r="F350" s="3227">
        <v>800</v>
      </c>
      <c r="G350" s="3227">
        <v>2230</v>
      </c>
      <c r="J350" s="3216"/>
    </row>
    <row r="351" spans="1:10">
      <c r="A351" s="3227" t="s">
        <v>307</v>
      </c>
      <c r="B351" s="3227" t="s">
        <v>2938</v>
      </c>
      <c r="C351" s="3227">
        <v>3610</v>
      </c>
      <c r="D351" s="3227">
        <v>3580</v>
      </c>
      <c r="E351" s="3227">
        <v>3930</v>
      </c>
      <c r="F351" s="3227">
        <v>700</v>
      </c>
      <c r="G351" s="3227">
        <v>2140</v>
      </c>
      <c r="J351" s="3216"/>
    </row>
    <row r="352" spans="1:10">
      <c r="A352" s="3227" t="s">
        <v>307</v>
      </c>
      <c r="B352" s="3227" t="s">
        <v>2943</v>
      </c>
      <c r="C352" s="3227">
        <v>3670</v>
      </c>
      <c r="D352" s="3227">
        <v>3630</v>
      </c>
      <c r="E352" s="3227">
        <v>4000</v>
      </c>
      <c r="F352" s="3227">
        <v>750</v>
      </c>
      <c r="G352" s="3227">
        <v>2180</v>
      </c>
    </row>
    <row r="353" spans="1:7" s="3220" customFormat="1">
      <c r="A353" s="3227" t="s">
        <v>307</v>
      </c>
      <c r="B353" s="3227" t="s">
        <v>3155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2963</v>
      </c>
      <c r="C355" s="3227">
        <v>3650</v>
      </c>
      <c r="D355" s="3227">
        <v>3610</v>
      </c>
      <c r="E355" s="3227">
        <v>4200</v>
      </c>
      <c r="F355" s="3227">
        <v>640</v>
      </c>
      <c r="G355" s="3227">
        <v>2160</v>
      </c>
    </row>
    <row r="356" spans="1:7" s="3220" customFormat="1">
      <c r="A356" s="3227" t="s">
        <v>307</v>
      </c>
      <c r="B356" s="3227" t="s">
        <v>2970</v>
      </c>
      <c r="C356" s="3227">
        <v>3260</v>
      </c>
      <c r="D356" s="3227">
        <v>3230</v>
      </c>
      <c r="E356" s="3227">
        <v>3740</v>
      </c>
      <c r="F356" s="3227">
        <v>600</v>
      </c>
      <c r="G356" s="3227">
        <v>1930</v>
      </c>
    </row>
    <row r="357" spans="1:7" s="3220" customFormat="1" ht="12" thickBot="1">
      <c r="A357" s="3235" t="s">
        <v>307</v>
      </c>
      <c r="B357" s="3238" t="s">
        <v>3156</v>
      </c>
      <c r="C357" s="3238">
        <v>3690</v>
      </c>
      <c r="D357" s="3238">
        <v>3650</v>
      </c>
      <c r="E357" s="3238">
        <v>4020</v>
      </c>
      <c r="F357" s="3238">
        <v>700</v>
      </c>
      <c r="G357" s="3238">
        <v>2190</v>
      </c>
    </row>
    <row r="358" spans="1:7" s="3220" customFormat="1">
      <c r="A358" s="3232" t="s">
        <v>3157</v>
      </c>
      <c r="B358" s="3223" t="s">
        <v>3158</v>
      </c>
      <c r="C358" s="3223">
        <v>2080</v>
      </c>
      <c r="D358" s="3223">
        <v>2040</v>
      </c>
      <c r="E358" s="3223">
        <v>2010</v>
      </c>
      <c r="F358" s="3223">
        <v>530</v>
      </c>
      <c r="G358" s="3239">
        <v>1230</v>
      </c>
    </row>
    <row r="359" spans="1:7" s="3220" customFormat="1">
      <c r="A359" s="3227" t="s">
        <v>3157</v>
      </c>
      <c r="B359" s="3227" t="s">
        <v>3159</v>
      </c>
      <c r="C359" s="3227">
        <v>1850</v>
      </c>
      <c r="D359" s="3227">
        <v>1820</v>
      </c>
      <c r="E359" s="3227">
        <v>1780</v>
      </c>
      <c r="F359" s="3227">
        <v>520</v>
      </c>
      <c r="G359" s="3240">
        <v>1100</v>
      </c>
    </row>
    <row r="360" spans="1:7" s="3220" customFormat="1">
      <c r="A360" s="3227" t="s">
        <v>3157</v>
      </c>
      <c r="B360" s="3227" t="s">
        <v>3160</v>
      </c>
      <c r="C360" s="3227">
        <v>2020</v>
      </c>
      <c r="D360" s="3227">
        <v>1990</v>
      </c>
      <c r="E360" s="3227">
        <v>1950</v>
      </c>
      <c r="F360" s="3227">
        <v>500</v>
      </c>
      <c r="G360" s="3240">
        <v>1200</v>
      </c>
    </row>
    <row r="361" spans="1:7" s="3220" customFormat="1">
      <c r="A361" s="3227" t="s">
        <v>3157</v>
      </c>
      <c r="B361" s="3227" t="s">
        <v>153</v>
      </c>
      <c r="C361" s="3227">
        <v>2260</v>
      </c>
      <c r="D361" s="3227">
        <v>2220</v>
      </c>
      <c r="E361" s="3227">
        <v>2180</v>
      </c>
      <c r="F361" s="3227">
        <v>580</v>
      </c>
      <c r="G361" s="3240">
        <v>1340</v>
      </c>
    </row>
    <row r="362" spans="1:7" s="3220" customFormat="1">
      <c r="A362" s="3227" t="s">
        <v>3157</v>
      </c>
      <c r="B362" s="3227" t="s">
        <v>3161</v>
      </c>
      <c r="C362" s="3227">
        <v>2650</v>
      </c>
      <c r="D362" s="3227">
        <v>2610</v>
      </c>
      <c r="E362" s="3227">
        <v>2570</v>
      </c>
      <c r="F362" s="3227">
        <v>630</v>
      </c>
      <c r="G362" s="3240">
        <v>1570</v>
      </c>
    </row>
    <row r="363" spans="1:7" s="3220" customFormat="1">
      <c r="A363" s="3227" t="s">
        <v>3157</v>
      </c>
      <c r="B363" s="3227" t="s">
        <v>2882</v>
      </c>
      <c r="C363" s="3227">
        <v>2390</v>
      </c>
      <c r="D363" s="3227">
        <v>2360</v>
      </c>
      <c r="E363" s="3227">
        <v>2320</v>
      </c>
      <c r="F363" s="3227">
        <v>600</v>
      </c>
      <c r="G363" s="3240">
        <v>1420</v>
      </c>
    </row>
    <row r="364" spans="1:7" s="3220" customFormat="1">
      <c r="A364" s="3227" t="s">
        <v>3157</v>
      </c>
      <c r="B364" s="3227" t="s">
        <v>3162</v>
      </c>
      <c r="C364" s="3227">
        <v>2050</v>
      </c>
      <c r="D364" s="3227">
        <v>2030</v>
      </c>
      <c r="E364" s="3227">
        <v>1990</v>
      </c>
      <c r="F364" s="3227">
        <v>550</v>
      </c>
      <c r="G364" s="3240">
        <v>1220</v>
      </c>
    </row>
    <row r="365" spans="1:7" s="3220" customFormat="1">
      <c r="A365" s="3227" t="s">
        <v>3157</v>
      </c>
      <c r="B365" s="3227" t="s">
        <v>200</v>
      </c>
      <c r="C365" s="3227">
        <v>2140</v>
      </c>
      <c r="D365" s="3227">
        <v>2100</v>
      </c>
      <c r="E365" s="3227">
        <v>2060</v>
      </c>
      <c r="F365" s="3227">
        <v>540</v>
      </c>
      <c r="G365" s="3240">
        <v>1270</v>
      </c>
    </row>
    <row r="366" spans="1:7" s="3220" customFormat="1">
      <c r="A366" s="3227" t="s">
        <v>3157</v>
      </c>
      <c r="B366" s="3227" t="s">
        <v>2889</v>
      </c>
      <c r="C366" s="3227">
        <v>2410</v>
      </c>
      <c r="D366" s="3227">
        <v>2370</v>
      </c>
      <c r="E366" s="3227">
        <v>2330</v>
      </c>
      <c r="F366" s="3227">
        <v>570</v>
      </c>
      <c r="G366" s="3240">
        <v>1440</v>
      </c>
    </row>
    <row r="367" spans="1:7" s="3220" customFormat="1">
      <c r="A367" s="3227" t="s">
        <v>3157</v>
      </c>
      <c r="B367" s="3227" t="s">
        <v>3163</v>
      </c>
      <c r="C367" s="3227">
        <v>2300</v>
      </c>
      <c r="D367" s="3227">
        <v>2260</v>
      </c>
      <c r="E367" s="3227">
        <v>2220</v>
      </c>
      <c r="F367" s="3227">
        <v>560</v>
      </c>
      <c r="G367" s="3240">
        <v>1370</v>
      </c>
    </row>
    <row r="368" spans="1:7" s="3220" customFormat="1">
      <c r="A368" s="3227" t="s">
        <v>3157</v>
      </c>
      <c r="B368" s="3227" t="s">
        <v>3164</v>
      </c>
      <c r="C368" s="3227">
        <v>2430</v>
      </c>
      <c r="D368" s="3227">
        <v>2390</v>
      </c>
      <c r="E368" s="3227">
        <v>2350</v>
      </c>
      <c r="F368" s="3227">
        <v>570</v>
      </c>
      <c r="G368" s="3240">
        <v>1450</v>
      </c>
    </row>
    <row r="369" spans="1:7" s="3220" customFormat="1">
      <c r="A369" s="3227" t="s">
        <v>3157</v>
      </c>
      <c r="B369" s="3227" t="s">
        <v>214</v>
      </c>
      <c r="C369" s="3227">
        <v>2320</v>
      </c>
      <c r="D369" s="3227">
        <v>2290</v>
      </c>
      <c r="E369" s="3227">
        <v>2250</v>
      </c>
      <c r="F369" s="3227">
        <v>550</v>
      </c>
      <c r="G369" s="3240">
        <v>1380</v>
      </c>
    </row>
    <row r="370" spans="1:7" s="3220" customFormat="1">
      <c r="A370" s="3227" t="s">
        <v>3157</v>
      </c>
      <c r="B370" s="3227" t="s">
        <v>221</v>
      </c>
      <c r="C370" s="3227">
        <v>2190</v>
      </c>
      <c r="D370" s="3227">
        <v>2170</v>
      </c>
      <c r="E370" s="3227">
        <v>2130</v>
      </c>
      <c r="F370" s="3227">
        <v>530</v>
      </c>
      <c r="G370" s="3240">
        <v>1310</v>
      </c>
    </row>
    <row r="371" spans="1:7" s="3220" customFormat="1">
      <c r="A371" s="3227" t="s">
        <v>3157</v>
      </c>
      <c r="B371" s="3227" t="s">
        <v>229</v>
      </c>
      <c r="C371" s="3227">
        <v>2460</v>
      </c>
      <c r="D371" s="3227">
        <v>2420</v>
      </c>
      <c r="E371" s="3227">
        <v>2370</v>
      </c>
      <c r="F371" s="3227">
        <v>560</v>
      </c>
      <c r="G371" s="3240">
        <v>1470</v>
      </c>
    </row>
    <row r="372" spans="1:7" s="3220" customFormat="1">
      <c r="A372" s="3227" t="s">
        <v>3157</v>
      </c>
      <c r="B372" s="3227" t="s">
        <v>3165</v>
      </c>
      <c r="C372" s="3227">
        <v>2250</v>
      </c>
      <c r="D372" s="3227">
        <v>2210</v>
      </c>
      <c r="E372" s="3227">
        <v>2180</v>
      </c>
      <c r="F372" s="3227">
        <v>550</v>
      </c>
      <c r="G372" s="3240">
        <v>1340</v>
      </c>
    </row>
    <row r="373" spans="1:7" s="3220" customFormat="1">
      <c r="A373" s="3227" t="s">
        <v>3157</v>
      </c>
      <c r="B373" s="3227" t="s">
        <v>258</v>
      </c>
      <c r="C373" s="3227">
        <v>2210</v>
      </c>
      <c r="D373" s="3227">
        <v>2190</v>
      </c>
      <c r="E373" s="3227">
        <v>2150</v>
      </c>
      <c r="F373" s="3227">
        <v>530</v>
      </c>
      <c r="G373" s="3240">
        <v>1320</v>
      </c>
    </row>
    <row r="374" spans="1:7" s="3220" customFormat="1">
      <c r="A374" s="3227" t="s">
        <v>3157</v>
      </c>
      <c r="B374" s="3227" t="s">
        <v>266</v>
      </c>
      <c r="C374" s="3227">
        <v>2320</v>
      </c>
      <c r="D374" s="3227">
        <v>2280</v>
      </c>
      <c r="E374" s="3227">
        <v>2230</v>
      </c>
      <c r="F374" s="3227">
        <v>580</v>
      </c>
      <c r="G374" s="3240">
        <v>1380</v>
      </c>
    </row>
    <row r="375" spans="1:7" s="3220" customFormat="1">
      <c r="A375" s="3227" t="s">
        <v>3157</v>
      </c>
      <c r="B375" s="3227" t="s">
        <v>3166</v>
      </c>
      <c r="C375" s="3227">
        <v>2090</v>
      </c>
      <c r="D375" s="3227">
        <v>2050</v>
      </c>
      <c r="E375" s="3227">
        <v>2020</v>
      </c>
      <c r="F375" s="3227">
        <v>520</v>
      </c>
      <c r="G375" s="3240">
        <v>1240</v>
      </c>
    </row>
    <row r="376" spans="1:7" s="3220" customFormat="1">
      <c r="A376" s="3227" t="s">
        <v>3157</v>
      </c>
      <c r="B376" s="3227" t="s">
        <v>277</v>
      </c>
      <c r="C376" s="3227">
        <v>2010</v>
      </c>
      <c r="D376" s="3227">
        <v>1980</v>
      </c>
      <c r="E376" s="3227">
        <v>1940</v>
      </c>
      <c r="F376" s="3227">
        <v>540</v>
      </c>
      <c r="G376" s="3240">
        <v>1190</v>
      </c>
    </row>
    <row r="377" spans="1:7" s="3220" customFormat="1" ht="12" thickBot="1">
      <c r="A377" s="3235" t="s">
        <v>3157</v>
      </c>
      <c r="B377" s="3238" t="s">
        <v>2919</v>
      </c>
      <c r="C377" s="3238">
        <v>1930</v>
      </c>
      <c r="D377" s="3238">
        <v>1890</v>
      </c>
      <c r="E377" s="3238">
        <v>1860</v>
      </c>
      <c r="F377" s="3238">
        <v>530</v>
      </c>
      <c r="G377" s="3243">
        <v>1150</v>
      </c>
    </row>
    <row r="378" spans="1:7" s="3220" customFormat="1">
      <c r="A378" s="3244" t="s">
        <v>3167</v>
      </c>
      <c r="B378" s="3223" t="s">
        <v>3168</v>
      </c>
      <c r="C378" s="3223">
        <v>1520</v>
      </c>
      <c r="D378" s="3223">
        <v>1490</v>
      </c>
      <c r="E378" s="3223">
        <v>1460</v>
      </c>
      <c r="F378" s="3223">
        <v>460</v>
      </c>
      <c r="G378" s="3239">
        <v>940</v>
      </c>
    </row>
    <row r="379" spans="1:7" s="3220" customFormat="1">
      <c r="A379" s="3245" t="s">
        <v>3167</v>
      </c>
      <c r="B379" s="3227" t="s">
        <v>3169</v>
      </c>
      <c r="C379" s="3227">
        <v>1500</v>
      </c>
      <c r="D379" s="3227">
        <v>1470</v>
      </c>
      <c r="E379" s="3227">
        <v>1430</v>
      </c>
      <c r="F379" s="3227">
        <v>460</v>
      </c>
      <c r="G379" s="3240">
        <v>920</v>
      </c>
    </row>
    <row r="380" spans="1:7" s="3220" customFormat="1">
      <c r="A380" s="3245" t="s">
        <v>3167</v>
      </c>
      <c r="B380" s="3227" t="s">
        <v>3170</v>
      </c>
      <c r="C380" s="3227">
        <v>1620</v>
      </c>
      <c r="D380" s="3227">
        <v>1590</v>
      </c>
      <c r="E380" s="3227">
        <v>1560</v>
      </c>
      <c r="F380" s="3227">
        <v>480</v>
      </c>
      <c r="G380" s="3240">
        <v>1000</v>
      </c>
    </row>
    <row r="381" spans="1:7" s="3220" customFormat="1">
      <c r="A381" s="3245" t="s">
        <v>3167</v>
      </c>
      <c r="B381" s="3227" t="s">
        <v>3171</v>
      </c>
      <c r="C381" s="3227">
        <v>1460</v>
      </c>
      <c r="D381" s="3227">
        <v>1430</v>
      </c>
      <c r="E381" s="3227">
        <v>1390</v>
      </c>
      <c r="F381" s="3227">
        <v>450</v>
      </c>
      <c r="G381" s="3240">
        <v>900</v>
      </c>
    </row>
    <row r="382" spans="1:7" s="3220" customFormat="1">
      <c r="A382" s="3245" t="s">
        <v>3167</v>
      </c>
      <c r="B382" s="3227" t="s">
        <v>3172</v>
      </c>
      <c r="C382" s="3227">
        <v>1310</v>
      </c>
      <c r="D382" s="3227">
        <v>1280</v>
      </c>
      <c r="E382" s="3227">
        <v>1250</v>
      </c>
      <c r="F382" s="3227">
        <v>440</v>
      </c>
      <c r="G382" s="3240">
        <v>800</v>
      </c>
    </row>
    <row r="383" spans="1:7" s="3220" customFormat="1">
      <c r="A383" s="3245" t="s">
        <v>3167</v>
      </c>
      <c r="B383" s="3227" t="s">
        <v>3173</v>
      </c>
      <c r="C383" s="3227">
        <v>1260</v>
      </c>
      <c r="D383" s="3227">
        <v>1230</v>
      </c>
      <c r="E383" s="3227">
        <v>1200</v>
      </c>
      <c r="F383" s="3227">
        <v>420</v>
      </c>
      <c r="G383" s="3240">
        <v>770</v>
      </c>
    </row>
    <row r="384" spans="1:7" s="3220" customFormat="1" ht="12" thickBot="1">
      <c r="A384" s="3246" t="s">
        <v>3167</v>
      </c>
      <c r="B384" s="3234" t="s">
        <v>3174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4" t="s">
        <v>3175</v>
      </c>
      <c r="B1" s="3874"/>
    </row>
    <row r="2" spans="1:7" ht="14.25" thickBot="1">
      <c r="A2" s="3249"/>
      <c r="B2" s="3249"/>
    </row>
    <row r="3" spans="1:7" ht="14.25" thickBot="1">
      <c r="A3" s="3249"/>
      <c r="B3" s="3249"/>
      <c r="C3" s="3250" t="s">
        <v>2803</v>
      </c>
      <c r="D3" s="3250" t="s">
        <v>2861</v>
      </c>
      <c r="E3" s="3250" t="s">
        <v>2805</v>
      </c>
      <c r="F3" s="3250" t="s">
        <v>2862</v>
      </c>
      <c r="G3" s="3250" t="s">
        <v>2623</v>
      </c>
    </row>
    <row r="4" spans="1:7" ht="14.25" thickBot="1">
      <c r="A4" s="3251" t="s">
        <v>2860</v>
      </c>
      <c r="B4" s="3252" t="s">
        <v>2866</v>
      </c>
      <c r="C4" s="3250"/>
      <c r="D4" s="3250"/>
      <c r="E4" s="3250"/>
      <c r="F4" s="3250"/>
      <c r="G4" s="3250"/>
    </row>
    <row r="5" spans="1:7">
      <c r="A5" s="3253" t="s">
        <v>2834</v>
      </c>
      <c r="B5" s="3254" t="s">
        <v>2848</v>
      </c>
      <c r="C5" s="3255">
        <v>9.8000000000000004E-2</v>
      </c>
      <c r="D5" s="3255">
        <v>8.6999999999999994E-2</v>
      </c>
      <c r="E5" s="3255">
        <v>8.6999999999999994E-2</v>
      </c>
      <c r="F5" s="3255">
        <v>9.8000000000000004E-2</v>
      </c>
      <c r="G5" s="3256">
        <v>9.5000000000000001E-2</v>
      </c>
    </row>
    <row r="6" spans="1:7">
      <c r="A6" s="3257" t="s">
        <v>144</v>
      </c>
      <c r="B6" s="3258" t="s">
        <v>2863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2917</v>
      </c>
      <c r="C29" s="3267"/>
      <c r="D29" s="3263">
        <v>5.1999999999999998E-2</v>
      </c>
      <c r="E29" s="3263">
        <v>7.0000000000000007E-2</v>
      </c>
      <c r="F29" s="3267"/>
      <c r="G29" s="3265">
        <v>7.0999999999999994E-2</v>
      </c>
    </row>
    <row r="30" spans="1:7">
      <c r="A30" s="3268" t="s">
        <v>296</v>
      </c>
      <c r="B30" s="3254" t="s">
        <v>2850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2920</v>
      </c>
      <c r="C50" s="3259">
        <v>9.8000000000000004E-2</v>
      </c>
      <c r="D50" s="3259">
        <v>7.2999999999999995E-2</v>
      </c>
      <c r="E50" s="3259">
        <v>7.0999999999999994E-2</v>
      </c>
      <c r="F50" s="3270"/>
      <c r="G50" s="3260">
        <v>7.2999999999999995E-2</v>
      </c>
    </row>
    <row r="51" spans="1:7">
      <c r="A51" s="3269" t="s">
        <v>296</v>
      </c>
      <c r="B51" s="3258" t="s">
        <v>2922</v>
      </c>
      <c r="C51" s="3259">
        <v>9.9000000000000005E-2</v>
      </c>
      <c r="D51" s="3259">
        <v>8.5000000000000006E-2</v>
      </c>
      <c r="E51" s="3259">
        <v>6.3E-2</v>
      </c>
      <c r="F51" s="3270"/>
      <c r="G51" s="3260">
        <v>9.6000000000000002E-2</v>
      </c>
    </row>
    <row r="52" spans="1:7">
      <c r="A52" s="3269" t="s">
        <v>296</v>
      </c>
      <c r="B52" s="3258" t="s">
        <v>2926</v>
      </c>
      <c r="C52" s="3259">
        <v>7.3999999999999996E-2</v>
      </c>
      <c r="D52" s="3259">
        <v>9.6000000000000002E-2</v>
      </c>
      <c r="E52" s="3259">
        <v>0.05</v>
      </c>
      <c r="F52" s="3270"/>
      <c r="G52" s="3260">
        <v>9.8000000000000004E-2</v>
      </c>
    </row>
    <row r="53" spans="1:7">
      <c r="A53" s="3269" t="s">
        <v>296</v>
      </c>
      <c r="B53" s="3258" t="s">
        <v>2931</v>
      </c>
      <c r="C53" s="3259">
        <v>8.5999999999999993E-2</v>
      </c>
      <c r="D53" s="3270"/>
      <c r="E53" s="3259">
        <v>9.1999999999999998E-2</v>
      </c>
      <c r="F53" s="3270"/>
      <c r="G53" s="3271"/>
    </row>
    <row r="54" spans="1:7" ht="14.25" thickBot="1">
      <c r="A54" s="3272" t="s">
        <v>296</v>
      </c>
      <c r="B54" s="3262" t="s">
        <v>2934</v>
      </c>
      <c r="C54" s="3263">
        <v>9.6000000000000002E-2</v>
      </c>
      <c r="D54" s="3264"/>
      <c r="E54" s="3273"/>
      <c r="F54" s="3264"/>
      <c r="G54" s="3274"/>
    </row>
    <row r="55" spans="1:7">
      <c r="A55" s="3268" t="s">
        <v>110</v>
      </c>
      <c r="B55" s="3254" t="s">
        <v>2851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2932</v>
      </c>
      <c r="C78" s="3259">
        <v>0.1</v>
      </c>
      <c r="D78" s="3259">
        <v>8.5000000000000006E-2</v>
      </c>
      <c r="E78" s="3259">
        <v>9.6000000000000002E-2</v>
      </c>
      <c r="F78" s="3270"/>
      <c r="G78" s="3260">
        <v>9.6000000000000002E-2</v>
      </c>
    </row>
    <row r="79" spans="1:7">
      <c r="A79" s="3269" t="s">
        <v>110</v>
      </c>
      <c r="B79" s="3258" t="s">
        <v>2935</v>
      </c>
      <c r="C79" s="3259">
        <v>0.05</v>
      </c>
      <c r="D79" s="3259">
        <v>9.6000000000000002E-2</v>
      </c>
      <c r="E79" s="3259">
        <v>9.5000000000000001E-2</v>
      </c>
      <c r="F79" s="3270"/>
      <c r="G79" s="3260">
        <v>9.8000000000000004E-2</v>
      </c>
    </row>
    <row r="80" spans="1:7">
      <c r="A80" s="3269" t="s">
        <v>110</v>
      </c>
      <c r="B80" s="3258" t="s">
        <v>2939</v>
      </c>
      <c r="C80" s="3259">
        <v>8.5999999999999993E-2</v>
      </c>
      <c r="D80" s="3275"/>
      <c r="E80" s="3259">
        <v>0.1</v>
      </c>
      <c r="F80" s="3270"/>
      <c r="G80" s="3271"/>
    </row>
    <row r="81" spans="1:7">
      <c r="A81" s="3269" t="s">
        <v>110</v>
      </c>
      <c r="B81" s="3258" t="s">
        <v>2944</v>
      </c>
      <c r="C81" s="3259">
        <v>9.6000000000000002E-2</v>
      </c>
      <c r="D81" s="3270"/>
      <c r="E81" s="3259">
        <v>9.8000000000000004E-2</v>
      </c>
      <c r="F81" s="3270"/>
      <c r="G81" s="3271"/>
    </row>
    <row r="82" spans="1:7">
      <c r="A82" s="3269" t="s">
        <v>110</v>
      </c>
      <c r="B82" s="3258" t="s">
        <v>2951</v>
      </c>
      <c r="C82" s="3275"/>
      <c r="D82" s="3270"/>
      <c r="E82" s="3259">
        <v>7.6999999999999999E-2</v>
      </c>
      <c r="F82" s="3270"/>
      <c r="G82" s="3271"/>
    </row>
    <row r="83" spans="1:7">
      <c r="A83" s="3269" t="s">
        <v>110</v>
      </c>
      <c r="B83" s="3258" t="s">
        <v>2957</v>
      </c>
      <c r="C83" s="3270"/>
      <c r="D83" s="3270"/>
      <c r="E83" s="3270"/>
      <c r="F83" s="3259">
        <v>0.1</v>
      </c>
      <c r="G83" s="3276"/>
    </row>
    <row r="84" spans="1:7">
      <c r="A84" s="3269" t="s">
        <v>110</v>
      </c>
      <c r="B84" s="3258" t="s">
        <v>2964</v>
      </c>
      <c r="C84" s="3270"/>
      <c r="D84" s="3270"/>
      <c r="E84" s="3270"/>
      <c r="F84" s="3259">
        <v>0.1</v>
      </c>
      <c r="G84" s="3276"/>
    </row>
    <row r="85" spans="1:7">
      <c r="A85" s="3269" t="s">
        <v>110</v>
      </c>
      <c r="B85" s="3258" t="s">
        <v>2971</v>
      </c>
      <c r="C85" s="3270"/>
      <c r="D85" s="3270"/>
      <c r="E85" s="3270"/>
      <c r="F85" s="3259">
        <v>0.1</v>
      </c>
      <c r="G85" s="3276"/>
    </row>
    <row r="86" spans="1:7" ht="14.25" thickBot="1">
      <c r="A86" s="3272" t="s">
        <v>110</v>
      </c>
      <c r="B86" s="3262" t="s">
        <v>2976</v>
      </c>
      <c r="C86" s="3263">
        <v>9.8000000000000004E-2</v>
      </c>
      <c r="D86" s="3263">
        <v>9.8000000000000004E-2</v>
      </c>
      <c r="E86" s="3263">
        <v>9.6000000000000002E-2</v>
      </c>
      <c r="F86" s="3273"/>
      <c r="G86" s="3265">
        <v>0.1</v>
      </c>
    </row>
    <row r="87" spans="1:7">
      <c r="A87" s="3268" t="s">
        <v>303</v>
      </c>
      <c r="B87" s="3254" t="s">
        <v>2852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2945</v>
      </c>
      <c r="C113" s="3259">
        <v>0.1</v>
      </c>
      <c r="D113" s="3259">
        <v>0.1</v>
      </c>
      <c r="E113" s="3270"/>
      <c r="F113" s="3270"/>
      <c r="G113" s="3260">
        <v>0.1</v>
      </c>
    </row>
    <row r="114" spans="1:7">
      <c r="A114" s="3269" t="s">
        <v>303</v>
      </c>
      <c r="B114" s="3258" t="s">
        <v>2952</v>
      </c>
      <c r="C114" s="3259">
        <v>9.7000000000000003E-2</v>
      </c>
      <c r="D114" s="3259">
        <v>9.7000000000000003E-2</v>
      </c>
      <c r="E114" s="3270"/>
      <c r="F114" s="3270"/>
      <c r="G114" s="3260">
        <v>9.9000000000000005E-2</v>
      </c>
    </row>
    <row r="115" spans="1:7">
      <c r="A115" s="3269" t="s">
        <v>303</v>
      </c>
      <c r="B115" s="3258" t="s">
        <v>2958</v>
      </c>
      <c r="C115" s="3259">
        <v>0.1</v>
      </c>
      <c r="D115" s="3259">
        <v>0.1</v>
      </c>
      <c r="E115" s="3270"/>
      <c r="F115" s="3270"/>
      <c r="G115" s="3260">
        <v>0.1</v>
      </c>
    </row>
    <row r="116" spans="1:7">
      <c r="A116" s="3269" t="s">
        <v>303</v>
      </c>
      <c r="B116" s="3258" t="s">
        <v>2965</v>
      </c>
      <c r="C116" s="3259">
        <v>0.1</v>
      </c>
      <c r="D116" s="3259">
        <v>0.1</v>
      </c>
      <c r="E116" s="3270"/>
      <c r="F116" s="3270"/>
      <c r="G116" s="3260">
        <v>0.1</v>
      </c>
    </row>
    <row r="117" spans="1:7">
      <c r="A117" s="3269" t="s">
        <v>303</v>
      </c>
      <c r="B117" s="3258" t="s">
        <v>2972</v>
      </c>
      <c r="C117" s="3259">
        <v>9.7000000000000003E-2</v>
      </c>
      <c r="D117" s="3259">
        <v>9.7000000000000003E-2</v>
      </c>
      <c r="E117" s="3270"/>
      <c r="F117" s="3270"/>
      <c r="G117" s="3260">
        <v>9.7000000000000003E-2</v>
      </c>
    </row>
    <row r="118" spans="1:7">
      <c r="A118" s="3269" t="s">
        <v>303</v>
      </c>
      <c r="B118" s="3258" t="s">
        <v>2977</v>
      </c>
      <c r="C118" s="3259">
        <v>0.1</v>
      </c>
      <c r="D118" s="3259">
        <v>0.1</v>
      </c>
      <c r="E118" s="3270"/>
      <c r="F118" s="3270"/>
      <c r="G118" s="3260">
        <v>0.1</v>
      </c>
    </row>
    <row r="119" spans="1:7">
      <c r="A119" s="3269" t="s">
        <v>303</v>
      </c>
      <c r="B119" s="3258" t="s">
        <v>2981</v>
      </c>
      <c r="C119" s="3259">
        <v>5.0999999999999997E-2</v>
      </c>
      <c r="D119" s="3259">
        <v>5.1999999999999998E-2</v>
      </c>
      <c r="E119" s="3270"/>
      <c r="F119" s="3275"/>
      <c r="G119" s="3260">
        <v>0.06</v>
      </c>
    </row>
    <row r="120" spans="1:7">
      <c r="A120" s="3269" t="s">
        <v>303</v>
      </c>
      <c r="B120" s="3258" t="s">
        <v>2985</v>
      </c>
      <c r="C120" s="3270"/>
      <c r="D120" s="3270"/>
      <c r="E120" s="3270"/>
      <c r="F120" s="3259">
        <v>0.1</v>
      </c>
      <c r="G120" s="3276"/>
    </row>
    <row r="121" spans="1:7">
      <c r="A121" s="3269" t="s">
        <v>303</v>
      </c>
      <c r="B121" s="3258" t="s">
        <v>2990</v>
      </c>
      <c r="C121" s="3270"/>
      <c r="D121" s="3270"/>
      <c r="E121" s="3270"/>
      <c r="F121" s="3259">
        <v>0.1</v>
      </c>
      <c r="G121" s="3276"/>
    </row>
    <row r="122" spans="1:7">
      <c r="A122" s="3269" t="s">
        <v>303</v>
      </c>
      <c r="B122" s="3258" t="s">
        <v>2995</v>
      </c>
      <c r="C122" s="3259">
        <v>0.1</v>
      </c>
      <c r="D122" s="3259">
        <v>0.1</v>
      </c>
      <c r="E122" s="3259">
        <v>9.8000000000000004E-2</v>
      </c>
      <c r="F122" s="3259">
        <v>0.1</v>
      </c>
      <c r="G122" s="3260">
        <v>0.1</v>
      </c>
    </row>
    <row r="123" spans="1:7">
      <c r="A123" s="3269" t="s">
        <v>303</v>
      </c>
      <c r="B123" s="3258" t="s">
        <v>3000</v>
      </c>
      <c r="C123" s="3259">
        <v>0.1</v>
      </c>
      <c r="D123" s="3259">
        <v>0.1</v>
      </c>
      <c r="E123" s="3259">
        <v>9.8000000000000004E-2</v>
      </c>
      <c r="F123" s="3259">
        <v>0.1</v>
      </c>
      <c r="G123" s="3260">
        <v>0.1</v>
      </c>
    </row>
    <row r="124" spans="1:7">
      <c r="A124" s="3269" t="s">
        <v>303</v>
      </c>
      <c r="B124" s="3258" t="s">
        <v>3005</v>
      </c>
      <c r="C124" s="3259">
        <v>0.1</v>
      </c>
      <c r="D124" s="3259">
        <v>0.1</v>
      </c>
      <c r="E124" s="3259">
        <v>9.8000000000000004E-2</v>
      </c>
      <c r="F124" s="3275"/>
      <c r="G124" s="3260">
        <v>0.1</v>
      </c>
    </row>
    <row r="125" spans="1:7">
      <c r="A125" s="3269" t="s">
        <v>303</v>
      </c>
      <c r="B125" s="3258" t="s">
        <v>3010</v>
      </c>
      <c r="C125" s="3259">
        <v>9.8000000000000004E-2</v>
      </c>
      <c r="D125" s="3259">
        <v>9.8000000000000004E-2</v>
      </c>
      <c r="E125" s="3259">
        <v>9.6000000000000002E-2</v>
      </c>
      <c r="F125" s="3275"/>
      <c r="G125" s="3260">
        <v>0.1</v>
      </c>
    </row>
    <row r="126" spans="1:7" ht="14.25" thickBot="1">
      <c r="A126" s="3272" t="s">
        <v>303</v>
      </c>
      <c r="B126" s="3262" t="s">
        <v>3176</v>
      </c>
      <c r="C126" s="3263">
        <v>0.1</v>
      </c>
      <c r="D126" s="3263">
        <v>0.1</v>
      </c>
      <c r="E126" s="3263">
        <v>9.8000000000000004E-2</v>
      </c>
      <c r="F126" s="3263">
        <v>0.1</v>
      </c>
      <c r="G126" s="3265">
        <v>0.1</v>
      </c>
    </row>
    <row r="127" spans="1:7">
      <c r="A127" s="3268" t="s">
        <v>29</v>
      </c>
      <c r="B127" s="3254" t="s">
        <v>2853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2923</v>
      </c>
      <c r="C148" s="3259">
        <v>0.13</v>
      </c>
      <c r="D148" s="3259">
        <v>0.13</v>
      </c>
      <c r="E148" s="3259">
        <v>0.13</v>
      </c>
      <c r="F148" s="3270"/>
      <c r="G148" s="3260">
        <v>0.13</v>
      </c>
    </row>
    <row r="149" spans="1:7">
      <c r="A149" s="3269" t="s">
        <v>29</v>
      </c>
      <c r="B149" s="3258" t="s">
        <v>2927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2946</v>
      </c>
      <c r="C153" s="3259">
        <v>0.13</v>
      </c>
      <c r="D153" s="3259">
        <v>0.13</v>
      </c>
      <c r="E153" s="3259">
        <v>0.13</v>
      </c>
      <c r="F153" s="3259">
        <v>0.13</v>
      </c>
      <c r="G153" s="3260">
        <v>0.13</v>
      </c>
    </row>
    <row r="154" spans="1:7">
      <c r="A154" s="3269" t="s">
        <v>29</v>
      </c>
      <c r="B154" s="3258" t="s">
        <v>2953</v>
      </c>
      <c r="C154" s="3259">
        <v>0.121</v>
      </c>
      <c r="D154" s="3259">
        <v>0.121</v>
      </c>
      <c r="E154" s="3259">
        <v>0.105</v>
      </c>
      <c r="F154" s="3259">
        <v>0.121</v>
      </c>
      <c r="G154" s="3260">
        <v>0.123</v>
      </c>
    </row>
    <row r="155" spans="1:7">
      <c r="A155" s="3269" t="s">
        <v>29</v>
      </c>
      <c r="B155" s="3258" t="s">
        <v>2959</v>
      </c>
      <c r="C155" s="3259">
        <v>0.1</v>
      </c>
      <c r="D155" s="3259">
        <v>0.1</v>
      </c>
      <c r="E155" s="3259">
        <v>0.1</v>
      </c>
      <c r="F155" s="3259">
        <v>0.1</v>
      </c>
      <c r="G155" s="3260">
        <v>0.1</v>
      </c>
    </row>
    <row r="156" spans="1:7">
      <c r="A156" s="3269" t="s">
        <v>29</v>
      </c>
      <c r="B156" s="3258" t="s">
        <v>2966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2986</v>
      </c>
      <c r="C160" s="3259">
        <v>0.13</v>
      </c>
      <c r="D160" s="3259">
        <v>0.13</v>
      </c>
      <c r="E160" s="3259">
        <v>0.124</v>
      </c>
      <c r="F160" s="3259">
        <v>0.126</v>
      </c>
      <c r="G160" s="3260">
        <v>0.13</v>
      </c>
    </row>
    <row r="161" spans="1:7">
      <c r="A161" s="3269" t="s">
        <v>29</v>
      </c>
      <c r="B161" s="3258" t="s">
        <v>2991</v>
      </c>
      <c r="C161" s="3259">
        <v>0.13</v>
      </c>
      <c r="D161" s="3259">
        <v>0.13</v>
      </c>
      <c r="E161" s="3259">
        <v>0.124</v>
      </c>
      <c r="F161" s="3259">
        <v>0.127</v>
      </c>
      <c r="G161" s="3260">
        <v>0.13</v>
      </c>
    </row>
    <row r="162" spans="1:7">
      <c r="A162" s="3269" t="s">
        <v>29</v>
      </c>
      <c r="B162" s="3258" t="s">
        <v>2996</v>
      </c>
      <c r="C162" s="3259">
        <v>0.1</v>
      </c>
      <c r="D162" s="3259">
        <v>0.1</v>
      </c>
      <c r="E162" s="3259">
        <v>0.1</v>
      </c>
      <c r="F162" s="3259">
        <v>0.121</v>
      </c>
      <c r="G162" s="3260">
        <v>0.105</v>
      </c>
    </row>
    <row r="163" spans="1:7">
      <c r="A163" s="3269" t="s">
        <v>29</v>
      </c>
      <c r="B163" s="3258" t="s">
        <v>3001</v>
      </c>
      <c r="C163" s="3259">
        <v>0.1</v>
      </c>
      <c r="D163" s="3259">
        <v>0.1</v>
      </c>
      <c r="E163" s="3259">
        <v>0.1</v>
      </c>
      <c r="F163" s="3259">
        <v>0.1</v>
      </c>
      <c r="G163" s="3260">
        <v>0.1</v>
      </c>
    </row>
    <row r="164" spans="1:7">
      <c r="A164" s="3269" t="s">
        <v>29</v>
      </c>
      <c r="B164" s="3258" t="s">
        <v>3006</v>
      </c>
      <c r="C164" s="3275"/>
      <c r="D164" s="3275"/>
      <c r="E164" s="3275"/>
      <c r="F164" s="3259">
        <v>0.1</v>
      </c>
      <c r="G164" s="3271"/>
    </row>
    <row r="165" spans="1:7">
      <c r="A165" s="3269" t="s">
        <v>29</v>
      </c>
      <c r="B165" s="3258" t="s">
        <v>3177</v>
      </c>
      <c r="C165" s="3259">
        <v>0.126</v>
      </c>
      <c r="D165" s="3259">
        <v>0.126</v>
      </c>
      <c r="E165" s="3259">
        <v>0.11899999999999999</v>
      </c>
      <c r="F165" s="3259">
        <v>0.13</v>
      </c>
      <c r="G165" s="3260">
        <v>0.128</v>
      </c>
    </row>
    <row r="166" spans="1:7">
      <c r="A166" s="3269" t="s">
        <v>29</v>
      </c>
      <c r="B166" s="3258" t="s">
        <v>3016</v>
      </c>
      <c r="C166" s="3259">
        <v>0.129</v>
      </c>
      <c r="D166" s="3259">
        <v>0.129</v>
      </c>
      <c r="E166" s="3259">
        <v>0.123</v>
      </c>
      <c r="F166" s="3259">
        <v>0.128</v>
      </c>
      <c r="G166" s="3260">
        <v>0.13</v>
      </c>
    </row>
    <row r="167" spans="1:7">
      <c r="A167" s="3269" t="s">
        <v>29</v>
      </c>
      <c r="B167" s="3258" t="s">
        <v>3020</v>
      </c>
      <c r="C167" s="3259">
        <v>0.125</v>
      </c>
      <c r="D167" s="3259">
        <v>0.125</v>
      </c>
      <c r="E167" s="3259">
        <v>0.11700000000000001</v>
      </c>
      <c r="F167" s="3259">
        <v>0.13</v>
      </c>
      <c r="G167" s="3260">
        <v>0.126</v>
      </c>
    </row>
    <row r="168" spans="1:7">
      <c r="A168" s="3269" t="s">
        <v>29</v>
      </c>
      <c r="B168" s="3258" t="s">
        <v>3025</v>
      </c>
      <c r="C168" s="3259">
        <v>0.128</v>
      </c>
      <c r="D168" s="3259">
        <v>0.128</v>
      </c>
      <c r="E168" s="3259">
        <v>0.123</v>
      </c>
      <c r="F168" s="3270"/>
      <c r="G168" s="3260">
        <v>0.13</v>
      </c>
    </row>
    <row r="169" spans="1:7">
      <c r="A169" s="3269" t="s">
        <v>29</v>
      </c>
      <c r="B169" s="3258" t="s">
        <v>3178</v>
      </c>
      <c r="C169" s="3275"/>
      <c r="D169" s="3275"/>
      <c r="E169" s="3275"/>
      <c r="F169" s="3259">
        <v>0.05</v>
      </c>
      <c r="G169" s="3271"/>
    </row>
    <row r="170" spans="1:7">
      <c r="A170" s="3269" t="s">
        <v>29</v>
      </c>
      <c r="B170" s="3258" t="s">
        <v>3179</v>
      </c>
      <c r="C170" s="3275"/>
      <c r="D170" s="3275"/>
      <c r="E170" s="3275"/>
      <c r="F170" s="3259">
        <v>0.05</v>
      </c>
      <c r="G170" s="3271"/>
    </row>
    <row r="171" spans="1:7">
      <c r="A171" s="3269" t="s">
        <v>29</v>
      </c>
      <c r="B171" s="3258" t="s">
        <v>3180</v>
      </c>
      <c r="C171" s="3275"/>
      <c r="D171" s="3275"/>
      <c r="E171" s="3275"/>
      <c r="F171" s="3259">
        <v>0.05</v>
      </c>
      <c r="G171" s="3276"/>
    </row>
    <row r="172" spans="1:7">
      <c r="A172" s="3269" t="s">
        <v>29</v>
      </c>
      <c r="B172" s="3258" t="s">
        <v>3181</v>
      </c>
      <c r="C172" s="3275"/>
      <c r="D172" s="3275"/>
      <c r="E172" s="3275"/>
      <c r="F172" s="3259">
        <v>0.05</v>
      </c>
      <c r="G172" s="3276"/>
    </row>
    <row r="173" spans="1:7">
      <c r="A173" s="3269" t="s">
        <v>29</v>
      </c>
      <c r="B173" s="3258" t="s">
        <v>3182</v>
      </c>
      <c r="C173" s="3275"/>
      <c r="D173" s="3275"/>
      <c r="E173" s="3275"/>
      <c r="F173" s="3259">
        <v>0.05</v>
      </c>
      <c r="G173" s="3271"/>
    </row>
    <row r="174" spans="1:7">
      <c r="A174" s="3269" t="s">
        <v>29</v>
      </c>
      <c r="B174" s="3258" t="s">
        <v>3183</v>
      </c>
      <c r="C174" s="3275"/>
      <c r="D174" s="3275"/>
      <c r="E174" s="3275"/>
      <c r="F174" s="3259">
        <v>0.05</v>
      </c>
      <c r="G174" s="3271"/>
    </row>
    <row r="175" spans="1:7">
      <c r="A175" s="3269" t="s">
        <v>29</v>
      </c>
      <c r="B175" s="3258" t="s">
        <v>3184</v>
      </c>
      <c r="C175" s="3275"/>
      <c r="D175" s="3275"/>
      <c r="E175" s="3275"/>
      <c r="F175" s="3259">
        <v>0.05</v>
      </c>
      <c r="G175" s="3271"/>
    </row>
    <row r="176" spans="1:7">
      <c r="A176" s="3269" t="s">
        <v>29</v>
      </c>
      <c r="B176" s="3258" t="s">
        <v>3185</v>
      </c>
      <c r="C176" s="3275"/>
      <c r="D176" s="3275"/>
      <c r="E176" s="3275"/>
      <c r="F176" s="3259">
        <v>0.05</v>
      </c>
      <c r="G176" s="3271"/>
    </row>
    <row r="177" spans="1:7">
      <c r="A177" s="3269" t="s">
        <v>29</v>
      </c>
      <c r="B177" s="3258" t="s">
        <v>3186</v>
      </c>
      <c r="C177" s="3270"/>
      <c r="D177" s="3270"/>
      <c r="E177" s="3270"/>
      <c r="F177" s="3259">
        <v>0.05</v>
      </c>
      <c r="G177" s="3276"/>
    </row>
    <row r="178" spans="1:7">
      <c r="A178" s="3269" t="s">
        <v>29</v>
      </c>
      <c r="B178" s="3258" t="s">
        <v>3187</v>
      </c>
      <c r="C178" s="3270"/>
      <c r="D178" s="3270"/>
      <c r="E178" s="3270"/>
      <c r="F178" s="3259">
        <v>0.05</v>
      </c>
      <c r="G178" s="3276"/>
    </row>
    <row r="179" spans="1:7">
      <c r="A179" s="3269" t="s">
        <v>29</v>
      </c>
      <c r="B179" s="3258" t="s">
        <v>3188</v>
      </c>
      <c r="C179" s="3270"/>
      <c r="D179" s="3270"/>
      <c r="E179" s="3270"/>
      <c r="F179" s="3259">
        <v>0.05</v>
      </c>
      <c r="G179" s="3276"/>
    </row>
    <row r="180" spans="1:7">
      <c r="A180" s="3269" t="s">
        <v>29</v>
      </c>
      <c r="B180" s="3258" t="s">
        <v>3189</v>
      </c>
      <c r="C180" s="3270"/>
      <c r="D180" s="3270"/>
      <c r="E180" s="3270"/>
      <c r="F180" s="3259">
        <v>0.05</v>
      </c>
      <c r="G180" s="3276"/>
    </row>
    <row r="181" spans="1:7">
      <c r="A181" s="3269" t="s">
        <v>29</v>
      </c>
      <c r="B181" s="3258" t="s">
        <v>3190</v>
      </c>
      <c r="C181" s="3270"/>
      <c r="D181" s="3270"/>
      <c r="E181" s="3270"/>
      <c r="F181" s="3259">
        <v>0.05</v>
      </c>
      <c r="G181" s="3276"/>
    </row>
    <row r="182" spans="1:7">
      <c r="A182" s="3269" t="s">
        <v>29</v>
      </c>
      <c r="B182" s="3258" t="s">
        <v>3191</v>
      </c>
      <c r="C182" s="3270"/>
      <c r="D182" s="3270"/>
      <c r="E182" s="3270"/>
      <c r="F182" s="3259">
        <v>0.05</v>
      </c>
      <c r="G182" s="3276"/>
    </row>
    <row r="183" spans="1:7">
      <c r="A183" s="3269" t="s">
        <v>29</v>
      </c>
      <c r="B183" s="3258" t="s">
        <v>3192</v>
      </c>
      <c r="C183" s="3270"/>
      <c r="D183" s="3270"/>
      <c r="E183" s="3270"/>
      <c r="F183" s="3259">
        <v>0.05</v>
      </c>
      <c r="G183" s="3276"/>
    </row>
    <row r="184" spans="1:7">
      <c r="A184" s="3269" t="s">
        <v>29</v>
      </c>
      <c r="B184" s="3258" t="s">
        <v>3193</v>
      </c>
      <c r="C184" s="3270"/>
      <c r="D184" s="3270"/>
      <c r="E184" s="3270"/>
      <c r="F184" s="3259">
        <v>0.05</v>
      </c>
      <c r="G184" s="3276"/>
    </row>
    <row r="185" spans="1:7">
      <c r="A185" s="3269" t="s">
        <v>29</v>
      </c>
      <c r="B185" s="3258" t="s">
        <v>3194</v>
      </c>
      <c r="C185" s="3270"/>
      <c r="D185" s="3270"/>
      <c r="E185" s="3270"/>
      <c r="F185" s="3259">
        <v>0.05</v>
      </c>
      <c r="G185" s="3276"/>
    </row>
    <row r="186" spans="1:7">
      <c r="A186" s="3269" t="s">
        <v>29</v>
      </c>
      <c r="B186" s="3258" t="s">
        <v>3195</v>
      </c>
      <c r="C186" s="3270"/>
      <c r="D186" s="3270"/>
      <c r="E186" s="3270"/>
      <c r="F186" s="3259">
        <v>0.05</v>
      </c>
      <c r="G186" s="3276"/>
    </row>
    <row r="187" spans="1:7">
      <c r="A187" s="3269" t="s">
        <v>29</v>
      </c>
      <c r="B187" s="3258" t="s">
        <v>3196</v>
      </c>
      <c r="C187" s="3270"/>
      <c r="D187" s="3270"/>
      <c r="E187" s="3270"/>
      <c r="F187" s="3259">
        <v>0.05</v>
      </c>
      <c r="G187" s="3276"/>
    </row>
    <row r="188" spans="1:7">
      <c r="A188" s="3269" t="s">
        <v>29</v>
      </c>
      <c r="B188" s="3258" t="s">
        <v>3197</v>
      </c>
      <c r="C188" s="3270"/>
      <c r="D188" s="3270"/>
      <c r="E188" s="3270"/>
      <c r="F188" s="3259">
        <v>0.05</v>
      </c>
      <c r="G188" s="3276"/>
    </row>
    <row r="189" spans="1:7" ht="14.25" thickBot="1">
      <c r="A189" s="3272" t="s">
        <v>29</v>
      </c>
      <c r="B189" s="3262" t="s">
        <v>3198</v>
      </c>
      <c r="C189" s="3264"/>
      <c r="D189" s="3264"/>
      <c r="E189" s="3264"/>
      <c r="F189" s="3263">
        <v>0.05</v>
      </c>
      <c r="G189" s="3277"/>
    </row>
    <row r="190" spans="1:7">
      <c r="A190" s="3268" t="s">
        <v>304</v>
      </c>
      <c r="B190" s="3254" t="s">
        <v>2854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2890</v>
      </c>
      <c r="C199" s="3259">
        <v>0.13</v>
      </c>
      <c r="D199" s="3259">
        <v>0.13</v>
      </c>
      <c r="E199" s="3259">
        <v>0.13</v>
      </c>
      <c r="F199" s="3259">
        <v>0.13</v>
      </c>
      <c r="G199" s="3260">
        <v>0.13</v>
      </c>
    </row>
    <row r="200" spans="1:7">
      <c r="A200" s="3269" t="s">
        <v>304</v>
      </c>
      <c r="B200" s="3258" t="s">
        <v>2893</v>
      </c>
      <c r="C200" s="3275"/>
      <c r="D200" s="3275"/>
      <c r="E200" s="3275"/>
      <c r="F200" s="3259">
        <v>0.13</v>
      </c>
      <c r="G200" s="3271"/>
    </row>
    <row r="201" spans="1:7">
      <c r="A201" s="3269" t="s">
        <v>304</v>
      </c>
      <c r="B201" s="3258" t="s">
        <v>2898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2901</v>
      </c>
      <c r="C203" s="3259">
        <v>0.129</v>
      </c>
      <c r="D203" s="3259">
        <v>0.129</v>
      </c>
      <c r="E203" s="3259">
        <v>0.13</v>
      </c>
      <c r="F203" s="3259">
        <v>0.13</v>
      </c>
      <c r="G203" s="3260">
        <v>0.13</v>
      </c>
    </row>
    <row r="204" spans="1:7">
      <c r="A204" s="3269" t="s">
        <v>304</v>
      </c>
      <c r="B204" s="3258" t="s">
        <v>2904</v>
      </c>
      <c r="C204" s="3259">
        <v>0.129</v>
      </c>
      <c r="D204" s="3259">
        <v>0.129</v>
      </c>
      <c r="E204" s="3259">
        <v>0.123</v>
      </c>
      <c r="F204" s="3259">
        <v>0.13</v>
      </c>
      <c r="G204" s="3260">
        <v>0.13</v>
      </c>
    </row>
    <row r="205" spans="1:7">
      <c r="A205" s="3269" t="s">
        <v>304</v>
      </c>
      <c r="B205" s="3258" t="s">
        <v>2906</v>
      </c>
      <c r="C205" s="3259">
        <v>0.13</v>
      </c>
      <c r="D205" s="3259">
        <v>0.13</v>
      </c>
      <c r="E205" s="3259">
        <v>0.13</v>
      </c>
      <c r="F205" s="3259">
        <v>0.13</v>
      </c>
      <c r="G205" s="3260">
        <v>0.13</v>
      </c>
    </row>
    <row r="206" spans="1:7">
      <c r="A206" s="3269" t="s">
        <v>304</v>
      </c>
      <c r="B206" s="3258" t="s">
        <v>2909</v>
      </c>
      <c r="C206" s="3259">
        <v>0.13</v>
      </c>
      <c r="D206" s="3259">
        <v>0.13</v>
      </c>
      <c r="E206" s="3259">
        <v>0.13</v>
      </c>
      <c r="F206" s="3259">
        <v>0.128</v>
      </c>
      <c r="G206" s="3260">
        <v>0.13</v>
      </c>
    </row>
    <row r="207" spans="1:7">
      <c r="A207" s="3269" t="s">
        <v>304</v>
      </c>
      <c r="B207" s="3258" t="s">
        <v>2911</v>
      </c>
      <c r="C207" s="3259">
        <v>0.13</v>
      </c>
      <c r="D207" s="3259">
        <v>0.13</v>
      </c>
      <c r="E207" s="3259">
        <v>0.13</v>
      </c>
      <c r="F207" s="3259">
        <v>0.13</v>
      </c>
      <c r="G207" s="3260">
        <v>0.13</v>
      </c>
    </row>
    <row r="208" spans="1:7">
      <c r="A208" s="3269" t="s">
        <v>304</v>
      </c>
      <c r="B208" s="3258" t="s">
        <v>2914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2921</v>
      </c>
      <c r="C210" s="3259">
        <v>0.121</v>
      </c>
      <c r="D210" s="3259">
        <v>0.121</v>
      </c>
      <c r="E210" s="3259">
        <v>0.125</v>
      </c>
      <c r="F210" s="3259">
        <v>0.13</v>
      </c>
      <c r="G210" s="3260">
        <v>0.123</v>
      </c>
    </row>
    <row r="211" spans="1:7">
      <c r="A211" s="3269" t="s">
        <v>304</v>
      </c>
      <c r="B211" s="3258" t="s">
        <v>2924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2936</v>
      </c>
      <c r="C214" s="3259">
        <v>0.128</v>
      </c>
      <c r="D214" s="3259">
        <v>0.128</v>
      </c>
      <c r="E214" s="3259">
        <v>0.13</v>
      </c>
      <c r="F214" s="3259">
        <v>0.13</v>
      </c>
      <c r="G214" s="3260">
        <v>0.13</v>
      </c>
    </row>
    <row r="215" spans="1:7">
      <c r="A215" s="3269" t="s">
        <v>304</v>
      </c>
      <c r="B215" s="3258" t="s">
        <v>2940</v>
      </c>
      <c r="C215" s="3259">
        <v>0.13</v>
      </c>
      <c r="D215" s="3259">
        <v>0.13</v>
      </c>
      <c r="E215" s="3259">
        <v>0.13</v>
      </c>
      <c r="F215" s="3259">
        <v>0.129</v>
      </c>
      <c r="G215" s="3260">
        <v>0.13</v>
      </c>
    </row>
    <row r="216" spans="1:7">
      <c r="A216" s="3269" t="s">
        <v>304</v>
      </c>
      <c r="B216" s="3258" t="s">
        <v>2947</v>
      </c>
      <c r="C216" s="3259">
        <v>0.13</v>
      </c>
      <c r="D216" s="3259">
        <v>0.13</v>
      </c>
      <c r="E216" s="3259">
        <v>0.13</v>
      </c>
      <c r="F216" s="3259">
        <v>0.13</v>
      </c>
      <c r="G216" s="3260">
        <v>0.13</v>
      </c>
    </row>
    <row r="217" spans="1:7">
      <c r="A217" s="3269" t="s">
        <v>304</v>
      </c>
      <c r="B217" s="3258" t="s">
        <v>2954</v>
      </c>
      <c r="C217" s="3259">
        <v>0.129</v>
      </c>
      <c r="D217" s="3259">
        <v>0.129</v>
      </c>
      <c r="E217" s="3259">
        <v>0.13</v>
      </c>
      <c r="F217" s="3259">
        <v>0.13</v>
      </c>
      <c r="G217" s="3260">
        <v>0.13</v>
      </c>
    </row>
    <row r="218" spans="1:7">
      <c r="A218" s="3269" t="s">
        <v>304</v>
      </c>
      <c r="B218" s="3258" t="s">
        <v>2960</v>
      </c>
      <c r="C218" s="3270"/>
      <c r="D218" s="3270"/>
      <c r="E218" s="3270"/>
      <c r="F218" s="3259">
        <v>0.05</v>
      </c>
      <c r="G218" s="3276"/>
    </row>
    <row r="219" spans="1:7">
      <c r="A219" s="3269" t="s">
        <v>304</v>
      </c>
      <c r="B219" s="3258" t="s">
        <v>2967</v>
      </c>
      <c r="C219" s="3270"/>
      <c r="D219" s="3270"/>
      <c r="E219" s="3270"/>
      <c r="F219" s="3259">
        <v>0.05</v>
      </c>
      <c r="G219" s="3276"/>
    </row>
    <row r="220" spans="1:7">
      <c r="A220" s="3269" t="s">
        <v>304</v>
      </c>
      <c r="B220" s="3258" t="s">
        <v>2973</v>
      </c>
      <c r="C220" s="3270"/>
      <c r="D220" s="3270"/>
      <c r="E220" s="3270"/>
      <c r="F220" s="3259">
        <v>0.05</v>
      </c>
      <c r="G220" s="3276"/>
    </row>
    <row r="221" spans="1:7">
      <c r="A221" s="3269" t="s">
        <v>304</v>
      </c>
      <c r="B221" s="3258" t="s">
        <v>2978</v>
      </c>
      <c r="C221" s="3270"/>
      <c r="D221" s="3270"/>
      <c r="E221" s="3270"/>
      <c r="F221" s="3259">
        <v>0.05</v>
      </c>
      <c r="G221" s="3276"/>
    </row>
    <row r="222" spans="1:7">
      <c r="A222" s="3269" t="s">
        <v>304</v>
      </c>
      <c r="B222" s="3258" t="s">
        <v>2982</v>
      </c>
      <c r="C222" s="3270"/>
      <c r="D222" s="3270"/>
      <c r="E222" s="3270"/>
      <c r="F222" s="3259">
        <v>0.05</v>
      </c>
      <c r="G222" s="3276"/>
    </row>
    <row r="223" spans="1:7">
      <c r="A223" s="3269" t="s">
        <v>304</v>
      </c>
      <c r="B223" s="3258" t="s">
        <v>2987</v>
      </c>
      <c r="C223" s="3270"/>
      <c r="D223" s="3270"/>
      <c r="E223" s="3270"/>
      <c r="F223" s="3259">
        <v>0.05</v>
      </c>
      <c r="G223" s="3276"/>
    </row>
    <row r="224" spans="1:7">
      <c r="A224" s="3269" t="s">
        <v>304</v>
      </c>
      <c r="B224" s="3258" t="s">
        <v>2992</v>
      </c>
      <c r="C224" s="3270"/>
      <c r="D224" s="3270"/>
      <c r="E224" s="3270"/>
      <c r="F224" s="3259">
        <v>0.05</v>
      </c>
      <c r="G224" s="3276"/>
    </row>
    <row r="225" spans="1:7">
      <c r="A225" s="3269" t="s">
        <v>304</v>
      </c>
      <c r="B225" s="3258" t="s">
        <v>2997</v>
      </c>
      <c r="C225" s="3270"/>
      <c r="D225" s="3270"/>
      <c r="E225" s="3270"/>
      <c r="F225" s="3259">
        <v>0.05</v>
      </c>
      <c r="G225" s="3276"/>
    </row>
    <row r="226" spans="1:7">
      <c r="A226" s="3269" t="s">
        <v>304</v>
      </c>
      <c r="B226" s="3258" t="s">
        <v>3199</v>
      </c>
      <c r="C226" s="3270"/>
      <c r="D226" s="3270"/>
      <c r="E226" s="3270"/>
      <c r="F226" s="3259">
        <v>0.05</v>
      </c>
      <c r="G226" s="3276"/>
    </row>
    <row r="227" spans="1:7">
      <c r="A227" s="3269" t="s">
        <v>304</v>
      </c>
      <c r="B227" s="3258" t="s">
        <v>3200</v>
      </c>
      <c r="C227" s="3270"/>
      <c r="D227" s="3270"/>
      <c r="E227" s="3270"/>
      <c r="F227" s="3259">
        <v>0.05</v>
      </c>
      <c r="G227" s="3276"/>
    </row>
    <row r="228" spans="1:7">
      <c r="A228" s="3269" t="s">
        <v>304</v>
      </c>
      <c r="B228" s="3258" t="s">
        <v>3201</v>
      </c>
      <c r="C228" s="3270"/>
      <c r="D228" s="3270"/>
      <c r="E228" s="3270"/>
      <c r="F228" s="3259">
        <v>0.05</v>
      </c>
      <c r="G228" s="3276"/>
    </row>
    <row r="229" spans="1:7">
      <c r="A229" s="3269" t="s">
        <v>304</v>
      </c>
      <c r="B229" s="3258" t="s">
        <v>3202</v>
      </c>
      <c r="C229" s="3270"/>
      <c r="D229" s="3270"/>
      <c r="E229" s="3270"/>
      <c r="F229" s="3259">
        <v>0.05</v>
      </c>
      <c r="G229" s="3276"/>
    </row>
    <row r="230" spans="1:7">
      <c r="A230" s="3269" t="s">
        <v>304</v>
      </c>
      <c r="B230" s="3258" t="s">
        <v>3203</v>
      </c>
      <c r="C230" s="3270"/>
      <c r="D230" s="3270"/>
      <c r="E230" s="3270"/>
      <c r="F230" s="3259">
        <v>0.05</v>
      </c>
      <c r="G230" s="3276"/>
    </row>
    <row r="231" spans="1:7">
      <c r="A231" s="3269" t="s">
        <v>304</v>
      </c>
      <c r="B231" s="3258" t="s">
        <v>3204</v>
      </c>
      <c r="C231" s="3270"/>
      <c r="D231" s="3270"/>
      <c r="E231" s="3270"/>
      <c r="F231" s="3259">
        <v>0.05</v>
      </c>
      <c r="G231" s="3276"/>
    </row>
    <row r="232" spans="1:7">
      <c r="A232" s="3269" t="s">
        <v>304</v>
      </c>
      <c r="B232" s="3258" t="s">
        <v>3205</v>
      </c>
      <c r="C232" s="3270"/>
      <c r="D232" s="3270"/>
      <c r="E232" s="3270"/>
      <c r="F232" s="3259">
        <v>0.05</v>
      </c>
      <c r="G232" s="3276"/>
    </row>
    <row r="233" spans="1:7" ht="14.25" thickBot="1">
      <c r="A233" s="3272" t="s">
        <v>304</v>
      </c>
      <c r="B233" s="3262" t="s">
        <v>3206</v>
      </c>
      <c r="C233" s="3264"/>
      <c r="D233" s="3264"/>
      <c r="E233" s="3264"/>
      <c r="F233" s="3263">
        <v>0.05</v>
      </c>
      <c r="G233" s="3277"/>
    </row>
    <row r="234" spans="1:7">
      <c r="A234" s="3268" t="s">
        <v>305</v>
      </c>
      <c r="B234" s="3254" t="s">
        <v>2855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2875</v>
      </c>
      <c r="C238" s="3259">
        <v>0.14899999999999999</v>
      </c>
      <c r="D238" s="3259">
        <v>0.14899999999999999</v>
      </c>
      <c r="E238" s="3259">
        <v>0.15</v>
      </c>
      <c r="F238" s="3259">
        <v>0.15</v>
      </c>
      <c r="G238" s="3260">
        <v>0.15</v>
      </c>
    </row>
    <row r="239" spans="1:7">
      <c r="A239" s="3269" t="s">
        <v>305</v>
      </c>
      <c r="B239" s="3258" t="s">
        <v>2879</v>
      </c>
      <c r="C239" s="3259">
        <v>0.15</v>
      </c>
      <c r="D239" s="3259">
        <v>0.15</v>
      </c>
      <c r="E239" s="3259">
        <v>0.15</v>
      </c>
      <c r="F239" s="3259">
        <v>0.15</v>
      </c>
      <c r="G239" s="3260">
        <v>0.15</v>
      </c>
    </row>
    <row r="240" spans="1:7">
      <c r="A240" s="3269" t="s">
        <v>305</v>
      </c>
      <c r="B240" s="3258" t="s">
        <v>2884</v>
      </c>
      <c r="C240" s="3259">
        <v>0.15</v>
      </c>
      <c r="D240" s="3259">
        <v>0.15</v>
      </c>
      <c r="E240" s="3259">
        <v>0.15</v>
      </c>
      <c r="F240" s="3259">
        <v>0.15</v>
      </c>
      <c r="G240" s="3260">
        <v>0.15</v>
      </c>
    </row>
    <row r="241" spans="1:7">
      <c r="A241" s="3269" t="s">
        <v>305</v>
      </c>
      <c r="B241" s="3258" t="s">
        <v>2888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2937</v>
      </c>
      <c r="C258" s="3259">
        <v>0.14299999999999999</v>
      </c>
      <c r="D258" s="3259">
        <v>0.14299999999999999</v>
      </c>
      <c r="E258" s="3259">
        <v>0.15</v>
      </c>
      <c r="F258" s="3259">
        <v>0.14799999999999999</v>
      </c>
      <c r="G258" s="3260">
        <v>0.14599999999999999</v>
      </c>
    </row>
    <row r="259" spans="1:7">
      <c r="A259" s="3269" t="s">
        <v>305</v>
      </c>
      <c r="B259" s="3258" t="s">
        <v>2941</v>
      </c>
      <c r="C259" s="3259">
        <v>0.14399999999999999</v>
      </c>
      <c r="D259" s="3259">
        <v>0.14399999999999999</v>
      </c>
      <c r="E259" s="3259">
        <v>0.14899999999999999</v>
      </c>
      <c r="F259" s="3259">
        <v>0.14699999999999999</v>
      </c>
      <c r="G259" s="3260">
        <v>0.14599999999999999</v>
      </c>
    </row>
    <row r="260" spans="1:7">
      <c r="A260" s="3269" t="s">
        <v>305</v>
      </c>
      <c r="B260" s="3258" t="s">
        <v>2948</v>
      </c>
      <c r="C260" s="3259">
        <v>0.109</v>
      </c>
      <c r="D260" s="3259">
        <v>0.111</v>
      </c>
      <c r="E260" s="3259">
        <v>0.13100000000000001</v>
      </c>
      <c r="F260" s="3259">
        <v>0.126</v>
      </c>
      <c r="G260" s="3260">
        <v>0.11899999999999999</v>
      </c>
    </row>
    <row r="261" spans="1:7">
      <c r="A261" s="3269" t="s">
        <v>305</v>
      </c>
      <c r="B261" s="3258" t="s">
        <v>2955</v>
      </c>
      <c r="C261" s="3259">
        <v>0.1</v>
      </c>
      <c r="D261" s="3259">
        <v>0.1</v>
      </c>
      <c r="E261" s="3259">
        <v>0.11799999999999999</v>
      </c>
      <c r="F261" s="3259">
        <v>0.108</v>
      </c>
      <c r="G261" s="3260">
        <v>0.107</v>
      </c>
    </row>
    <row r="262" spans="1:7">
      <c r="A262" s="3269" t="s">
        <v>305</v>
      </c>
      <c r="B262" s="3258" t="s">
        <v>2961</v>
      </c>
      <c r="C262" s="3259">
        <v>0.1</v>
      </c>
      <c r="D262" s="3259">
        <v>0.1</v>
      </c>
      <c r="E262" s="3259">
        <v>0.1</v>
      </c>
      <c r="F262" s="3259">
        <v>0.14099999999999999</v>
      </c>
      <c r="G262" s="3260">
        <v>0.1</v>
      </c>
    </row>
    <row r="263" spans="1:7">
      <c r="A263" s="3269" t="s">
        <v>305</v>
      </c>
      <c r="B263" s="3258" t="s">
        <v>2968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2979</v>
      </c>
      <c r="C265" s="3270"/>
      <c r="D265" s="3270"/>
      <c r="E265" s="3270"/>
      <c r="F265" s="3259">
        <v>0.05</v>
      </c>
      <c r="G265" s="3276"/>
    </row>
    <row r="266" spans="1:7">
      <c r="A266" s="3269" t="s">
        <v>305</v>
      </c>
      <c r="B266" s="3258" t="s">
        <v>2983</v>
      </c>
      <c r="C266" s="3270"/>
      <c r="D266" s="3270"/>
      <c r="E266" s="3270"/>
      <c r="F266" s="3259">
        <v>0.05</v>
      </c>
      <c r="G266" s="3276"/>
    </row>
    <row r="267" spans="1:7">
      <c r="A267" s="3269" t="s">
        <v>305</v>
      </c>
      <c r="B267" s="3258" t="s">
        <v>2988</v>
      </c>
      <c r="C267" s="3270"/>
      <c r="D267" s="3270"/>
      <c r="E267" s="3270"/>
      <c r="F267" s="3259">
        <v>0.05</v>
      </c>
      <c r="G267" s="3276"/>
    </row>
    <row r="268" spans="1:7">
      <c r="A268" s="3269" t="s">
        <v>305</v>
      </c>
      <c r="B268" s="3258" t="s">
        <v>2993</v>
      </c>
      <c r="C268" s="3270"/>
      <c r="D268" s="3270"/>
      <c r="E268" s="3270"/>
      <c r="F268" s="3259">
        <v>0.05</v>
      </c>
      <c r="G268" s="3276"/>
    </row>
    <row r="269" spans="1:7">
      <c r="A269" s="3269" t="s">
        <v>305</v>
      </c>
      <c r="B269" s="3258" t="s">
        <v>2998</v>
      </c>
      <c r="C269" s="3270"/>
      <c r="D269" s="3270"/>
      <c r="E269" s="3270"/>
      <c r="F269" s="3259">
        <v>0.05</v>
      </c>
      <c r="G269" s="3276"/>
    </row>
    <row r="270" spans="1:7">
      <c r="A270" s="3269" t="s">
        <v>305</v>
      </c>
      <c r="B270" s="3258" t="s">
        <v>3003</v>
      </c>
      <c r="C270" s="3270"/>
      <c r="D270" s="3270"/>
      <c r="E270" s="3270"/>
      <c r="F270" s="3259">
        <v>0.05</v>
      </c>
      <c r="G270" s="3276"/>
    </row>
    <row r="271" spans="1:7">
      <c r="A271" s="3269" t="s">
        <v>305</v>
      </c>
      <c r="B271" s="3258" t="s">
        <v>3207</v>
      </c>
      <c r="C271" s="3270"/>
      <c r="D271" s="3270"/>
      <c r="E271" s="3270"/>
      <c r="F271" s="3259">
        <v>0.05</v>
      </c>
      <c r="G271" s="3276"/>
    </row>
    <row r="272" spans="1:7">
      <c r="A272" s="3269" t="s">
        <v>305</v>
      </c>
      <c r="B272" s="3258" t="s">
        <v>3208</v>
      </c>
      <c r="C272" s="3270"/>
      <c r="D272" s="3270"/>
      <c r="E272" s="3270"/>
      <c r="F272" s="3259">
        <v>0.05</v>
      </c>
      <c r="G272" s="3276"/>
    </row>
    <row r="273" spans="1:7">
      <c r="A273" s="3269" t="s">
        <v>305</v>
      </c>
      <c r="B273" s="3258" t="s">
        <v>3209</v>
      </c>
      <c r="C273" s="3270"/>
      <c r="D273" s="3270"/>
      <c r="E273" s="3270"/>
      <c r="F273" s="3259">
        <v>0.05</v>
      </c>
      <c r="G273" s="3276"/>
    </row>
    <row r="274" spans="1:7">
      <c r="A274" s="3269" t="s">
        <v>305</v>
      </c>
      <c r="B274" s="3258" t="s">
        <v>3210</v>
      </c>
      <c r="C274" s="3270"/>
      <c r="D274" s="3270"/>
      <c r="E274" s="3270"/>
      <c r="F274" s="3259">
        <v>0.05</v>
      </c>
      <c r="G274" s="3276"/>
    </row>
    <row r="275" spans="1:7">
      <c r="A275" s="3269" t="s">
        <v>305</v>
      </c>
      <c r="B275" s="3258" t="s">
        <v>3211</v>
      </c>
      <c r="C275" s="3270"/>
      <c r="D275" s="3270"/>
      <c r="E275" s="3270"/>
      <c r="F275" s="3259">
        <v>0.05</v>
      </c>
      <c r="G275" s="3276"/>
    </row>
    <row r="276" spans="1:7" ht="14.25" thickBot="1">
      <c r="A276" s="3272" t="s">
        <v>305</v>
      </c>
      <c r="B276" s="3262" t="s">
        <v>3212</v>
      </c>
      <c r="C276" s="3264"/>
      <c r="D276" s="3264"/>
      <c r="E276" s="3264"/>
      <c r="F276" s="3263">
        <v>0.05</v>
      </c>
      <c r="G276" s="3277"/>
    </row>
    <row r="277" spans="1:7">
      <c r="A277" s="3268" t="s">
        <v>306</v>
      </c>
      <c r="B277" s="3254" t="s">
        <v>2856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2868</v>
      </c>
      <c r="C279" s="3259">
        <v>0.15</v>
      </c>
      <c r="D279" s="3259">
        <v>0.15</v>
      </c>
      <c r="E279" s="3259">
        <v>0.15</v>
      </c>
      <c r="F279" s="3259">
        <v>0.15</v>
      </c>
      <c r="G279" s="3260">
        <v>0.15</v>
      </c>
    </row>
    <row r="280" spans="1:7">
      <c r="A280" s="3269" t="s">
        <v>306</v>
      </c>
      <c r="B280" s="3258" t="s">
        <v>2872</v>
      </c>
      <c r="C280" s="3259">
        <v>0.15</v>
      </c>
      <c r="D280" s="3259">
        <v>0.15</v>
      </c>
      <c r="E280" s="3259">
        <v>0.15</v>
      </c>
      <c r="F280" s="3259">
        <v>0.15</v>
      </c>
      <c r="G280" s="3260">
        <v>0.15</v>
      </c>
    </row>
    <row r="281" spans="1:7">
      <c r="A281" s="3269" t="s">
        <v>306</v>
      </c>
      <c r="B281" s="3258" t="s">
        <v>2876</v>
      </c>
      <c r="C281" s="3259">
        <v>0.15</v>
      </c>
      <c r="D281" s="3259">
        <v>0.15</v>
      </c>
      <c r="E281" s="3259">
        <v>0.15</v>
      </c>
      <c r="F281" s="3259">
        <v>0.15</v>
      </c>
      <c r="G281" s="3260">
        <v>0.15</v>
      </c>
    </row>
    <row r="282" spans="1:7">
      <c r="A282" s="3269" t="s">
        <v>306</v>
      </c>
      <c r="B282" s="3258" t="s">
        <v>2880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2910</v>
      </c>
      <c r="C293" s="3259">
        <v>0.15</v>
      </c>
      <c r="D293" s="3259">
        <v>0.15</v>
      </c>
      <c r="E293" s="3259">
        <v>0.15</v>
      </c>
      <c r="F293" s="3259">
        <v>0.14499999999999999</v>
      </c>
      <c r="G293" s="3260">
        <v>0.15</v>
      </c>
    </row>
    <row r="294" spans="1:7">
      <c r="A294" s="3269" t="s">
        <v>306</v>
      </c>
      <c r="B294" s="3258" t="s">
        <v>2912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2942</v>
      </c>
      <c r="C302" s="3259">
        <v>0.15</v>
      </c>
      <c r="D302" s="3259">
        <v>0.15</v>
      </c>
      <c r="E302" s="3259">
        <v>0.15</v>
      </c>
      <c r="F302" s="3259">
        <v>0.14699999999999999</v>
      </c>
      <c r="G302" s="3260">
        <v>0.15</v>
      </c>
    </row>
    <row r="303" spans="1:7">
      <c r="A303" s="3269" t="s">
        <v>306</v>
      </c>
      <c r="B303" s="3258" t="s">
        <v>2949</v>
      </c>
      <c r="C303" s="3259">
        <v>0.15</v>
      </c>
      <c r="D303" s="3259">
        <v>0.15</v>
      </c>
      <c r="E303" s="3259">
        <v>0.15</v>
      </c>
      <c r="F303" s="3259">
        <v>0.14199999999999999</v>
      </c>
      <c r="G303" s="3260">
        <v>0.15</v>
      </c>
    </row>
    <row r="304" spans="1:7">
      <c r="A304" s="3269" t="s">
        <v>306</v>
      </c>
      <c r="B304" s="3258" t="s">
        <v>2956</v>
      </c>
      <c r="C304" s="3259">
        <v>0.15</v>
      </c>
      <c r="D304" s="3259">
        <v>0.15</v>
      </c>
      <c r="E304" s="3259">
        <v>0.15</v>
      </c>
      <c r="F304" s="3259">
        <v>0.14499999999999999</v>
      </c>
      <c r="G304" s="3260">
        <v>0.15</v>
      </c>
    </row>
    <row r="305" spans="1:7">
      <c r="A305" s="3269" t="s">
        <v>306</v>
      </c>
      <c r="B305" s="3258" t="s">
        <v>2962</v>
      </c>
      <c r="C305" s="3259">
        <v>0.15</v>
      </c>
      <c r="D305" s="3259">
        <v>0.15</v>
      </c>
      <c r="E305" s="3259">
        <v>0.15</v>
      </c>
      <c r="F305" s="3259">
        <v>0.111</v>
      </c>
      <c r="G305" s="3260">
        <v>0.15</v>
      </c>
    </row>
    <row r="306" spans="1:7">
      <c r="A306" s="3269" t="s">
        <v>306</v>
      </c>
      <c r="B306" s="3258" t="s">
        <v>2969</v>
      </c>
      <c r="C306" s="3259">
        <v>0.15</v>
      </c>
      <c r="D306" s="3259">
        <v>0.15</v>
      </c>
      <c r="E306" s="3259">
        <v>0.15</v>
      </c>
      <c r="F306" s="3259">
        <v>0.126</v>
      </c>
      <c r="G306" s="3260">
        <v>0.15</v>
      </c>
    </row>
    <row r="307" spans="1:7">
      <c r="A307" s="3269" t="s">
        <v>306</v>
      </c>
      <c r="B307" s="3258" t="s">
        <v>2974</v>
      </c>
      <c r="C307" s="3259">
        <v>0.15</v>
      </c>
      <c r="D307" s="3259">
        <v>0.15</v>
      </c>
      <c r="E307" s="3259">
        <v>0.15</v>
      </c>
      <c r="F307" s="3259">
        <v>0.12</v>
      </c>
      <c r="G307" s="3260">
        <v>0.15</v>
      </c>
    </row>
    <row r="308" spans="1:7">
      <c r="A308" s="3269" t="s">
        <v>306</v>
      </c>
      <c r="B308" s="3258" t="s">
        <v>2980</v>
      </c>
      <c r="C308" s="3259">
        <v>0.15</v>
      </c>
      <c r="D308" s="3259">
        <v>0.15</v>
      </c>
      <c r="E308" s="3259">
        <v>0.15</v>
      </c>
      <c r="F308" s="3259">
        <v>0.13</v>
      </c>
      <c r="G308" s="3260">
        <v>0.15</v>
      </c>
    </row>
    <row r="309" spans="1:7">
      <c r="A309" s="3269" t="s">
        <v>306</v>
      </c>
      <c r="B309" s="3258" t="s">
        <v>2984</v>
      </c>
      <c r="C309" s="3259">
        <v>0.15</v>
      </c>
      <c r="D309" s="3259">
        <v>0.15</v>
      </c>
      <c r="E309" s="3259">
        <v>0.15</v>
      </c>
      <c r="F309" s="3259">
        <v>0.14099999999999999</v>
      </c>
      <c r="G309" s="3260">
        <v>0.15</v>
      </c>
    </row>
    <row r="310" spans="1:7">
      <c r="A310" s="3269" t="s">
        <v>306</v>
      </c>
      <c r="B310" s="3258" t="s">
        <v>2989</v>
      </c>
      <c r="C310" s="3259">
        <v>0.15</v>
      </c>
      <c r="D310" s="3259">
        <v>0.15</v>
      </c>
      <c r="E310" s="3259">
        <v>0.15</v>
      </c>
      <c r="F310" s="3259">
        <v>0.15</v>
      </c>
      <c r="G310" s="3260">
        <v>0.15</v>
      </c>
    </row>
    <row r="311" spans="1:7">
      <c r="A311" s="3269" t="s">
        <v>306</v>
      </c>
      <c r="B311" s="3258" t="s">
        <v>2994</v>
      </c>
      <c r="C311" s="3259">
        <v>0.13200000000000001</v>
      </c>
      <c r="D311" s="3259">
        <v>0.13300000000000001</v>
      </c>
      <c r="E311" s="3259">
        <v>0.14499999999999999</v>
      </c>
      <c r="F311" s="3259">
        <v>0.14199999999999999</v>
      </c>
      <c r="G311" s="3260">
        <v>0.14000000000000001</v>
      </c>
    </row>
    <row r="312" spans="1:7">
      <c r="A312" s="3269" t="s">
        <v>306</v>
      </c>
      <c r="B312" s="3258" t="s">
        <v>2999</v>
      </c>
      <c r="C312" s="3259">
        <v>0.13800000000000001</v>
      </c>
      <c r="D312" s="3259">
        <v>0.14000000000000001</v>
      </c>
      <c r="E312" s="3259">
        <v>0.14599999999999999</v>
      </c>
      <c r="F312" s="3259">
        <v>0.14899999999999999</v>
      </c>
      <c r="G312" s="3260">
        <v>0.14199999999999999</v>
      </c>
    </row>
    <row r="313" spans="1:7">
      <c r="A313" s="3269" t="s">
        <v>306</v>
      </c>
      <c r="B313" s="3258" t="s">
        <v>3004</v>
      </c>
      <c r="C313" s="3259">
        <v>0.125</v>
      </c>
      <c r="D313" s="3259">
        <v>0.127</v>
      </c>
      <c r="E313" s="3259">
        <v>0.14399999999999999</v>
      </c>
      <c r="F313" s="3259">
        <v>0.115</v>
      </c>
      <c r="G313" s="3260">
        <v>0.13600000000000001</v>
      </c>
    </row>
    <row r="314" spans="1:7">
      <c r="A314" s="3269" t="s">
        <v>306</v>
      </c>
      <c r="B314" s="3258" t="s">
        <v>3213</v>
      </c>
      <c r="C314" s="3275"/>
      <c r="D314" s="3275"/>
      <c r="E314" s="3275"/>
      <c r="F314" s="3259">
        <v>0.05</v>
      </c>
      <c r="G314" s="3276"/>
    </row>
    <row r="315" spans="1:7">
      <c r="A315" s="3269" t="s">
        <v>306</v>
      </c>
      <c r="B315" s="3258" t="s">
        <v>3214</v>
      </c>
      <c r="C315" s="3275"/>
      <c r="D315" s="3275"/>
      <c r="E315" s="3275"/>
      <c r="F315" s="3259">
        <v>0.05</v>
      </c>
      <c r="G315" s="3276"/>
    </row>
    <row r="316" spans="1:7">
      <c r="A316" s="3269" t="s">
        <v>306</v>
      </c>
      <c r="B316" s="3258" t="s">
        <v>3215</v>
      </c>
      <c r="C316" s="3270"/>
      <c r="D316" s="3270"/>
      <c r="E316" s="3270"/>
      <c r="F316" s="3259">
        <v>0.05</v>
      </c>
      <c r="G316" s="3276"/>
    </row>
    <row r="317" spans="1:7">
      <c r="A317" s="3269" t="s">
        <v>306</v>
      </c>
      <c r="B317" s="3258" t="s">
        <v>3216</v>
      </c>
      <c r="C317" s="3270"/>
      <c r="D317" s="3270"/>
      <c r="E317" s="3270"/>
      <c r="F317" s="3259">
        <v>0.05</v>
      </c>
      <c r="G317" s="3276"/>
    </row>
    <row r="318" spans="1:7">
      <c r="A318" s="3269" t="s">
        <v>306</v>
      </c>
      <c r="B318" s="3258" t="s">
        <v>3217</v>
      </c>
      <c r="C318" s="3270"/>
      <c r="D318" s="3270"/>
      <c r="E318" s="3270"/>
      <c r="F318" s="3259">
        <v>0.05</v>
      </c>
      <c r="G318" s="3276"/>
    </row>
    <row r="319" spans="1:7">
      <c r="A319" s="3269" t="s">
        <v>306</v>
      </c>
      <c r="B319" s="3258" t="s">
        <v>3218</v>
      </c>
      <c r="C319" s="3270"/>
      <c r="D319" s="3270"/>
      <c r="E319" s="3270"/>
      <c r="F319" s="3259">
        <v>0.05</v>
      </c>
      <c r="G319" s="3276"/>
    </row>
    <row r="320" spans="1:7">
      <c r="A320" s="3269" t="s">
        <v>306</v>
      </c>
      <c r="B320" s="3258" t="s">
        <v>3219</v>
      </c>
      <c r="C320" s="3270"/>
      <c r="D320" s="3270"/>
      <c r="E320" s="3270"/>
      <c r="F320" s="3259">
        <v>0.05</v>
      </c>
      <c r="G320" s="3276"/>
    </row>
    <row r="321" spans="1:7">
      <c r="A321" s="3269" t="s">
        <v>306</v>
      </c>
      <c r="B321" s="3258" t="s">
        <v>3220</v>
      </c>
      <c r="C321" s="3270"/>
      <c r="D321" s="3270"/>
      <c r="E321" s="3270"/>
      <c r="F321" s="3259">
        <v>0.05</v>
      </c>
      <c r="G321" s="3276"/>
    </row>
    <row r="322" spans="1:7">
      <c r="A322" s="3269" t="s">
        <v>306</v>
      </c>
      <c r="B322" s="3258" t="s">
        <v>3221</v>
      </c>
      <c r="C322" s="3270"/>
      <c r="D322" s="3270"/>
      <c r="E322" s="3270"/>
      <c r="F322" s="3259">
        <v>0.05</v>
      </c>
      <c r="G322" s="3276"/>
    </row>
    <row r="323" spans="1:7">
      <c r="A323" s="3269" t="s">
        <v>306</v>
      </c>
      <c r="B323" s="3258" t="s">
        <v>3222</v>
      </c>
      <c r="C323" s="3270"/>
      <c r="D323" s="3270"/>
      <c r="E323" s="3270"/>
      <c r="F323" s="3259">
        <v>0.05</v>
      </c>
      <c r="G323" s="3276"/>
    </row>
    <row r="324" spans="1:7">
      <c r="A324" s="3269" t="s">
        <v>306</v>
      </c>
      <c r="B324" s="3258" t="s">
        <v>3223</v>
      </c>
      <c r="C324" s="3270"/>
      <c r="D324" s="3270"/>
      <c r="E324" s="3270"/>
      <c r="F324" s="3259">
        <v>0.05</v>
      </c>
      <c r="G324" s="3276"/>
    </row>
    <row r="325" spans="1:7">
      <c r="A325" s="3269" t="s">
        <v>306</v>
      </c>
      <c r="B325" s="3258" t="s">
        <v>3224</v>
      </c>
      <c r="C325" s="3270"/>
      <c r="D325" s="3270"/>
      <c r="E325" s="3270"/>
      <c r="F325" s="3259">
        <v>0.05</v>
      </c>
      <c r="G325" s="3276"/>
    </row>
    <row r="326" spans="1:7" ht="14.25" thickBot="1">
      <c r="A326" s="3272" t="s">
        <v>306</v>
      </c>
      <c r="B326" s="3262" t="s">
        <v>3225</v>
      </c>
      <c r="C326" s="3264"/>
      <c r="D326" s="3264"/>
      <c r="E326" s="3264"/>
      <c r="F326" s="3263">
        <v>0.05</v>
      </c>
      <c r="G326" s="3277"/>
    </row>
    <row r="327" spans="1:7">
      <c r="A327" s="3268" t="s">
        <v>307</v>
      </c>
      <c r="B327" s="3254" t="s">
        <v>2857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2869</v>
      </c>
      <c r="C329" s="3259">
        <v>0.15</v>
      </c>
      <c r="D329" s="3259">
        <v>0.15</v>
      </c>
      <c r="E329" s="3259">
        <v>0.15</v>
      </c>
      <c r="F329" s="3259">
        <v>0.15</v>
      </c>
      <c r="G329" s="3260">
        <v>0.15</v>
      </c>
    </row>
    <row r="330" spans="1:7">
      <c r="A330" s="3269" t="s">
        <v>307</v>
      </c>
      <c r="B330" s="3258" t="s">
        <v>2873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2881</v>
      </c>
      <c r="C332" s="3259">
        <v>0.15</v>
      </c>
      <c r="D332" s="3259">
        <v>0.15</v>
      </c>
      <c r="E332" s="3259">
        <v>0.15</v>
      </c>
      <c r="F332" s="3259">
        <v>0.15</v>
      </c>
      <c r="G332" s="3260">
        <v>0.15</v>
      </c>
    </row>
    <row r="333" spans="1:7">
      <c r="A333" s="3269" t="s">
        <v>307</v>
      </c>
      <c r="B333" s="3258" t="s">
        <v>2885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2891</v>
      </c>
      <c r="C336" s="3259">
        <v>0.15</v>
      </c>
      <c r="D336" s="3259">
        <v>0.15</v>
      </c>
      <c r="E336" s="3259">
        <v>0.15</v>
      </c>
      <c r="F336" s="3259">
        <v>0.14199999999999999</v>
      </c>
      <c r="G336" s="3260">
        <v>0.15</v>
      </c>
    </row>
    <row r="337" spans="1:7">
      <c r="A337" s="3269" t="s">
        <v>307</v>
      </c>
      <c r="B337" s="3258" t="s">
        <v>2896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2916</v>
      </c>
      <c r="C345" s="3259">
        <v>0.15</v>
      </c>
      <c r="D345" s="3259">
        <v>0.15</v>
      </c>
      <c r="E345" s="3259">
        <v>0.15</v>
      </c>
      <c r="F345" s="3259">
        <v>0.13800000000000001</v>
      </c>
      <c r="G345" s="3260">
        <v>0.15</v>
      </c>
    </row>
    <row r="346" spans="1:7">
      <c r="A346" s="3269" t="s">
        <v>307</v>
      </c>
      <c r="B346" s="3258" t="s">
        <v>2918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2925</v>
      </c>
      <c r="C348" s="3259">
        <v>0.15</v>
      </c>
      <c r="D348" s="3259">
        <v>0.15</v>
      </c>
      <c r="E348" s="3259">
        <v>0.15</v>
      </c>
      <c r="F348" s="3259">
        <v>0.14399999999999999</v>
      </c>
      <c r="G348" s="3260">
        <v>0.15</v>
      </c>
    </row>
    <row r="349" spans="1:7">
      <c r="A349" s="3269" t="s">
        <v>307</v>
      </c>
      <c r="B349" s="3258" t="s">
        <v>2930</v>
      </c>
      <c r="C349" s="3259">
        <v>0.15</v>
      </c>
      <c r="D349" s="3259">
        <v>0.15</v>
      </c>
      <c r="E349" s="3259">
        <v>0.15</v>
      </c>
      <c r="F349" s="3259">
        <v>0.15</v>
      </c>
      <c r="G349" s="3260">
        <v>0.15</v>
      </c>
    </row>
    <row r="350" spans="1:7">
      <c r="A350" s="3269" t="s">
        <v>307</v>
      </c>
      <c r="B350" s="3258" t="s">
        <v>2933</v>
      </c>
      <c r="C350" s="3259">
        <v>0.15</v>
      </c>
      <c r="D350" s="3259">
        <v>0.15</v>
      </c>
      <c r="E350" s="3259">
        <v>0.15</v>
      </c>
      <c r="F350" s="3259">
        <v>0.14699999999999999</v>
      </c>
      <c r="G350" s="3260">
        <v>0.15</v>
      </c>
    </row>
    <row r="351" spans="1:7">
      <c r="A351" s="3269" t="s">
        <v>307</v>
      </c>
      <c r="B351" s="3258" t="s">
        <v>2938</v>
      </c>
      <c r="C351" s="3259">
        <v>0.15</v>
      </c>
      <c r="D351" s="3259">
        <v>0.15</v>
      </c>
      <c r="E351" s="3259">
        <v>0.15</v>
      </c>
      <c r="F351" s="3259">
        <v>0.13</v>
      </c>
      <c r="G351" s="3260">
        <v>0.15</v>
      </c>
    </row>
    <row r="352" spans="1:7">
      <c r="A352" s="3269" t="s">
        <v>307</v>
      </c>
      <c r="B352" s="3258" t="s">
        <v>2943</v>
      </c>
      <c r="C352" s="3259">
        <v>0.15</v>
      </c>
      <c r="D352" s="3259">
        <v>0.15</v>
      </c>
      <c r="E352" s="3259">
        <v>0.15</v>
      </c>
      <c r="F352" s="3259">
        <v>0.14599999999999999</v>
      </c>
      <c r="G352" s="3260">
        <v>0.15</v>
      </c>
    </row>
    <row r="353" spans="1:7">
      <c r="A353" s="3269" t="s">
        <v>307</v>
      </c>
      <c r="B353" s="3258" t="s">
        <v>2950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2963</v>
      </c>
      <c r="C355" s="3259">
        <v>0.15</v>
      </c>
      <c r="D355" s="3259">
        <v>0.15</v>
      </c>
      <c r="E355" s="3259">
        <v>0.15</v>
      </c>
      <c r="F355" s="3259">
        <v>0.15</v>
      </c>
      <c r="G355" s="3260">
        <v>0.15</v>
      </c>
    </row>
    <row r="356" spans="1:7">
      <c r="A356" s="3269" t="s">
        <v>307</v>
      </c>
      <c r="B356" s="3258" t="s">
        <v>2970</v>
      </c>
      <c r="C356" s="3259">
        <v>0.15</v>
      </c>
      <c r="D356" s="3259">
        <v>0.15</v>
      </c>
      <c r="E356" s="3259">
        <v>0.15</v>
      </c>
      <c r="F356" s="3259">
        <v>0.15</v>
      </c>
      <c r="G356" s="3260">
        <v>0.15</v>
      </c>
    </row>
    <row r="357" spans="1:7" ht="14.25" thickBot="1">
      <c r="A357" s="3272" t="s">
        <v>307</v>
      </c>
      <c r="B357" s="3262" t="s">
        <v>2975</v>
      </c>
      <c r="C357" s="3263">
        <v>0.126</v>
      </c>
      <c r="D357" s="3263">
        <v>0.127</v>
      </c>
      <c r="E357" s="3263">
        <v>0.14299999999999999</v>
      </c>
      <c r="F357" s="3263">
        <v>0.125</v>
      </c>
      <c r="G357" s="3265">
        <v>0.129</v>
      </c>
    </row>
    <row r="358" spans="1:7">
      <c r="A358" s="3268" t="s">
        <v>2844</v>
      </c>
      <c r="B358" s="3254" t="s">
        <v>2858</v>
      </c>
      <c r="C358" s="3255">
        <v>0.15</v>
      </c>
      <c r="D358" s="3255">
        <v>0.15</v>
      </c>
      <c r="E358" s="3255">
        <v>0.15</v>
      </c>
      <c r="F358" s="3255">
        <v>0.15</v>
      </c>
      <c r="G358" s="3256">
        <v>0.15</v>
      </c>
    </row>
    <row r="359" spans="1:7">
      <c r="A359" s="3269" t="s">
        <v>2844</v>
      </c>
      <c r="B359" s="3258" t="s">
        <v>2864</v>
      </c>
      <c r="C359" s="3259">
        <v>0.1</v>
      </c>
      <c r="D359" s="3259">
        <v>0.1</v>
      </c>
      <c r="E359" s="3259">
        <v>0.1</v>
      </c>
      <c r="F359" s="3259">
        <v>0.1</v>
      </c>
      <c r="G359" s="3260">
        <v>0.1</v>
      </c>
    </row>
    <row r="360" spans="1:7">
      <c r="A360" s="3269" t="s">
        <v>2844</v>
      </c>
      <c r="B360" s="3258" t="s">
        <v>2870</v>
      </c>
      <c r="C360" s="3259">
        <v>0.15</v>
      </c>
      <c r="D360" s="3259">
        <v>0.15</v>
      </c>
      <c r="E360" s="3259">
        <v>0.15</v>
      </c>
      <c r="F360" s="3259">
        <v>0.14899999999999999</v>
      </c>
      <c r="G360" s="3260">
        <v>0.15</v>
      </c>
    </row>
    <row r="361" spans="1:7">
      <c r="A361" s="3269" t="s">
        <v>2844</v>
      </c>
      <c r="B361" s="3258" t="s">
        <v>153</v>
      </c>
      <c r="C361" s="3259">
        <v>0.15</v>
      </c>
      <c r="D361" s="3259">
        <v>0.15</v>
      </c>
      <c r="E361" s="3259">
        <v>0.15</v>
      </c>
      <c r="F361" s="3259">
        <v>0.115</v>
      </c>
      <c r="G361" s="3260">
        <v>0.15</v>
      </c>
    </row>
    <row r="362" spans="1:7">
      <c r="A362" s="3269" t="s">
        <v>2844</v>
      </c>
      <c r="B362" s="3258" t="s">
        <v>2877</v>
      </c>
      <c r="C362" s="3259">
        <v>0.15</v>
      </c>
      <c r="D362" s="3259">
        <v>0.15</v>
      </c>
      <c r="E362" s="3259">
        <v>0.15</v>
      </c>
      <c r="F362" s="3259">
        <v>0.106</v>
      </c>
      <c r="G362" s="3260">
        <v>0.15</v>
      </c>
    </row>
    <row r="363" spans="1:7">
      <c r="A363" s="3269" t="s">
        <v>2844</v>
      </c>
      <c r="B363" s="3258" t="s">
        <v>2882</v>
      </c>
      <c r="C363" s="3259">
        <v>0.15</v>
      </c>
      <c r="D363" s="3259">
        <v>0.15</v>
      </c>
      <c r="E363" s="3259">
        <v>0.15</v>
      </c>
      <c r="F363" s="3259">
        <v>0.14699999999999999</v>
      </c>
      <c r="G363" s="3260">
        <v>0.15</v>
      </c>
    </row>
    <row r="364" spans="1:7">
      <c r="A364" s="3269" t="s">
        <v>2844</v>
      </c>
      <c r="B364" s="3258" t="s">
        <v>2886</v>
      </c>
      <c r="C364" s="3259">
        <v>0.15</v>
      </c>
      <c r="D364" s="3259">
        <v>0.15</v>
      </c>
      <c r="E364" s="3259">
        <v>0.15</v>
      </c>
      <c r="F364" s="3259">
        <v>0.14799999999999999</v>
      </c>
      <c r="G364" s="3260">
        <v>0.15</v>
      </c>
    </row>
    <row r="365" spans="1:7">
      <c r="A365" s="3269" t="s">
        <v>2844</v>
      </c>
      <c r="B365" s="3258" t="s">
        <v>200</v>
      </c>
      <c r="C365" s="3259">
        <v>0.15</v>
      </c>
      <c r="D365" s="3259">
        <v>0.15</v>
      </c>
      <c r="E365" s="3259">
        <v>0.15</v>
      </c>
      <c r="F365" s="3259">
        <v>0.15</v>
      </c>
      <c r="G365" s="3260">
        <v>0.15</v>
      </c>
    </row>
    <row r="366" spans="1:7">
      <c r="A366" s="3269" t="s">
        <v>2844</v>
      </c>
      <c r="B366" s="3258" t="s">
        <v>2889</v>
      </c>
      <c r="C366" s="3259">
        <v>0.15</v>
      </c>
      <c r="D366" s="3259">
        <v>0.15</v>
      </c>
      <c r="E366" s="3259">
        <v>0.15</v>
      </c>
      <c r="F366" s="3259">
        <v>0.15</v>
      </c>
      <c r="G366" s="3260">
        <v>0.15</v>
      </c>
    </row>
    <row r="367" spans="1:7">
      <c r="A367" s="3269" t="s">
        <v>2844</v>
      </c>
      <c r="B367" s="3258" t="s">
        <v>2892</v>
      </c>
      <c r="C367" s="3259">
        <v>0.15</v>
      </c>
      <c r="D367" s="3259">
        <v>0.15</v>
      </c>
      <c r="E367" s="3259">
        <v>0.15</v>
      </c>
      <c r="F367" s="3259">
        <v>0.14699999999999999</v>
      </c>
      <c r="G367" s="3260">
        <v>0.15</v>
      </c>
    </row>
    <row r="368" spans="1:7">
      <c r="A368" s="3269" t="s">
        <v>2844</v>
      </c>
      <c r="B368" s="3258" t="s">
        <v>2897</v>
      </c>
      <c r="C368" s="3259">
        <v>0.15</v>
      </c>
      <c r="D368" s="3259">
        <v>0.15</v>
      </c>
      <c r="E368" s="3259">
        <v>0.15</v>
      </c>
      <c r="F368" s="3259">
        <v>0.13600000000000001</v>
      </c>
      <c r="G368" s="3260">
        <v>0.15</v>
      </c>
    </row>
    <row r="369" spans="1:7">
      <c r="A369" s="3269" t="s">
        <v>2844</v>
      </c>
      <c r="B369" s="3258" t="s">
        <v>214</v>
      </c>
      <c r="C369" s="3259">
        <v>0.15</v>
      </c>
      <c r="D369" s="3259">
        <v>0.15</v>
      </c>
      <c r="E369" s="3259">
        <v>0.15</v>
      </c>
      <c r="F369" s="3259">
        <v>0.14399999999999999</v>
      </c>
      <c r="G369" s="3260">
        <v>0.15</v>
      </c>
    </row>
    <row r="370" spans="1:7">
      <c r="A370" s="3269" t="s">
        <v>2844</v>
      </c>
      <c r="B370" s="3258" t="s">
        <v>221</v>
      </c>
      <c r="C370" s="3259">
        <v>0.15</v>
      </c>
      <c r="D370" s="3259">
        <v>0.15</v>
      </c>
      <c r="E370" s="3259">
        <v>0.15</v>
      </c>
      <c r="F370" s="3259">
        <v>0.14599999999999999</v>
      </c>
      <c r="G370" s="3260">
        <v>0.15</v>
      </c>
    </row>
    <row r="371" spans="1:7">
      <c r="A371" s="3269" t="s">
        <v>2844</v>
      </c>
      <c r="B371" s="3258" t="s">
        <v>229</v>
      </c>
      <c r="C371" s="3259">
        <v>0.15</v>
      </c>
      <c r="D371" s="3259">
        <v>0.15</v>
      </c>
      <c r="E371" s="3259">
        <v>0.15</v>
      </c>
      <c r="F371" s="3259">
        <v>0.12</v>
      </c>
      <c r="G371" s="3260">
        <v>0.15</v>
      </c>
    </row>
    <row r="372" spans="1:7">
      <c r="A372" s="3269" t="s">
        <v>2844</v>
      </c>
      <c r="B372" s="3258" t="s">
        <v>2905</v>
      </c>
      <c r="C372" s="3259">
        <v>0.15</v>
      </c>
      <c r="D372" s="3259">
        <v>0.15</v>
      </c>
      <c r="E372" s="3259">
        <v>0.15</v>
      </c>
      <c r="F372" s="3259">
        <v>0.14299999999999999</v>
      </c>
      <c r="G372" s="3260">
        <v>0.15</v>
      </c>
    </row>
    <row r="373" spans="1:7">
      <c r="A373" s="3269" t="s">
        <v>2844</v>
      </c>
      <c r="B373" s="3258" t="s">
        <v>258</v>
      </c>
      <c r="C373" s="3259">
        <v>0.15</v>
      </c>
      <c r="D373" s="3259">
        <v>0.15</v>
      </c>
      <c r="E373" s="3259">
        <v>0.15</v>
      </c>
      <c r="F373" s="3259">
        <v>0.14599999999999999</v>
      </c>
      <c r="G373" s="3260">
        <v>0.15</v>
      </c>
    </row>
    <row r="374" spans="1:7">
      <c r="A374" s="3269" t="s">
        <v>2844</v>
      </c>
      <c r="B374" s="3258" t="s">
        <v>266</v>
      </c>
      <c r="C374" s="3259">
        <v>0.15</v>
      </c>
      <c r="D374" s="3259">
        <v>0.15</v>
      </c>
      <c r="E374" s="3259">
        <v>0.15</v>
      </c>
      <c r="F374" s="3259">
        <v>0.14399999999999999</v>
      </c>
      <c r="G374" s="3260">
        <v>0.15</v>
      </c>
    </row>
    <row r="375" spans="1:7">
      <c r="A375" s="3269" t="s">
        <v>2844</v>
      </c>
      <c r="B375" s="3258" t="s">
        <v>2913</v>
      </c>
      <c r="C375" s="3259">
        <v>0.15</v>
      </c>
      <c r="D375" s="3259">
        <v>0.15</v>
      </c>
      <c r="E375" s="3259">
        <v>0.15</v>
      </c>
      <c r="F375" s="3259">
        <v>0.13</v>
      </c>
      <c r="G375" s="3260">
        <v>0.15</v>
      </c>
    </row>
    <row r="376" spans="1:7">
      <c r="A376" s="3269" t="s">
        <v>2844</v>
      </c>
      <c r="B376" s="3258" t="s">
        <v>277</v>
      </c>
      <c r="C376" s="3259">
        <v>0.15</v>
      </c>
      <c r="D376" s="3259">
        <v>0.15</v>
      </c>
      <c r="E376" s="3259">
        <v>0.15</v>
      </c>
      <c r="F376" s="3259">
        <v>0.14199999999999999</v>
      </c>
      <c r="G376" s="3260">
        <v>0.15</v>
      </c>
    </row>
    <row r="377" spans="1:7" ht="14.25" thickBot="1">
      <c r="A377" s="3272" t="s">
        <v>2844</v>
      </c>
      <c r="B377" s="3262" t="s">
        <v>2919</v>
      </c>
      <c r="C377" s="3263">
        <v>0.15</v>
      </c>
      <c r="D377" s="3263">
        <v>0.15</v>
      </c>
      <c r="E377" s="3263">
        <v>0.15</v>
      </c>
      <c r="F377" s="3263">
        <v>0.14000000000000001</v>
      </c>
      <c r="G377" s="3265">
        <v>0.15</v>
      </c>
    </row>
    <row r="378" spans="1:7">
      <c r="A378" s="3268" t="s">
        <v>2845</v>
      </c>
      <c r="B378" s="3254" t="s">
        <v>2859</v>
      </c>
      <c r="C378" s="3255">
        <v>0.15</v>
      </c>
      <c r="D378" s="3255">
        <v>0.15</v>
      </c>
      <c r="E378" s="3255">
        <v>0.15</v>
      </c>
      <c r="F378" s="3255">
        <v>0.107</v>
      </c>
      <c r="G378" s="3256">
        <v>0.15</v>
      </c>
    </row>
    <row r="379" spans="1:7">
      <c r="A379" s="3269" t="s">
        <v>2845</v>
      </c>
      <c r="B379" s="3258" t="s">
        <v>2865</v>
      </c>
      <c r="C379" s="3259">
        <v>0.15</v>
      </c>
      <c r="D379" s="3259">
        <v>0.15</v>
      </c>
      <c r="E379" s="3259">
        <v>0.15</v>
      </c>
      <c r="F379" s="3259">
        <v>0.115</v>
      </c>
      <c r="G379" s="3260">
        <v>0.14899999999999999</v>
      </c>
    </row>
    <row r="380" spans="1:7">
      <c r="A380" s="3269" t="s">
        <v>2845</v>
      </c>
      <c r="B380" s="3258" t="s">
        <v>2871</v>
      </c>
      <c r="C380" s="3259">
        <v>0.15</v>
      </c>
      <c r="D380" s="3259">
        <v>0.15</v>
      </c>
      <c r="E380" s="3259">
        <v>0.15</v>
      </c>
      <c r="F380" s="3259">
        <v>0.1</v>
      </c>
      <c r="G380" s="3260">
        <v>0.14799999999999999</v>
      </c>
    </row>
    <row r="381" spans="1:7">
      <c r="A381" s="3269" t="s">
        <v>2845</v>
      </c>
      <c r="B381" s="3258" t="s">
        <v>2874</v>
      </c>
      <c r="C381" s="3259">
        <v>0.15</v>
      </c>
      <c r="D381" s="3259">
        <v>0.15</v>
      </c>
      <c r="E381" s="3259">
        <v>0.15</v>
      </c>
      <c r="F381" s="3259">
        <v>0.126</v>
      </c>
      <c r="G381" s="3260">
        <v>0.15</v>
      </c>
    </row>
    <row r="382" spans="1:7">
      <c r="A382" s="3269" t="s">
        <v>2845</v>
      </c>
      <c r="B382" s="3258" t="s">
        <v>2878</v>
      </c>
      <c r="C382" s="3259">
        <v>0.15</v>
      </c>
      <c r="D382" s="3259">
        <v>0.15</v>
      </c>
      <c r="E382" s="3259">
        <v>0.15</v>
      </c>
      <c r="F382" s="3259">
        <v>0.15</v>
      </c>
      <c r="G382" s="3260">
        <v>0.15</v>
      </c>
    </row>
    <row r="383" spans="1:7">
      <c r="A383" s="3269" t="s">
        <v>2845</v>
      </c>
      <c r="B383" s="3258" t="s">
        <v>2883</v>
      </c>
      <c r="C383" s="3259">
        <v>0.15</v>
      </c>
      <c r="D383" s="3259">
        <v>0.15</v>
      </c>
      <c r="E383" s="3259">
        <v>0.15</v>
      </c>
      <c r="F383" s="3259">
        <v>0.14699999999999999</v>
      </c>
      <c r="G383" s="3260">
        <v>0.15</v>
      </c>
    </row>
    <row r="384" spans="1:7" ht="14.25" thickBot="1">
      <c r="A384" s="3279" t="s">
        <v>2845</v>
      </c>
      <c r="B384" s="3280" t="s">
        <v>2887</v>
      </c>
      <c r="C384" s="3281">
        <v>0.15</v>
      </c>
      <c r="D384" s="3281">
        <v>0.15</v>
      </c>
      <c r="E384" s="3281">
        <v>0.15</v>
      </c>
      <c r="F384" s="3281">
        <v>0.15</v>
      </c>
      <c r="G384" s="3282">
        <v>0.15</v>
      </c>
    </row>
  </sheetData>
  <sheetProtection password="CEE9"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5" t="s">
        <v>3226</v>
      </c>
      <c r="B1" s="3875"/>
      <c r="C1" s="3875"/>
      <c r="D1" s="3875"/>
      <c r="E1" s="3875"/>
      <c r="F1" s="3876"/>
    </row>
    <row r="2" spans="1:6">
      <c r="A2" s="3285" t="s">
        <v>3227</v>
      </c>
      <c r="B2" s="3286"/>
      <c r="C2" s="3286"/>
      <c r="D2" s="3286"/>
      <c r="E2" s="3286"/>
      <c r="F2" s="3286"/>
    </row>
    <row r="3" spans="1:6">
      <c r="A3" s="3285" t="s">
        <v>3228</v>
      </c>
      <c r="B3" s="3286"/>
      <c r="C3" s="3286"/>
      <c r="D3" s="3286"/>
      <c r="E3" s="3286"/>
      <c r="F3" s="3287" t="s">
        <v>3229</v>
      </c>
    </row>
    <row r="4" spans="1:6">
      <c r="A4" s="3288" t="s">
        <v>672</v>
      </c>
      <c r="B4" s="3288" t="s">
        <v>673</v>
      </c>
      <c r="C4" s="3288" t="s">
        <v>21</v>
      </c>
      <c r="D4" s="3288" t="s">
        <v>674</v>
      </c>
      <c r="E4" s="3288" t="s">
        <v>3</v>
      </c>
      <c r="F4" s="3288" t="s">
        <v>3230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45163</v>
      </c>
      <c r="B1" s="3204" t="s">
        <v>2832</v>
      </c>
      <c r="C1" s="3205"/>
      <c r="D1" s="3205"/>
      <c r="E1" s="3205"/>
      <c r="F1" s="3205"/>
      <c r="G1" s="3205"/>
      <c r="H1" s="3205"/>
      <c r="I1" s="3205"/>
      <c r="J1" s="3159"/>
      <c r="K1" s="3205" t="s">
        <v>454</v>
      </c>
      <c r="L1" s="3205"/>
      <c r="M1" s="3205"/>
      <c r="N1" s="3205"/>
      <c r="O1" s="3205"/>
      <c r="P1" s="3205"/>
      <c r="Q1" s="3159"/>
      <c r="R1" s="3877" t="s">
        <v>456</v>
      </c>
      <c r="S1" s="3878"/>
      <c r="T1" s="3878"/>
      <c r="U1" s="3878"/>
      <c r="V1" s="3878"/>
      <c r="W1" s="3878"/>
      <c r="X1" s="3159"/>
      <c r="Y1" s="3877" t="s">
        <v>457</v>
      </c>
      <c r="Z1" s="3878"/>
      <c r="AA1" s="3878"/>
      <c r="AB1" s="3878"/>
      <c r="AC1" s="3878"/>
      <c r="AD1" s="3878"/>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3362</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3363</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3367</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3366</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3364</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ROUND(IF([4]项目基本情况!B8="出让",SUMPRODUCT(PRODUCT(1+K9:K16)),SUMPRODUCT(PRODUCT(1+K9:K15))),4)</f>
        <v>1.0565</v>
      </c>
      <c r="S9" s="3177">
        <f>ROUND(IF([4]项目基本情况!B8="出让",SUMPRODUCT(PRODUCT(1+L9:L16)),SUMPRODUCT(PRODUCT(1+L9:L15))),4)</f>
        <v>1.0250999999999999</v>
      </c>
      <c r="T9" s="3177">
        <f>ROUND(IF([4]项目基本情况!B8="出让",SUMPRODUCT(PRODUCT(1+M9:M16)),SUMPRODUCT(PRODUCT(1+M9:M15))),4)</f>
        <v>1.0145</v>
      </c>
      <c r="U9" s="3177">
        <f>ROUND(IF([4]项目基本情况!B8="出让",SUMPRODUCT(PRODUCT(1+N9:N16)),SUMPRODUCT(PRODUCT(1+N9:N15))),4)</f>
        <v>1.0618000000000001</v>
      </c>
      <c r="V9" s="3177">
        <f>ROUND(IF([4]项目基本情况!B8="出让",SUMPRODUCT(PRODUCT(1+O9:O16)),SUMPRODUCT(PRODUCT(1+O9:O15))),4)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ROUND(IF([4]项目基本情况!B8="出让",SUMPRODUCT(PRODUCT(1+K10:K16)),SUMPRODUCT(PRODUCT(1+K10:K15))),4)</f>
        <v>1.05</v>
      </c>
      <c r="S10" s="3177">
        <f>ROUND(IF([4]项目基本情况!B8="出让",SUMPRODUCT(PRODUCT(1+L10:L16)),SUMPRODUCT(PRODUCT(1+L10:L15))),4)</f>
        <v>1.0229999999999999</v>
      </c>
      <c r="T10" s="3177">
        <f>ROUND(IF([4]项目基本情况!B8="出让",SUMPRODUCT(PRODUCT(1+M10:M16)),SUMPRODUCT(PRODUCT(1+M10:M15))),4)</f>
        <v>1.0134000000000001</v>
      </c>
      <c r="U10" s="3177">
        <f>ROUND(IF([4]项目基本情况!B8="出让",SUMPRODUCT(PRODUCT(1+N10:N16)),SUMPRODUCT(PRODUCT(1+N10:N15))),4)</f>
        <v>1.0545</v>
      </c>
      <c r="V10" s="3177">
        <f>ROUND(IF([4]项目基本情况!B8="出让",SUMPRODUCT(PRODUCT(1+O10:O16)),SUMPRODUCT(PRODUCT(1+O10:O15))),4)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ROUND(IF([4]项目基本情况!B8="出让",SUMPRODUCT(PRODUCT(1+K11:K16)),SUMPRODUCT(PRODUCT(1+K11:K15))),4)</f>
        <v>1.0430999999999999</v>
      </c>
      <c r="S11" s="3177">
        <f>ROUND(IF([4]项目基本情况!B8="出让",SUMPRODUCT(PRODUCT(1+L11:L16)),SUMPRODUCT(PRODUCT(1+L11:L15))),4)</f>
        <v>1.0197000000000001</v>
      </c>
      <c r="T11" s="3177">
        <f>ROUND(IF([4]项目基本情况!B8="出让",SUMPRODUCT(PRODUCT(1+M11:M16)),SUMPRODUCT(PRODUCT(1+M11:M15))),4)</f>
        <v>1.0109999999999999</v>
      </c>
      <c r="U11" s="3177">
        <f>ROUND(IF([4]项目基本情况!B8="出让",SUMPRODUCT(PRODUCT(1+N11:N16)),SUMPRODUCT(PRODUCT(1+N11:N15))),4)</f>
        <v>1.0468999999999999</v>
      </c>
      <c r="V11" s="3177">
        <f>ROUND(IF([4]项目基本情况!B8="出让",SUMPRODUCT(PRODUCT(1+O11:O16)),SUMPRODUCT(PRODUCT(1+O11:O15))),4)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2812</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ROUND(IF([4]项目基本情况!B8="出让",SUMPRODUCT(PRODUCT(1+K12:K16)),SUMPRODUCT(PRODUCT(1+K12:K15))),4)</f>
        <v>1.0335000000000001</v>
      </c>
      <c r="S12" s="3177">
        <f>ROUND(IF([4]项目基本情况!B8="出让",SUMPRODUCT(PRODUCT(1+L12:L16)),SUMPRODUCT(PRODUCT(1+L12:L15))),4)</f>
        <v>1.0182</v>
      </c>
      <c r="T12" s="3177">
        <f>ROUND(IF([4]项目基本情况!B8="出让",SUMPRODUCT(PRODUCT(1+M12:M16)),SUMPRODUCT(PRODUCT(1+M12:M15))),4)</f>
        <v>1.0108999999999999</v>
      </c>
      <c r="U12" s="3177">
        <f>ROUND(IF([4]项目基本情况!B8="出让",SUMPRODUCT(PRODUCT(1+N12:N16)),SUMPRODUCT(PRODUCT(1+N12:N15))),4)</f>
        <v>1.0361</v>
      </c>
      <c r="V12" s="3177">
        <f>ROUND(IF([4]项目基本情况!B8="出让",SUMPRODUCT(PRODUCT(1+O12:O16)),SUMPRODUCT(PRODUCT(1+O12:O15))),4)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2813</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ROUND(IF([4]项目基本情况!B8="出让",SUMPRODUCT(PRODUCT(1+K13:K16)),SUMPRODUCT(PRODUCT(1+K13:K15))),4)</f>
        <v>1.0244</v>
      </c>
      <c r="S13" s="3177">
        <f>ROUND(IF([4]项目基本情况!B8="出让",SUMPRODUCT(PRODUCT(1+L13:L16)),SUMPRODUCT(PRODUCT(1+L13:L15))),4)</f>
        <v>1.0138</v>
      </c>
      <c r="T13" s="3177">
        <f>ROUND(IF([4]项目基本情况!B8="出让",SUMPRODUCT(PRODUCT(1+M13:M16)),SUMPRODUCT(PRODUCT(1+M13:M15))),4)</f>
        <v>1.0072000000000001</v>
      </c>
      <c r="U13" s="3177">
        <f>ROUND(IF([4]项目基本情况!B8="出让",SUMPRODUCT(PRODUCT(1+N13:N16)),SUMPRODUCT(PRODUCT(1+N13:N15))),4)</f>
        <v>1.0262</v>
      </c>
      <c r="V13" s="3177">
        <f>ROUND(IF([4]项目基本情况!B8="出让",SUMPRODUCT(PRODUCT(1+O13:O16)),SUMPRODUCT(PRODUCT(1+O13:O15))),4)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2814</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ROUND(IF([4]项目基本情况!B8="出让",SUMPRODUCT(PRODUCT(1+K14:K16)),SUMPRODUCT(PRODUCT(1+K14:K15))),4)</f>
        <v>1.0139</v>
      </c>
      <c r="S14" s="3177">
        <f>ROUND(IF([4]项目基本情况!B8="出让",SUMPRODUCT(PRODUCT(1+L14:L16)),SUMPRODUCT(PRODUCT(1+L14:L15))),4)</f>
        <v>1.0113000000000001</v>
      </c>
      <c r="T14" s="3177">
        <f>ROUND(IF([4]项目基本情况!B8="出让",SUMPRODUCT(PRODUCT(1+M14:M16)),SUMPRODUCT(PRODUCT(1+M14:M15))),4)</f>
        <v>1.0065</v>
      </c>
      <c r="U14" s="3177">
        <f>ROUND(IF([4]项目基本情况!B8="出让",SUMPRODUCT(PRODUCT(1+N14:N16)),SUMPRODUCT(PRODUCT(1+N14:N15))),4)</f>
        <v>1.0143</v>
      </c>
      <c r="V14" s="3177">
        <f>ROUND(IF([4]项目基本情况!B8="出让",SUMPRODUCT(PRODUCT(1+O14:O16)),SUMPRODUCT(PRODUCT(1+O14:O15))),4)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2815</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ROUND(IF([4]项目基本情况!B8="出让",SUMPRODUCT(PRODUCT(1+K15:K16)),SUMPRODUCT(PRODUCT(1+K15:K15))),4)</f>
        <v>1.0092000000000001</v>
      </c>
      <c r="S15" s="3177">
        <f>ROUND(IF([4]项目基本情况!B8="出让",SUMPRODUCT(PRODUCT(1+L15:L16)),SUMPRODUCT(PRODUCT(1+L15:L15))),4)</f>
        <v>1.0072000000000001</v>
      </c>
      <c r="T15" s="3177">
        <f>ROUND(IF([4]项目基本情况!B8="出让",SUMPRODUCT(PRODUCT(1+M15:M16)),SUMPRODUCT(PRODUCT(1+M15:M15))),4)</f>
        <v>1.0041</v>
      </c>
      <c r="U15" s="3177">
        <f>ROUND(IF([4]项目基本情况!B8="出让",SUMPRODUCT(PRODUCT(1+N15:N16)),SUMPRODUCT(PRODUCT(1+N15:N15))),4)</f>
        <v>1.0095000000000001</v>
      </c>
      <c r="V15" s="3177">
        <f>ROUND(IF([4]项目基本情况!B8="出让",SUMPRODUCT(PRODUCT(1+O15:O16)),SUMPRODUCT(PRODUCT(1+O15:O15))),4)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2816</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3360</v>
      </c>
    </row>
    <row r="19" spans="1:30" s="3003" customFormat="1">
      <c r="I19" s="3202" t="s">
        <v>2817</v>
      </c>
    </row>
    <row r="20" spans="1:30" s="3003" customFormat="1"/>
    <row r="21" spans="1:30" s="3203" customFormat="1" ht="12.75">
      <c r="B21" s="3204" t="s">
        <v>2818</v>
      </c>
      <c r="C21" s="3205"/>
      <c r="D21" s="3205"/>
      <c r="E21" s="3205"/>
      <c r="F21" s="3205"/>
      <c r="G21" s="3205"/>
      <c r="H21" s="3205"/>
      <c r="I21" s="3205"/>
      <c r="J21" s="3159"/>
      <c r="K21" s="3205" t="s">
        <v>2819</v>
      </c>
      <c r="L21" s="3205"/>
      <c r="M21" s="3205"/>
      <c r="N21" s="3205"/>
      <c r="O21" s="3205"/>
      <c r="P21" s="3205"/>
      <c r="Q21" s="3159"/>
      <c r="R21" s="3877" t="s">
        <v>2820</v>
      </c>
      <c r="S21" s="3878"/>
      <c r="T21" s="3878"/>
      <c r="U21" s="3878"/>
      <c r="V21" s="3878"/>
      <c r="W21" s="3878"/>
      <c r="X21" s="3159"/>
      <c r="Y21" s="3877" t="s">
        <v>2821</v>
      </c>
      <c r="Z21" s="3878"/>
      <c r="AA21" s="3878"/>
      <c r="AB21" s="3878"/>
      <c r="AC21" s="3878"/>
      <c r="AD21" s="3878"/>
    </row>
    <row r="22" spans="1:30" s="3137" customFormat="1" ht="14.25" thickBot="1">
      <c r="B22" s="3138"/>
      <c r="C22" s="3139"/>
      <c r="D22" s="3140" t="s">
        <v>2822</v>
      </c>
      <c r="E22" s="3141" t="s">
        <v>2823</v>
      </c>
      <c r="F22" s="3141" t="s">
        <v>2824</v>
      </c>
      <c r="G22" s="3141" t="s">
        <v>2825</v>
      </c>
      <c r="H22" s="3141"/>
      <c r="I22" s="3141" t="s">
        <v>2826</v>
      </c>
      <c r="J22" s="3142"/>
      <c r="K22" s="3140" t="s">
        <v>2822</v>
      </c>
      <c r="L22" s="3141" t="s">
        <v>2823</v>
      </c>
      <c r="M22" s="3141" t="s">
        <v>2824</v>
      </c>
      <c r="N22" s="3141" t="s">
        <v>2825</v>
      </c>
      <c r="O22" s="3141"/>
      <c r="P22" s="3141" t="s">
        <v>2826</v>
      </c>
      <c r="Q22" s="3142"/>
      <c r="R22" s="3140" t="s">
        <v>2822</v>
      </c>
      <c r="S22" s="3141" t="s">
        <v>2823</v>
      </c>
      <c r="T22" s="3141" t="s">
        <v>2824</v>
      </c>
      <c r="U22" s="3141" t="s">
        <v>2825</v>
      </c>
      <c r="V22" s="3141"/>
      <c r="W22" s="3141" t="s">
        <v>2826</v>
      </c>
      <c r="X22" s="3142"/>
      <c r="Y22" s="3140" t="s">
        <v>2822</v>
      </c>
      <c r="Z22" s="3141" t="s">
        <v>2823</v>
      </c>
      <c r="AA22" s="3141" t="s">
        <v>2824</v>
      </c>
      <c r="AB22" s="3141" t="s">
        <v>2825</v>
      </c>
      <c r="AC22" s="3141"/>
      <c r="AD22" s="3141" t="s">
        <v>2826</v>
      </c>
    </row>
    <row r="23" spans="1:30" s="3155" customFormat="1" ht="12.75">
      <c r="A23" s="3143" t="s">
        <v>2827</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3362</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ROUND(IF([4]项目基本情况!$B$8="出让",SUMPRODUCT(PRODUCT(1+L25:L$36)),SUMPRODUCT(PRODUCT(1+L25:L$35))),4)</f>
        <v>1.0396000000000001</v>
      </c>
      <c r="T25" s="3177">
        <f>ROUND(IF([4]项目基本情况!$B$8="出让",SUMPRODUCT(PRODUCT(1+M25:M$36)),SUMPRODUCT(PRODUCT(1+M25:M$35))),4)</f>
        <v>1.0269999999999999</v>
      </c>
      <c r="U25" s="3177">
        <f>ROUND(IF([4]项目基本情况!$B$8="出让",SUMPRODUCT(PRODUCT(1+N25:N$36)),SUMPRODUCT(PRODUCT(1+N25:N$35))),4)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3363</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ROUND(IF([4]项目基本情况!$B$8="出让",SUMPRODUCT(PRODUCT(1+L26:L$36)),SUMPRODUCT(PRODUCT(1+L26:L$35))),4)</f>
        <v>1.0396000000000001</v>
      </c>
      <c r="T26" s="3177">
        <f>ROUND(IF([4]项目基本情况!$B$8="出让",SUMPRODUCT(PRODUCT(1+M26:M$36)),SUMPRODUCT(PRODUCT(1+M26:M$35))),4)</f>
        <v>1.0269999999999999</v>
      </c>
      <c r="U26" s="3177">
        <f>ROUND(IF([4]项目基本情况!$B$8="出让",SUMPRODUCT(PRODUCT(1+N26:N$36)),SUMPRODUCT(PRODUCT(1+N26:N$35))),4)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3365</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ROUND(IF([4]项目基本情况!$B$8="出让",SUMPRODUCT(PRODUCT(1+L27:L$36)),SUMPRODUCT(PRODUCT(1+L27:L$35))),4)</f>
        <v>1.0396000000000001</v>
      </c>
      <c r="T27" s="3186">
        <f>ROUND(IF([4]项目基本情况!$B$8="出让",SUMPRODUCT(PRODUCT(1+M27:M$36)),SUMPRODUCT(PRODUCT(1+M27:M$35))),4)</f>
        <v>1.0269999999999999</v>
      </c>
      <c r="U27" s="3186">
        <f>ROUND(IF([4]项目基本情况!$B$8="出让",SUMPRODUCT(PRODUCT(1+N27:N$36)),SUMPRODUCT(PRODUCT(1+N27:N$35))),4)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3366</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ROUND(IF([4]项目基本情况!$B$8="出让",SUMPRODUCT(PRODUCT(1+L28:L$36)),SUMPRODUCT(PRODUCT(1+L28:L$35))),4)</f>
        <v>1.0344</v>
      </c>
      <c r="T28" s="3177">
        <f>ROUND(IF([4]项目基本情况!$B$8="出让",SUMPRODUCT(PRODUCT(1+M28:M$36)),SUMPRODUCT(PRODUCT(1+M28:M$35))),4)</f>
        <v>1.0224</v>
      </c>
      <c r="U28" s="3177">
        <f>ROUND(IF([4]项目基本情况!$B$8="出让",SUMPRODUCT(PRODUCT(1+N28:N$36)),SUMPRODUCT(PRODUCT(1+N28:N$35))),4)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3364</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ROUND(IF([4]项目基本情况!$B$8="出让",SUMPRODUCT(PRODUCT(1+L29:L$36)),SUMPRODUCT(PRODUCT(1+L29:L$35))),4)</f>
        <v>1.0286999999999999</v>
      </c>
      <c r="T29" s="3177">
        <f>ROUND(IF([4]项目基本情况!$B$8="出让",SUMPRODUCT(PRODUCT(1+M29:M$36)),SUMPRODUCT(PRODUCT(1+M29:M$35))),4)</f>
        <v>1.0164</v>
      </c>
      <c r="U29" s="3177">
        <f>ROUND(IF([4]项目基本情况!$B$8="出让",SUMPRODUCT(PRODUCT(1+N29:N$36)),SUMPRODUCT(PRODUCT(1+N29:N$35))),4)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ROUND(IF([4]项目基本情况!$B$8="出让",SUMPRODUCT(PRODUCT(1+L30:L$36)),SUMPRODUCT(PRODUCT(1+L30:L$35))),4)</f>
        <v>1.0241</v>
      </c>
      <c r="T30" s="3177">
        <f>ROUND(IF([4]项目基本情况!$B$8="出让",SUMPRODUCT(PRODUCT(1+M30:M$36)),SUMPRODUCT(PRODUCT(1+M30:M$35))),4)</f>
        <v>1.0144</v>
      </c>
      <c r="U30" s="3177">
        <f>ROUND(IF([4]项目基本情况!$B$8="出让",SUMPRODUCT(PRODUCT(1+N30:N$36)),SUMPRODUCT(PRODUCT(1+N30:N$35))),4)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ROUND(IF([4]项目基本情况!$B$8="出让",SUMPRODUCT(PRODUCT(1+L31:L$36)),SUMPRODUCT(PRODUCT(1+L31:L$35))),4)</f>
        <v>1.0210999999999999</v>
      </c>
      <c r="T31" s="3177">
        <f>ROUND(IF([4]项目基本情况!$B$8="出让",SUMPRODUCT(PRODUCT(1+M31:M$36)),SUMPRODUCT(PRODUCT(1+M31:M$35))),4)</f>
        <v>1.0114000000000001</v>
      </c>
      <c r="U31" s="3177">
        <f>ROUND(IF([4]项目基本情况!$B$8="出让",SUMPRODUCT(PRODUCT(1+N31:N$36)),SUMPRODUCT(PRODUCT(1+N31:N$35))),4)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2828</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ROUND(IF([4]项目基本情况!$B$8="出让",SUMPRODUCT(PRODUCT(1+L32:L$36)),SUMPRODUCT(PRODUCT(1+L32:L$35))),4)</f>
        <v>1.0222</v>
      </c>
      <c r="T32" s="3177">
        <f>ROUND(IF([4]项目基本情况!$B$8="出让",SUMPRODUCT(PRODUCT(1+M32:M$36)),SUMPRODUCT(PRODUCT(1+M32:M$35))),4)</f>
        <v>1.0127999999999999</v>
      </c>
      <c r="U32" s="3177">
        <f>ROUND(IF([4]项目基本情况!$B$8="出让",SUMPRODUCT(PRODUCT(1+N32:N$36)),SUMPRODUCT(PRODUCT(1+N32:N$35))),4)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2829</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ROUND(IF([4]项目基本情况!$B$8="出让",SUMPRODUCT(PRODUCT(1+L33:L$36)),SUMPRODUCT(PRODUCT(1+L33:L$35))),4)</f>
        <v>1.0161</v>
      </c>
      <c r="T33" s="3177">
        <f>ROUND(IF([4]项目基本情况!$B$8="出让",SUMPRODUCT(PRODUCT(1+M33:M$36)),SUMPRODUCT(PRODUCT(1+M33:M$35))),4)</f>
        <v>1.0082</v>
      </c>
      <c r="U33" s="3177">
        <f>ROUND(IF([4]项目基本情况!$B$8="出让",SUMPRODUCT(PRODUCT(1+N33:N$36)),SUMPRODUCT(PRODUCT(1+N33:N$35))),4)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2830</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ROUND(IF([4]项目基本情况!$B$8="出让",SUMPRODUCT(PRODUCT(1+L34:L$36)),SUMPRODUCT(PRODUCT(1+L34:L$35))),4)</f>
        <v>1.0102</v>
      </c>
      <c r="T34" s="3177">
        <f>ROUND(IF([4]项目基本情况!$B$8="出让",SUMPRODUCT(PRODUCT(1+M34:M$36)),SUMPRODUCT(PRODUCT(1+M34:M$35))),4)</f>
        <v>1.0074000000000001</v>
      </c>
      <c r="U34" s="3177">
        <f>ROUND(IF([4]项目基本情况!$B$8="出让",SUMPRODUCT(PRODUCT(1+N34:N$36)),SUMPRODUCT(PRODUCT(1+N34:N$35))),4)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2831</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ROUND(IF([4]项目基本情况!$B$8="出让",SUMPRODUCT(PRODUCT(1+L35:L$36)),SUMPRODUCT(PRODUCT(1+L35:L$35))),4)</f>
        <v>1.0055000000000001</v>
      </c>
      <c r="T35" s="3177">
        <f>ROUND(IF([4]项目基本情况!$B$8="出让",SUMPRODUCT(PRODUCT(1+M35:M$36)),SUMPRODUCT(PRODUCT(1+M35:M$35))),4)</f>
        <v>1.0045999999999999</v>
      </c>
      <c r="U35" s="3177">
        <f>ROUND(IF([4]项目基本情况!$B$8="出让",SUMPRODUCT(PRODUCT(1+N35:N$36)),SUMPRODUCT(PRODUCT(1+N35:N$35))),4)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2816</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3361</v>
      </c>
    </row>
  </sheetData>
  <sheetProtection password="CEE9" sheet="1" objects="1" scenarios="1"/>
  <mergeCells count="4">
    <mergeCell ref="R21:W21"/>
    <mergeCell ref="Y21:AD21"/>
    <mergeCell ref="R1:W1"/>
    <mergeCell ref="Y1:AD1"/>
  </mergeCells>
  <phoneticPr fontId="13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4" t="s">
        <v>452</v>
      </c>
      <c r="C1" s="3884"/>
      <c r="D1" s="3884"/>
      <c r="E1" s="3884"/>
      <c r="F1" s="3884"/>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8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8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8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8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8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8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8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8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8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8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8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8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8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8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8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8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8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8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8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8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8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8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8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8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8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8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8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8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8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8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8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8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8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8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8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8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8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8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8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8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8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8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8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8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8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8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8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45163</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2301</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Z7" sqref="Z7"/>
    </sheetView>
  </sheetViews>
  <sheetFormatPr defaultRowHeight="13.5"/>
  <sheetData/>
  <phoneticPr fontId="137"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8" sqref="L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1"/>
      <c r="G1" s="1487"/>
      <c r="H1" s="1487"/>
      <c r="I1" s="1487"/>
      <c r="J1" s="1487"/>
      <c r="K1" s="1487"/>
      <c r="L1" s="1487"/>
      <c r="M1" s="1487"/>
      <c r="N1" s="1487"/>
      <c r="O1" s="1487"/>
      <c r="P1" s="1487"/>
      <c r="Q1" s="1487"/>
      <c r="R1" s="1487"/>
      <c r="S1" s="1487"/>
    </row>
    <row r="2" spans="1:22" ht="15.75">
      <c r="A2" s="1868" t="s">
        <v>1461</v>
      </c>
      <c r="B2" s="1869">
        <f ca="1">SUMIF(B6:B13,"&lt;&gt;#ref!",B6:B13)</f>
        <v>55670</v>
      </c>
      <c r="C2" s="1870" t="s">
        <v>1650</v>
      </c>
      <c r="D2" s="1871" t="s">
        <v>1651</v>
      </c>
      <c r="E2" s="2601">
        <f>SUM(E6:E13)</f>
        <v>25743.170000000006</v>
      </c>
      <c r="F2" s="2701"/>
      <c r="G2" s="1487"/>
      <c r="H2" s="1487"/>
      <c r="I2" s="1487"/>
      <c r="J2" s="1487"/>
      <c r="K2" s="1487"/>
      <c r="L2" s="1487"/>
      <c r="M2" s="1487"/>
      <c r="N2" s="1487"/>
      <c r="O2" s="1487"/>
      <c r="P2" s="1487"/>
      <c r="Q2" s="1487"/>
      <c r="R2" s="1487"/>
      <c r="S2" s="1487"/>
    </row>
    <row r="3" spans="1:22" ht="15.75">
      <c r="A3" s="1868" t="s">
        <v>686</v>
      </c>
      <c r="B3" s="2595">
        <f ca="1">ROUND(B2*10000/E2,0)</f>
        <v>21625</v>
      </c>
      <c r="C3" s="1870" t="s">
        <v>1658</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1652</v>
      </c>
      <c r="B5" s="3890" t="s">
        <v>1653</v>
      </c>
      <c r="C5" s="3891"/>
      <c r="D5" s="2702"/>
      <c r="E5" s="1872" t="s">
        <v>1654</v>
      </c>
      <c r="F5" s="1873" t="s">
        <v>1655</v>
      </c>
      <c r="G5" s="1487"/>
      <c r="H5" s="1487"/>
      <c r="I5" s="1487"/>
      <c r="J5" s="1487"/>
      <c r="K5" s="1487"/>
      <c r="L5" s="1487"/>
      <c r="M5" s="1487"/>
      <c r="N5" s="1487"/>
      <c r="O5" s="1487"/>
      <c r="P5" s="1487"/>
      <c r="Q5" s="1487"/>
      <c r="R5" s="1487"/>
      <c r="S5" s="1487"/>
    </row>
    <row r="6" spans="1:22">
      <c r="A6" s="2598" t="str">
        <f>'数据-取费表'!AN6</f>
        <v>收益法-文化娱乐</v>
      </c>
      <c r="B6" s="2596">
        <f ca="1">IF(F6="是",'数据-取费表'!AO6,0)</f>
        <v>54906</v>
      </c>
      <c r="C6" s="1870" t="s">
        <v>1650</v>
      </c>
      <c r="D6" s="2703"/>
      <c r="E6" s="2600">
        <f>IF(OR(A6=0,F6="否"),0,'数据-取费表'!K6+'数据-取费表'!S6)</f>
        <v>23065.670000000006</v>
      </c>
      <c r="F6" s="1874" t="s">
        <v>1656</v>
      </c>
      <c r="G6" s="1487"/>
      <c r="H6" s="1487"/>
      <c r="I6" s="1487"/>
      <c r="J6" s="1487"/>
      <c r="K6" s="1487"/>
      <c r="L6" s="1487"/>
      <c r="M6" s="1487"/>
      <c r="N6" s="1487"/>
      <c r="O6" s="1487"/>
      <c r="P6" s="1487"/>
      <c r="Q6" s="1487"/>
      <c r="R6" s="1487"/>
      <c r="S6" s="1487"/>
    </row>
    <row r="7" spans="1:22">
      <c r="A7" s="2598" t="str">
        <f>'数据-取费表'!AN7</f>
        <v>收益法-车库</v>
      </c>
      <c r="B7" s="2596">
        <f ca="1">IF(F7="是",'数据-取费表'!AO7,0)</f>
        <v>764</v>
      </c>
      <c r="C7" s="1870" t="s">
        <v>1650</v>
      </c>
      <c r="D7" s="2703"/>
      <c r="E7" s="2600">
        <f>IF(OR(A7=0,F7="否"),0,'数据-取费表'!K7+'数据-取费表'!S7)</f>
        <v>2677.4999999999986</v>
      </c>
      <c r="F7" s="1874" t="s">
        <v>1656</v>
      </c>
      <c r="G7" s="1487"/>
      <c r="H7" s="1487"/>
      <c r="I7" s="1487"/>
      <c r="J7" s="1487"/>
      <c r="K7" s="3468" t="s">
        <v>3520</v>
      </c>
      <c r="L7" s="1487"/>
      <c r="M7" s="1487"/>
      <c r="N7" s="1487"/>
      <c r="O7" s="1487"/>
      <c r="P7" s="1487"/>
      <c r="Q7" s="1487"/>
      <c r="R7" s="1487"/>
      <c r="S7" s="1487"/>
    </row>
    <row r="8" spans="1:22">
      <c r="A8" s="2598">
        <f>'数据-取费表'!AN8</f>
        <v>0</v>
      </c>
      <c r="B8" s="2596">
        <f>IF(F8="是",'数据-取费表'!AO8,0)</f>
        <v>0</v>
      </c>
      <c r="C8" s="1870" t="s">
        <v>1650</v>
      </c>
      <c r="D8" s="2703"/>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1650</v>
      </c>
      <c r="D9" s="2703"/>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1650</v>
      </c>
      <c r="D10" s="2703"/>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1650</v>
      </c>
      <c r="D11" s="2703"/>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1650</v>
      </c>
      <c r="D12" s="2703"/>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1650</v>
      </c>
      <c r="D13" s="2704"/>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3512</v>
      </c>
      <c r="D1" s="1360" t="s">
        <v>43</v>
      </c>
      <c r="E1" s="1361" t="s">
        <v>678</v>
      </c>
      <c r="F1" s="1061">
        <f ca="1">J53</f>
        <v>25.7</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54906</v>
      </c>
      <c r="C2" s="1385" t="s">
        <v>805</v>
      </c>
      <c r="D2" s="1385"/>
      <c r="E2" s="1386"/>
      <c r="F2" s="1387"/>
      <c r="G2" s="2700"/>
      <c r="H2" s="2689"/>
      <c r="I2" s="2689"/>
      <c r="J2" s="2689"/>
      <c r="K2" s="2690"/>
      <c r="L2" s="2689"/>
      <c r="M2" s="2689"/>
    </row>
    <row r="3" spans="1:37" ht="18" customHeight="1" thickBot="1">
      <c r="A3" s="1388" t="s">
        <v>806</v>
      </c>
      <c r="B3" s="1389">
        <f ca="1">IF(ISERROR(B2*10000/F43),0,ROUND(B2*10000/F43,0))</f>
        <v>23804</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f ca="1">C6+'收益法-车库'!C6</f>
        <v>3838</v>
      </c>
    </row>
    <row r="5" spans="1:37" ht="18" customHeight="1">
      <c r="A5" s="299">
        <v>1</v>
      </c>
      <c r="B5" s="300" t="s">
        <v>692</v>
      </c>
      <c r="C5" s="1069">
        <f ca="1">C6+C10+C12</f>
        <v>3794</v>
      </c>
      <c r="D5" s="1362" t="s">
        <v>693</v>
      </c>
      <c r="E5" s="1070"/>
      <c r="F5" s="1071"/>
      <c r="G5" s="1382"/>
      <c r="H5" s="299">
        <v>1</v>
      </c>
      <c r="I5" s="300" t="s">
        <v>692</v>
      </c>
      <c r="J5" s="1069">
        <f ca="1">J6+J10+J12</f>
        <v>0</v>
      </c>
      <c r="K5" s="1362" t="s">
        <v>693</v>
      </c>
      <c r="L5" s="1070"/>
      <c r="M5" s="1071"/>
    </row>
    <row r="6" spans="1:37" ht="18" customHeight="1">
      <c r="A6" s="1068" t="s">
        <v>398</v>
      </c>
      <c r="B6" s="3737" t="s">
        <v>694</v>
      </c>
      <c r="C6" s="1073">
        <f ca="1">ROUND(F6*F8*F7*(1-F9)/10000,0)</f>
        <v>3789</v>
      </c>
      <c r="D6" s="155" t="s">
        <v>2108</v>
      </c>
      <c r="E6" s="302" t="s">
        <v>696</v>
      </c>
      <c r="F6" s="303">
        <f ca="1">INDIRECT("'数据-取费表'!u"&amp;$G$1)</f>
        <v>5</v>
      </c>
      <c r="G6" s="1382"/>
      <c r="H6" s="1068" t="s">
        <v>398</v>
      </c>
      <c r="I6" s="3737" t="s">
        <v>694</v>
      </c>
      <c r="J6" s="301">
        <f ca="1">ROUND(M6*M8*M7*(1-M9)/10000,0)</f>
        <v>0</v>
      </c>
      <c r="K6" s="155" t="s">
        <v>2107</v>
      </c>
      <c r="L6" s="302" t="s">
        <v>696</v>
      </c>
      <c r="M6" s="303">
        <f ca="1">INDIRECT("'数据-取费表'!z"&amp;$G$1)</f>
        <v>0</v>
      </c>
    </row>
    <row r="7" spans="1:37" ht="18" customHeight="1">
      <c r="A7" s="1072"/>
      <c r="B7" s="3738"/>
      <c r="C7" s="1074"/>
      <c r="D7" s="307"/>
      <c r="E7" s="1075" t="s">
        <v>697</v>
      </c>
      <c r="F7" s="303">
        <f ca="1">IF(INDIRECT("'数据-取费表'!ah"&amp;$G$1)="",INDIRECT("'数据-取费表'!k"&amp;$G$1),INDIRECT("'数据-取费表'!ah"&amp;$G$1))</f>
        <v>23065.670000000006</v>
      </c>
      <c r="G7" s="1382"/>
      <c r="H7" s="304"/>
      <c r="I7" s="3738"/>
      <c r="J7" s="306"/>
      <c r="K7" s="307"/>
      <c r="L7" s="302" t="s">
        <v>697</v>
      </c>
      <c r="M7" s="303">
        <f ca="1">F7</f>
        <v>23065.670000000006</v>
      </c>
    </row>
    <row r="8" spans="1:37" ht="18" customHeight="1">
      <c r="A8" s="304"/>
      <c r="B8" s="3738"/>
      <c r="C8" s="306"/>
      <c r="D8" s="307"/>
      <c r="E8" s="302" t="s">
        <v>698</v>
      </c>
      <c r="F8" s="303">
        <f ca="1">INDIRECT("'数据-取费表'!ai"&amp;$G$1)</f>
        <v>365</v>
      </c>
      <c r="G8" s="1382"/>
      <c r="H8" s="304"/>
      <c r="I8" s="3738"/>
      <c r="J8" s="306"/>
      <c r="K8" s="307"/>
      <c r="L8" s="302" t="s">
        <v>698</v>
      </c>
      <c r="M8" s="303">
        <f ca="1">INDIRECT("'数据-取费表'!ai"&amp;$G$1)</f>
        <v>365</v>
      </c>
    </row>
    <row r="9" spans="1:37" ht="18" customHeight="1">
      <c r="A9" s="304"/>
      <c r="B9" s="3739"/>
      <c r="C9" s="306"/>
      <c r="D9" s="307"/>
      <c r="E9" s="302" t="s">
        <v>699</v>
      </c>
      <c r="F9" s="312">
        <f ca="1">INDIRECT("'数据-取费表'!w"&amp;$G$1)</f>
        <v>0.1</v>
      </c>
      <c r="G9" s="1382"/>
      <c r="H9" s="304"/>
      <c r="I9" s="3739"/>
      <c r="J9" s="306"/>
      <c r="K9" s="307"/>
      <c r="L9" s="313" t="s">
        <v>699</v>
      </c>
      <c r="M9" s="314">
        <f ca="1">INDIRECT("'数据-取费表'!ab"&amp;$G$1)</f>
        <v>0</v>
      </c>
    </row>
    <row r="10" spans="1:37" ht="18" customHeight="1">
      <c r="A10" s="1068" t="s">
        <v>402</v>
      </c>
      <c r="B10" s="1363" t="s">
        <v>700</v>
      </c>
      <c r="C10" s="316">
        <f ca="1">ROUND(IF(F10="押一",C6/12*F11,IF(F10="押二",C6/12*2*F11,IF(F10="押三",C6/12*3*F11,C11*F11))),0)</f>
        <v>5</v>
      </c>
      <c r="D10" s="1364" t="s">
        <v>2116</v>
      </c>
      <c r="E10" s="313" t="s">
        <v>701</v>
      </c>
      <c r="F10" s="1115" t="s">
        <v>3408</v>
      </c>
      <c r="G10" s="1382"/>
      <c r="H10" s="1068" t="s">
        <v>402</v>
      </c>
      <c r="I10" s="1363" t="s">
        <v>700</v>
      </c>
      <c r="J10" s="301">
        <f ca="1">ROUND(IF(M10="押一",J6/12*M11,IF(M10="押二",J6/12*2*M11,IF(M10="押三",J6/12*3*M11,J11*M11))),0)</f>
        <v>0</v>
      </c>
      <c r="K10" s="1364" t="s">
        <v>2115</v>
      </c>
      <c r="L10" s="313" t="s">
        <v>701</v>
      </c>
      <c r="M10" s="1115" t="s">
        <v>3408</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17480</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12686</v>
      </c>
      <c r="D14" s="1343" t="s">
        <v>708</v>
      </c>
      <c r="E14" s="1340"/>
      <c r="F14" s="319"/>
      <c r="G14" s="1382"/>
      <c r="H14" s="981" t="s">
        <v>398</v>
      </c>
      <c r="I14" s="302" t="s">
        <v>709</v>
      </c>
      <c r="J14" s="21">
        <f ca="1">C29</f>
        <v>19000</v>
      </c>
      <c r="K14" s="12"/>
      <c r="L14" s="806"/>
      <c r="M14" s="807"/>
    </row>
    <row r="15" spans="1:37" s="1395" customFormat="1" ht="18" customHeight="1" thickBot="1">
      <c r="A15" s="981" t="s">
        <v>399</v>
      </c>
      <c r="B15" s="302" t="s">
        <v>710</v>
      </c>
      <c r="C15" s="21">
        <f ca="1">ROUND(C14*F15,0)</f>
        <v>634</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194</v>
      </c>
      <c r="K16" s="1086" t="s">
        <v>715</v>
      </c>
      <c r="L16" s="1087"/>
      <c r="M16" s="1071"/>
    </row>
    <row r="17" spans="1:37" s="1395" customFormat="1" ht="18" customHeight="1">
      <c r="A17" s="981" t="s">
        <v>681</v>
      </c>
      <c r="B17" s="302" t="s">
        <v>716</v>
      </c>
      <c r="C17" s="21">
        <f ca="1">ROUND(F17*(F43+INDIRECT("'数据-取费表'!S"&amp;$G$1))/10000,0)</f>
        <v>415</v>
      </c>
      <c r="D17" s="302" t="s">
        <v>717</v>
      </c>
      <c r="E17" s="302" t="s">
        <v>718</v>
      </c>
      <c r="F17" s="23">
        <f>'数据-取费表'!B35</f>
        <v>180</v>
      </c>
      <c r="G17" s="1394"/>
      <c r="H17" s="981" t="s">
        <v>398</v>
      </c>
      <c r="I17" s="302" t="s">
        <v>719</v>
      </c>
      <c r="J17" s="2312">
        <f ca="1">ROUND(IF(AND(项目基本情况!B11="自然人",项目基本情况!B10="北京市"),J6*M17/(1+'数据-取费表'!C42),J18+J19+J20),2)</f>
        <v>3.52</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190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13925</v>
      </c>
      <c r="D19" s="131" t="s">
        <v>726</v>
      </c>
      <c r="E19" s="1358"/>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279</v>
      </c>
      <c r="D20" s="323" t="s">
        <v>729</v>
      </c>
      <c r="E20" s="302" t="s">
        <v>712</v>
      </c>
      <c r="F20" s="322">
        <f>'数据-取费表'!B37</f>
        <v>0.02</v>
      </c>
      <c r="G20" s="1394"/>
      <c r="H20" s="981" t="s">
        <v>680</v>
      </c>
      <c r="I20" s="155" t="s">
        <v>730</v>
      </c>
      <c r="J20" s="22">
        <f ca="1">ROUND(M20*M21/10000,2)</f>
        <v>3.52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23474.82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190</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490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-194</v>
      </c>
      <c r="K25" s="1094" t="s">
        <v>753</v>
      </c>
      <c r="L25" s="1095"/>
      <c r="M25" s="1096"/>
    </row>
    <row r="26" spans="1:37">
      <c r="A26" s="981" t="s">
        <v>397</v>
      </c>
      <c r="B26" s="302" t="s">
        <v>754</v>
      </c>
      <c r="C26" s="21">
        <f ca="1">ROUND((C19+C20)*F26,0)</f>
        <v>2841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19000</v>
      </c>
      <c r="D29" s="1091"/>
      <c r="E29" s="1089"/>
      <c r="F29" s="1092"/>
      <c r="G29" s="1394"/>
      <c r="H29" s="334" t="s">
        <v>396</v>
      </c>
      <c r="I29" s="335" t="s">
        <v>768</v>
      </c>
      <c r="J29" s="336">
        <f ca="1">ROUND(J26/(1+F40)^F41,0)</f>
        <v>0</v>
      </c>
      <c r="K29" s="337" t="s">
        <v>769</v>
      </c>
      <c r="L29" s="338"/>
      <c r="M29" s="339">
        <f ca="1">INDIRECT("'数据-取费表'!k"&amp;$G$1)</f>
        <v>23065.670000000006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889</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635.02</v>
      </c>
      <c r="D31" s="1343" t="s">
        <v>720</v>
      </c>
      <c r="E31" s="1342"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198.47</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433.03</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3.52</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23474.82</v>
      </c>
      <c r="G35" s="1382"/>
      <c r="H35" s="2691"/>
      <c r="I35" s="1396"/>
      <c r="J35" s="1397"/>
      <c r="K35" s="2695"/>
      <c r="L35" s="2694"/>
      <c r="M35" s="2694"/>
    </row>
    <row r="36" spans="1:18" ht="18" customHeight="1">
      <c r="A36" s="1101" t="s">
        <v>402</v>
      </c>
      <c r="B36" s="302" t="s">
        <v>738</v>
      </c>
      <c r="C36" s="21">
        <f ca="1">ROUND(C29*F36,2)</f>
        <v>190</v>
      </c>
      <c r="D36" s="1342" t="s">
        <v>771</v>
      </c>
      <c r="E36" s="302" t="s">
        <v>712</v>
      </c>
      <c r="F36" s="328">
        <f ca="1">INDIRECT("'数据-取费表'!Ak"&amp;$G$1)</f>
        <v>0.01</v>
      </c>
      <c r="G36" s="1382"/>
      <c r="H36" s="2694"/>
      <c r="I36" s="1396"/>
      <c r="J36" s="1397"/>
      <c r="K36" s="2538"/>
      <c r="L36" s="2694"/>
      <c r="M36" s="2694"/>
    </row>
    <row r="37" spans="1:18" ht="18" customHeight="1">
      <c r="A37" s="981" t="s">
        <v>437</v>
      </c>
      <c r="B37" s="302" t="s">
        <v>742</v>
      </c>
      <c r="C37" s="21">
        <f ca="1">ROUND(C13*F37,2)</f>
        <v>26.22</v>
      </c>
      <c r="D37" s="1342" t="s">
        <v>743</v>
      </c>
      <c r="E37" s="302" t="s">
        <v>744</v>
      </c>
      <c r="F37" s="330">
        <f ca="1">INDIRECT("'数据-取费表'!Al"&amp;$G$1)</f>
        <v>1.5E-3</v>
      </c>
      <c r="G37" s="1382"/>
      <c r="H37" s="2694"/>
      <c r="I37" s="1396"/>
      <c r="J37" s="1397"/>
      <c r="K37" s="2538"/>
      <c r="L37" s="2694"/>
      <c r="M37" s="2694"/>
    </row>
    <row r="38" spans="1:18" ht="18" customHeight="1" thickBot="1">
      <c r="A38" s="1088" t="s">
        <v>684</v>
      </c>
      <c r="B38" s="1089" t="s">
        <v>728</v>
      </c>
      <c r="C38" s="1090">
        <f ca="1">ROUND(C5*F38,2)</f>
        <v>37.94</v>
      </c>
      <c r="D38" s="1091" t="s">
        <v>748</v>
      </c>
      <c r="E38" s="1089" t="s">
        <v>744</v>
      </c>
      <c r="F38" s="1085">
        <f ca="1">INDIRECT("'数据-取费表'!Am"&amp;$G$1)</f>
        <v>0.01</v>
      </c>
      <c r="G38" s="1382"/>
      <c r="H38" s="2694"/>
      <c r="I38" s="1396"/>
      <c r="J38" s="1397"/>
      <c r="K38" s="2698"/>
      <c r="L38" s="2694"/>
      <c r="M38" s="2694"/>
    </row>
    <row r="39" spans="1:18" ht="24.6" customHeight="1" thickTop="1">
      <c r="A39" s="1078" t="s">
        <v>394</v>
      </c>
      <c r="B39" s="1093" t="s">
        <v>772</v>
      </c>
      <c r="C39" s="310">
        <f ca="1">C5-C30</f>
        <v>2905</v>
      </c>
      <c r="D39" s="1094" t="s">
        <v>773</v>
      </c>
      <c r="E39" s="1095"/>
      <c r="F39" s="1096"/>
      <c r="G39" s="1382"/>
      <c r="H39" s="2694"/>
      <c r="I39" s="1396"/>
      <c r="J39" s="1397"/>
      <c r="K39" s="2698"/>
      <c r="L39" s="2694"/>
      <c r="M39" s="2694"/>
    </row>
    <row r="40" spans="1:18" ht="18" customHeight="1">
      <c r="A40" s="299" t="s">
        <v>395</v>
      </c>
      <c r="B40" s="300" t="s">
        <v>774</v>
      </c>
      <c r="C40" s="301">
        <f ca="1">ROUND(C39*(1-((1+F42)/(1+F40))^F41)/(F40-F42),0)</f>
        <v>53461</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25.7</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23178</v>
      </c>
      <c r="D43" s="337" t="s">
        <v>777</v>
      </c>
      <c r="E43" s="338" t="s">
        <v>778</v>
      </c>
      <c r="F43" s="339">
        <f ca="1">INDIRECT("'数据-取费表'!k"&amp;$G$1)</f>
        <v>23065.670000000006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-56451</v>
      </c>
      <c r="D46" s="1404" t="str">
        <f>C2</f>
        <v>万元</v>
      </c>
      <c r="E46" s="1398"/>
      <c r="F46" s="1398"/>
      <c r="I46" s="1405" t="s">
        <v>810</v>
      </c>
      <c r="J46" s="1406"/>
      <c r="K46" s="1407"/>
      <c r="L46" s="1408">
        <f ca="1">IF(M47="住宅",0,IF(L48&gt;J51,L60,J60))</f>
        <v>1445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3409</v>
      </c>
      <c r="K47" s="1414" t="s">
        <v>816</v>
      </c>
      <c r="L47" s="1415">
        <f ca="1">INDIRECT("'数据-取费表'!d"&amp;$G$1)</f>
        <v>40</v>
      </c>
      <c r="M47" s="1378" t="str">
        <f>IF(ISNUMBER(FIND("住宅",C1)),"住宅","非住宅")</f>
        <v>非住宅</v>
      </c>
      <c r="O47" s="1416" t="s">
        <v>403</v>
      </c>
      <c r="P47" s="1417" t="s">
        <v>817</v>
      </c>
      <c r="Q47" s="1418">
        <f ca="1">C40+J29</f>
        <v>53461</v>
      </c>
      <c r="R47" s="1418" t="s">
        <v>818</v>
      </c>
    </row>
    <row r="48" spans="1:18" s="1382" customFormat="1" ht="28.5" thickBot="1">
      <c r="A48" s="1109" t="s">
        <v>438</v>
      </c>
      <c r="B48" s="300" t="s">
        <v>692</v>
      </c>
      <c r="C48" s="1357">
        <f ca="1">C49+C53+C55</f>
        <v>0</v>
      </c>
      <c r="D48" s="1111"/>
      <c r="E48" s="1112"/>
      <c r="F48" s="961"/>
      <c r="G48" s="721"/>
      <c r="H48" s="722"/>
      <c r="I48" s="1419" t="s">
        <v>819</v>
      </c>
      <c r="J48" s="1420" t="s">
        <v>3410</v>
      </c>
      <c r="K48" s="1421" t="s">
        <v>820</v>
      </c>
      <c r="L48" s="1422">
        <f ca="1">INDIRECT("'数据-取费表'!f"&amp;$G$1)</f>
        <v>25.7</v>
      </c>
      <c r="O48" s="1416" t="s">
        <v>404</v>
      </c>
      <c r="P48" s="1417" t="s">
        <v>821</v>
      </c>
      <c r="Q48" s="1418">
        <f ca="1">J60</f>
        <v>1445</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'数据-取费表'!N17</f>
        <v>2018</v>
      </c>
      <c r="K49" s="1421" t="s">
        <v>824</v>
      </c>
      <c r="L49" s="1425"/>
      <c r="O49" s="1426" t="s">
        <v>405</v>
      </c>
      <c r="P49" s="1417" t="s">
        <v>825</v>
      </c>
      <c r="Q49" s="1418">
        <f ca="1">C29</f>
        <v>19000</v>
      </c>
      <c r="R49" s="1418" t="s">
        <v>818</v>
      </c>
    </row>
    <row r="50" spans="1:18" s="1382" customFormat="1" ht="13.5" thickBot="1">
      <c r="A50" s="975"/>
      <c r="B50" s="978"/>
      <c r="C50" s="1117"/>
      <c r="D50" s="952"/>
      <c r="E50" s="1055" t="s">
        <v>697</v>
      </c>
      <c r="F50" s="1056">
        <f ca="1">F7</f>
        <v>23065.670000000006</v>
      </c>
      <c r="H50" s="722"/>
      <c r="I50" s="1419" t="s">
        <v>826</v>
      </c>
      <c r="J50" s="1427">
        <f>SUMPRODUCT((I63:I65=J47)*(J62:L62=J48)*(J63:L65))</f>
        <v>60</v>
      </c>
      <c r="K50" s="1421" t="s">
        <v>827</v>
      </c>
      <c r="L50" s="1425"/>
      <c r="M50" s="1428"/>
      <c r="O50" s="1426" t="s">
        <v>406</v>
      </c>
      <c r="P50" s="1417" t="s">
        <v>828</v>
      </c>
      <c r="Q50" s="1429">
        <f ca="1">J58</f>
        <v>0.48799999999999999</v>
      </c>
      <c r="R50" s="1418"/>
    </row>
    <row r="51" spans="1:18" s="1382" customFormat="1" ht="13.5" thickBot="1">
      <c r="A51" s="976"/>
      <c r="B51" s="978"/>
      <c r="C51" s="979"/>
      <c r="D51" s="952"/>
      <c r="E51" s="980" t="s">
        <v>698</v>
      </c>
      <c r="F51" s="303">
        <f ca="1">F8</f>
        <v>365</v>
      </c>
      <c r="I51" s="1430" t="s">
        <v>829</v>
      </c>
      <c r="J51" s="1431">
        <f>IF(J49="",J50,J49+J50-YEAR('数据-取费表'!B2))</f>
        <v>55</v>
      </c>
      <c r="K51" s="1432" t="s">
        <v>830</v>
      </c>
      <c r="L51" s="1433">
        <f ca="1">ROUND(-PV(INDIRECT("'数据-取费表'!h"&amp;$G$1),J51,(C39-C13*C76),0),0)</f>
        <v>31330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25.7</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25.7</v>
      </c>
      <c r="K53" s="3740" t="s">
        <v>837</v>
      </c>
      <c r="L53" s="3741"/>
      <c r="O53" s="1416" t="s">
        <v>409</v>
      </c>
      <c r="P53" s="1417" t="s">
        <v>838</v>
      </c>
      <c r="Q53" s="1418">
        <f ca="1">Q47+Q48</f>
        <v>54906</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0.48799999999999999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17480</v>
      </c>
      <c r="D56" s="1445"/>
      <c r="E56" s="1446"/>
      <c r="F56" s="1438"/>
      <c r="I56" s="1447" t="s">
        <v>842</v>
      </c>
      <c r="J56" s="1448" t="s">
        <v>3376</v>
      </c>
      <c r="K56" s="1419" t="s">
        <v>843</v>
      </c>
      <c r="L56" s="1422" t="str">
        <f ca="1">IF(L48&lt;J51,"——",L48-J53)</f>
        <v>——</v>
      </c>
      <c r="O56" s="1416" t="s">
        <v>403</v>
      </c>
      <c r="P56" s="1417" t="s">
        <v>817</v>
      </c>
      <c r="Q56" s="1418">
        <f ca="1">C40+J29</f>
        <v>53461</v>
      </c>
      <c r="R56" s="1418" t="s">
        <v>818</v>
      </c>
    </row>
    <row r="57" spans="1:18" s="1382" customFormat="1" ht="24.75" thickBot="1">
      <c r="A57" s="1449"/>
      <c r="B57" s="949" t="s">
        <v>767</v>
      </c>
      <c r="C57" s="238">
        <f ca="1">C29</f>
        <v>19000</v>
      </c>
      <c r="D57" s="1450"/>
      <c r="E57" s="1451"/>
      <c r="F57" s="1452"/>
      <c r="I57" s="1453" t="s">
        <v>844</v>
      </c>
      <c r="J57" s="1454">
        <f ca="1">IF(OR(M47="住宅",J51&lt;L48,J56="是"),"——",J51-L48)</f>
        <v>29.3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220</v>
      </c>
      <c r="D58" s="959" t="s">
        <v>715</v>
      </c>
      <c r="E58" s="960"/>
      <c r="F58" s="961"/>
      <c r="I58" s="1453" t="s">
        <v>848</v>
      </c>
      <c r="J58" s="1455">
        <f ca="1">IF(J55&lt;0.4,0.4,J55)</f>
        <v>0.48799999999999999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4</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9272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1445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3330</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3.52</v>
      </c>
      <c r="D62" s="964" t="s">
        <v>786</v>
      </c>
      <c r="E62" s="949" t="s">
        <v>787</v>
      </c>
      <c r="F62" s="325">
        <f t="shared" si="0"/>
        <v>1.5</v>
      </c>
      <c r="I62" s="1460" t="s">
        <v>858</v>
      </c>
      <c r="J62" s="1461" t="s">
        <v>859</v>
      </c>
      <c r="K62" s="1461" t="s">
        <v>860</v>
      </c>
      <c r="L62" s="1461" t="s">
        <v>861</v>
      </c>
      <c r="M62" s="1462" t="s">
        <v>862</v>
      </c>
      <c r="O62" s="1416" t="s">
        <v>409</v>
      </c>
      <c r="P62" s="1417" t="s">
        <v>863</v>
      </c>
      <c r="Q62" s="1418">
        <f ca="1">Q56+Q57</f>
        <v>53461</v>
      </c>
      <c r="R62" s="1418" t="s">
        <v>410</v>
      </c>
    </row>
    <row r="63" spans="1:18" s="1382" customFormat="1" ht="13.5" thickBot="1">
      <c r="A63" s="326"/>
      <c r="B63" s="955"/>
      <c r="C63" s="26"/>
      <c r="D63" s="965"/>
      <c r="E63" s="949" t="s">
        <v>788</v>
      </c>
      <c r="F63" s="303">
        <f t="shared" ca="1" si="0"/>
        <v>23474.82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190</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26.22</v>
      </c>
      <c r="D65" s="963" t="s">
        <v>743</v>
      </c>
      <c r="E65" s="949" t="s">
        <v>744</v>
      </c>
      <c r="F65" s="330">
        <f t="shared" ca="1" si="0"/>
        <v>1.5E-3</v>
      </c>
      <c r="I65" s="1460" t="s">
        <v>867</v>
      </c>
      <c r="J65" s="1461">
        <v>40</v>
      </c>
      <c r="K65" s="1461">
        <v>30</v>
      </c>
      <c r="L65" s="1461">
        <v>50</v>
      </c>
      <c r="M65" s="1463">
        <v>0.02</v>
      </c>
      <c r="O65" s="1416" t="s">
        <v>403</v>
      </c>
      <c r="P65" s="1417" t="s">
        <v>868</v>
      </c>
      <c r="Q65" s="1418">
        <f ca="1">C40+J29</f>
        <v>53461</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-220</v>
      </c>
      <c r="D67" s="962" t="s">
        <v>753</v>
      </c>
      <c r="E67" s="967"/>
      <c r="F67" s="968"/>
      <c r="O67" s="1426" t="s">
        <v>405</v>
      </c>
      <c r="P67" s="1417" t="s">
        <v>850</v>
      </c>
      <c r="Q67" s="1464">
        <f ca="1">L51</f>
        <v>31330</v>
      </c>
      <c r="R67" s="1418" t="s">
        <v>870</v>
      </c>
    </row>
    <row r="68" spans="1:18" s="1382" customFormat="1" ht="16.5" thickBot="1">
      <c r="A68" s="946" t="s">
        <v>395</v>
      </c>
      <c r="B68" s="947" t="s">
        <v>774</v>
      </c>
      <c r="C68" s="301">
        <f ca="1">ROUND(C67*(1-((1+F70)/(1+F68))^F69)/(F68-F70),0)</f>
        <v>-2990</v>
      </c>
      <c r="D68" s="964" t="s">
        <v>758</v>
      </c>
      <c r="E68" s="949" t="s">
        <v>759</v>
      </c>
      <c r="F68" s="312">
        <f ca="1">F40</f>
        <v>5.5E-2</v>
      </c>
      <c r="O68" s="1426" t="s">
        <v>406</v>
      </c>
      <c r="P68" s="1465" t="s">
        <v>871</v>
      </c>
      <c r="Q68" s="1418">
        <f ca="1">ROUND(Q69-Q70*Q71,0)</f>
        <v>1681</v>
      </c>
      <c r="R68" s="1418" t="s">
        <v>414</v>
      </c>
    </row>
    <row r="69" spans="1:18" s="1382" customFormat="1" ht="13.5" thickBot="1">
      <c r="A69" s="950"/>
      <c r="B69" s="951"/>
      <c r="C69" s="306"/>
      <c r="D69" s="969" t="s">
        <v>762</v>
      </c>
      <c r="E69" s="949" t="s">
        <v>763</v>
      </c>
      <c r="F69" s="333">
        <f ca="1">F41</f>
        <v>25.7</v>
      </c>
      <c r="O69" s="1426" t="s">
        <v>411</v>
      </c>
      <c r="P69" s="1465" t="s">
        <v>872</v>
      </c>
      <c r="Q69" s="1418">
        <f ca="1">C39</f>
        <v>2905</v>
      </c>
      <c r="R69" s="1418" t="s">
        <v>818</v>
      </c>
    </row>
    <row r="70" spans="1:18" s="1382" customFormat="1" ht="13.5" thickBot="1">
      <c r="A70" s="953"/>
      <c r="B70" s="954"/>
      <c r="C70" s="310"/>
      <c r="D70" s="965"/>
      <c r="E70" s="949" t="s">
        <v>766</v>
      </c>
      <c r="F70" s="1053"/>
      <c r="O70" s="1426" t="s">
        <v>412</v>
      </c>
      <c r="P70" s="1465" t="s">
        <v>873</v>
      </c>
      <c r="Q70" s="1418">
        <f ca="1">C13</f>
        <v>17480</v>
      </c>
      <c r="R70" s="1418" t="s">
        <v>818</v>
      </c>
    </row>
    <row r="71" spans="1:18" s="1382" customFormat="1" ht="13.5" thickBot="1">
      <c r="A71" s="970" t="s">
        <v>396</v>
      </c>
      <c r="B71" s="971" t="s">
        <v>776</v>
      </c>
      <c r="C71" s="336">
        <f ca="1">ROUND(C68*10000/F71,0)</f>
        <v>-1296</v>
      </c>
      <c r="D71" s="972" t="s">
        <v>777</v>
      </c>
      <c r="E71" s="973" t="s">
        <v>778</v>
      </c>
      <c r="F71" s="339">
        <f ca="1">F43</f>
        <v>23065.670000000006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1224</v>
      </c>
      <c r="D75" s="1382"/>
      <c r="E75" s="1382"/>
      <c r="F75" s="1382"/>
      <c r="K75" s="1400"/>
      <c r="L75" s="1382"/>
      <c r="O75" s="1416" t="s">
        <v>409</v>
      </c>
      <c r="P75" s="1417" t="s">
        <v>838</v>
      </c>
      <c r="Q75" s="1418">
        <f ca="1">Q65+Q66</f>
        <v>53461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0.57899999999999996</v>
      </c>
    </row>
    <row r="80" spans="1:18">
      <c r="B80" s="340" t="s">
        <v>800</v>
      </c>
      <c r="C80" s="274">
        <f ca="1">ROUND(C75/C39,3)</f>
        <v>0.42099999999999999</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K53:L53"/>
    <mergeCell ref="B6:B9"/>
    <mergeCell ref="I6:I9"/>
  </mergeCells>
  <phoneticPr fontId="6"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估价结果一览表</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房地产市场价值</v>
      </c>
      <c r="I2" s="3532"/>
    </row>
    <row r="3" spans="1:9" ht="15">
      <c r="A3" s="3533"/>
      <c r="B3" s="3533"/>
      <c r="C3" s="3533"/>
      <c r="D3" s="853" t="s">
        <v>925</v>
      </c>
      <c r="E3" s="853" t="s">
        <v>931</v>
      </c>
      <c r="F3" s="853" t="s">
        <v>925</v>
      </c>
      <c r="G3" s="853" t="s">
        <v>926</v>
      </c>
      <c r="H3" s="853" t="s">
        <v>925</v>
      </c>
      <c r="I3" s="853" t="s">
        <v>926</v>
      </c>
    </row>
    <row r="4" spans="1:9" ht="45">
      <c r="A4" s="1503" t="str">
        <f>项目基本情况!S2</f>
        <v>北京市昌平区回龙观东大街318号院1号楼-1至5层房地产房地产</v>
      </c>
      <c r="B4" s="853">
        <f>项目基本情况!C17</f>
        <v>25743.170000000006</v>
      </c>
      <c r="C4" s="853">
        <f>项目基本情况!C18</f>
        <v>26199.81</v>
      </c>
      <c r="D4" s="853" t="e">
        <f ca="1">结果表!D118</f>
        <v>#REF!</v>
      </c>
      <c r="E4" s="853" t="e">
        <f ca="1">结果表!E118</f>
        <v>#REF!</v>
      </c>
      <c r="F4" s="853" t="e">
        <f ca="1">结果表!F118</f>
        <v>#REF!</v>
      </c>
      <c r="G4" s="853" t="e">
        <f ca="1">结果表!G118</f>
        <v>#REF!</v>
      </c>
      <c r="H4" s="853">
        <f ca="1">结果表!H118</f>
        <v>65329</v>
      </c>
      <c r="I4" s="853">
        <f ca="1">结果表!I118</f>
        <v>25377</v>
      </c>
    </row>
    <row r="5" spans="1:9" ht="30" customHeight="1">
      <c r="A5" s="3533" t="s">
        <v>927</v>
      </c>
      <c r="B5" s="3533"/>
      <c r="C5" s="3533"/>
      <c r="D5" s="3533" t="e">
        <f ca="1">结果表!D119</f>
        <v>#REF!</v>
      </c>
      <c r="E5" s="3533"/>
      <c r="F5" s="3533" t="e">
        <f ca="1">结果表!F119</f>
        <v>#REF!</v>
      </c>
      <c r="G5" s="3533"/>
      <c r="H5" s="3533" t="str">
        <f ca="1">结果表!H119</f>
        <v>陆亿伍仟叁佰贰拾玖万元整</v>
      </c>
      <c r="I5" s="3533"/>
    </row>
    <row r="6" spans="1:9" ht="15.75">
      <c r="A6" s="3534" t="str">
        <f>结果表!A120</f>
        <v/>
      </c>
      <c r="B6" s="3534"/>
      <c r="C6" s="3534"/>
      <c r="D6" s="3534">
        <f>结果表!D120</f>
        <v>0</v>
      </c>
      <c r="E6" s="3534"/>
      <c r="F6" s="3534"/>
      <c r="G6" s="3534"/>
      <c r="H6" s="3534"/>
      <c r="I6" s="3534"/>
    </row>
    <row r="7" spans="1:9" ht="15">
      <c r="A7" s="3533" t="s">
        <v>927</v>
      </c>
      <c r="B7" s="3533"/>
      <c r="C7" s="3533"/>
      <c r="D7" s="3535" t="str">
        <f>结果表!D121</f>
        <v>零元整</v>
      </c>
      <c r="E7" s="3536"/>
      <c r="F7" s="3536"/>
      <c r="G7" s="3536"/>
      <c r="H7" s="3536"/>
      <c r="I7" s="3537"/>
    </row>
    <row r="8" spans="1:9" ht="15.75">
      <c r="A8" s="3534" t="str">
        <f>结果表!A122</f>
        <v/>
      </c>
      <c r="B8" s="3534"/>
      <c r="C8" s="3534"/>
      <c r="D8" s="3534">
        <f ca="1">结果表!D122</f>
        <v>65329</v>
      </c>
      <c r="E8" s="3534"/>
      <c r="F8" s="3534"/>
      <c r="G8" s="3534"/>
      <c r="H8" s="3534"/>
      <c r="I8" s="3534"/>
    </row>
    <row r="9" spans="1:9" ht="15">
      <c r="A9" s="3533" t="s">
        <v>927</v>
      </c>
      <c r="B9" s="3533"/>
      <c r="C9" s="3533"/>
      <c r="D9" s="3533" t="str">
        <f ca="1">结果表!D123</f>
        <v>陆亿伍仟叁佰贰拾玖万元整</v>
      </c>
      <c r="E9" s="3533"/>
      <c r="F9" s="3533"/>
      <c r="G9" s="3533"/>
      <c r="H9" s="3533"/>
      <c r="I9" s="3533"/>
    </row>
    <row r="10" spans="1:9" ht="15.75">
      <c r="A10" s="3534" t="str">
        <f>结果表!A124</f>
        <v/>
      </c>
      <c r="B10" s="3534"/>
      <c r="C10" s="3534"/>
      <c r="D10" s="3534" t="str">
        <f>结果表!D124</f>
        <v>——</v>
      </c>
      <c r="E10" s="3534"/>
      <c r="F10" s="3534"/>
      <c r="G10" s="3534"/>
      <c r="H10" s="3534"/>
      <c r="I10" s="3534"/>
    </row>
    <row r="11" spans="1:9" ht="15">
      <c r="A11" s="3533" t="s">
        <v>927</v>
      </c>
      <c r="B11" s="3533"/>
      <c r="C11" s="3533"/>
      <c r="D11" s="3533" t="e">
        <f>结果表!D125</f>
        <v>#VALUE!</v>
      </c>
      <c r="E11" s="3533"/>
      <c r="F11" s="3533"/>
      <c r="G11" s="3533"/>
      <c r="H11" s="3533"/>
      <c r="I11" s="3533"/>
    </row>
    <row r="12" spans="1:9" ht="15.75">
      <c r="A12" s="3534" t="str">
        <f>结果表!A126</f>
        <v/>
      </c>
      <c r="B12" s="3534"/>
      <c r="C12" s="3534"/>
      <c r="D12" s="3534" t="str">
        <f>结果表!D126</f>
        <v>——</v>
      </c>
      <c r="E12" s="3534"/>
      <c r="F12" s="3534"/>
      <c r="G12" s="3534"/>
      <c r="H12" s="3534"/>
      <c r="I12" s="3534"/>
    </row>
    <row r="13" spans="1:9" ht="15.75" thickBot="1">
      <c r="A13" s="3538" t="s">
        <v>927</v>
      </c>
      <c r="B13" s="3538"/>
      <c r="C13" s="3538"/>
      <c r="D13" s="3538" t="e">
        <f>结果表!D127</f>
        <v>#VALUE!</v>
      </c>
      <c r="E13" s="3538"/>
      <c r="F13" s="3538"/>
      <c r="G13" s="3538"/>
      <c r="H13" s="3538"/>
      <c r="I13" s="3538"/>
    </row>
    <row r="14" spans="1:9" ht="15" thickTop="1">
      <c r="A14" s="3539" t="s">
        <v>932</v>
      </c>
      <c r="B14" s="3539"/>
      <c r="C14" s="3539"/>
      <c r="D14" s="3539"/>
      <c r="E14" s="3539"/>
      <c r="F14" s="3539"/>
      <c r="G14" s="3539"/>
      <c r="H14" s="3539"/>
      <c r="I14" s="353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3327</v>
      </c>
      <c r="D1" s="1360" t="s">
        <v>43</v>
      </c>
      <c r="E1" s="1361" t="s">
        <v>678</v>
      </c>
      <c r="F1" s="1061">
        <f ca="1">J53</f>
        <v>35.71</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764</v>
      </c>
      <c r="C2" s="1385" t="s">
        <v>805</v>
      </c>
      <c r="D2" s="1385"/>
      <c r="E2" s="1386"/>
      <c r="F2" s="1387"/>
      <c r="G2" s="2700"/>
      <c r="H2" s="2689"/>
      <c r="I2" s="2689"/>
      <c r="J2" s="2689"/>
      <c r="K2" s="2690"/>
      <c r="L2" s="2689"/>
      <c r="M2" s="2689"/>
    </row>
    <row r="3" spans="1:37" ht="18" customHeight="1" thickBot="1">
      <c r="A3" s="1388" t="s">
        <v>806</v>
      </c>
      <c r="B3" s="1389">
        <f ca="1">IF(ISERROR(B2*10000/F43),0,ROUND(B2*10000/F43,0))</f>
        <v>2853</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49</v>
      </c>
      <c r="D5" s="1362" t="s">
        <v>693</v>
      </c>
      <c r="E5" s="1070"/>
      <c r="F5" s="1071"/>
      <c r="G5" s="1382"/>
      <c r="H5" s="299">
        <v>1</v>
      </c>
      <c r="I5" s="300" t="s">
        <v>692</v>
      </c>
      <c r="J5" s="1069">
        <f ca="1">J6+J10+J12</f>
        <v>0</v>
      </c>
      <c r="K5" s="1362" t="s">
        <v>693</v>
      </c>
      <c r="L5" s="1070"/>
      <c r="M5" s="1071"/>
    </row>
    <row r="6" spans="1:37" ht="18" customHeight="1">
      <c r="A6" s="1068" t="s">
        <v>398</v>
      </c>
      <c r="B6" s="3737" t="s">
        <v>694</v>
      </c>
      <c r="C6" s="1073">
        <f ca="1">ROUND(F6*F8*F7*(1-F9)/10000,0)</f>
        <v>49</v>
      </c>
      <c r="D6" s="155" t="s">
        <v>2108</v>
      </c>
      <c r="E6" s="302" t="s">
        <v>696</v>
      </c>
      <c r="F6" s="303">
        <f ca="1">INDIRECT("'数据-取费表'!u"&amp;$G$1)</f>
        <v>600</v>
      </c>
      <c r="G6" s="1382"/>
      <c r="H6" s="1068" t="s">
        <v>398</v>
      </c>
      <c r="I6" s="3737" t="s">
        <v>694</v>
      </c>
      <c r="J6" s="301">
        <f ca="1">ROUND(M6*M8*M7*(1-M9)/10000,0)</f>
        <v>0</v>
      </c>
      <c r="K6" s="155" t="s">
        <v>2107</v>
      </c>
      <c r="L6" s="302" t="s">
        <v>696</v>
      </c>
      <c r="M6" s="303">
        <f ca="1">INDIRECT("'数据-取费表'!z"&amp;$G$1)</f>
        <v>0</v>
      </c>
    </row>
    <row r="7" spans="1:37" ht="18" customHeight="1">
      <c r="A7" s="1072"/>
      <c r="B7" s="3738"/>
      <c r="C7" s="1074"/>
      <c r="D7" s="307"/>
      <c r="E7" s="3462" t="s">
        <v>697</v>
      </c>
      <c r="F7" s="303">
        <f ca="1">IF(INDIRECT("'数据-取费表'!ah"&amp;$G$1)="",INDIRECT("'数据-取费表'!k"&amp;$G$1),INDIRECT("'数据-取费表'!ah"&amp;$G$1))</f>
        <v>75</v>
      </c>
      <c r="G7" s="1382"/>
      <c r="H7" s="304"/>
      <c r="I7" s="3738"/>
      <c r="J7" s="306"/>
      <c r="K7" s="307"/>
      <c r="L7" s="302" t="s">
        <v>697</v>
      </c>
      <c r="M7" s="303">
        <f ca="1">F7</f>
        <v>75</v>
      </c>
    </row>
    <row r="8" spans="1:37" ht="18" customHeight="1">
      <c r="A8" s="304"/>
      <c r="B8" s="3738"/>
      <c r="C8" s="306"/>
      <c r="D8" s="307"/>
      <c r="E8" s="302" t="s">
        <v>698</v>
      </c>
      <c r="F8" s="303">
        <f ca="1">INDIRECT("'数据-取费表'!ai"&amp;$G$1)</f>
        <v>12</v>
      </c>
      <c r="G8" s="1382"/>
      <c r="H8" s="304"/>
      <c r="I8" s="3738"/>
      <c r="J8" s="306"/>
      <c r="K8" s="307"/>
      <c r="L8" s="302" t="s">
        <v>698</v>
      </c>
      <c r="M8" s="303">
        <f ca="1">INDIRECT("'数据-取费表'!ai"&amp;$G$1)</f>
        <v>12</v>
      </c>
    </row>
    <row r="9" spans="1:37" ht="18" customHeight="1">
      <c r="A9" s="304"/>
      <c r="B9" s="3739"/>
      <c r="C9" s="306"/>
      <c r="D9" s="307"/>
      <c r="E9" s="302" t="s">
        <v>699</v>
      </c>
      <c r="F9" s="312">
        <f ca="1">INDIRECT("'数据-取费表'!w"&amp;$G$1)</f>
        <v>0.1</v>
      </c>
      <c r="G9" s="1382"/>
      <c r="H9" s="304"/>
      <c r="I9" s="373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3562</v>
      </c>
      <c r="G10" s="1382"/>
      <c r="H10" s="1068" t="s">
        <v>402</v>
      </c>
      <c r="I10" s="1363" t="s">
        <v>700</v>
      </c>
      <c r="J10" s="301">
        <f ca="1">ROUND(IF(M10="押一",J6/12*M11,IF(M10="押二",J6/12*2*M11,IF(M10="押三",J6/12*3*M11,J11*M11))),0)</f>
        <v>0</v>
      </c>
      <c r="K10" s="1364" t="s">
        <v>2115</v>
      </c>
      <c r="L10" s="313" t="s">
        <v>701</v>
      </c>
      <c r="M10" s="1115" t="s">
        <v>3408</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1464</v>
      </c>
      <c r="D13" s="3454" t="s">
        <v>705</v>
      </c>
      <c r="E13" s="3454"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1205</v>
      </c>
      <c r="D14" s="3458" t="s">
        <v>708</v>
      </c>
      <c r="E14" s="3456"/>
      <c r="F14" s="319"/>
      <c r="G14" s="1382"/>
      <c r="H14" s="981" t="s">
        <v>398</v>
      </c>
      <c r="I14" s="302" t="s">
        <v>709</v>
      </c>
      <c r="J14" s="21">
        <f ca="1">C29</f>
        <v>1591</v>
      </c>
      <c r="K14" s="3461"/>
      <c r="L14" s="806"/>
      <c r="M14" s="807"/>
    </row>
    <row r="15" spans="1:37" s="1395" customFormat="1" ht="18" customHeight="1" thickBot="1">
      <c r="A15" s="981" t="s">
        <v>399</v>
      </c>
      <c r="B15" s="302" t="s">
        <v>710</v>
      </c>
      <c r="C15" s="21">
        <f ca="1">ROUND(C14*F15,0)</f>
        <v>60</v>
      </c>
      <c r="D15" s="3455" t="s">
        <v>711</v>
      </c>
      <c r="E15" s="345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9"/>
      <c r="M16" s="1071"/>
    </row>
    <row r="17" spans="1:37" s="1395" customFormat="1" ht="18" customHeight="1">
      <c r="A17" s="981" t="s">
        <v>681</v>
      </c>
      <c r="B17" s="302" t="s">
        <v>716</v>
      </c>
      <c r="C17" s="21">
        <f ca="1">ROUND(F17*(F43+INDIRECT("'数据-取费表'!S"&amp;$G$1))/10000,0)</f>
        <v>48</v>
      </c>
      <c r="D17" s="302" t="s">
        <v>717</v>
      </c>
      <c r="E17" s="302" t="s">
        <v>718</v>
      </c>
      <c r="F17" s="23">
        <f>'数据-取费表'!B35</f>
        <v>180</v>
      </c>
      <c r="G17" s="1394"/>
      <c r="H17" s="981" t="s">
        <v>398</v>
      </c>
      <c r="I17" s="302" t="s">
        <v>719</v>
      </c>
      <c r="J17" s="2312">
        <f ca="1">ROUND(IF(AND(项目基本情况!B11="自然人",项目基本情况!B10="北京市"),J6*M17/(1+'数据-取费表'!C42),J18+J19+J20),2)</f>
        <v>0.41</v>
      </c>
      <c r="K17" s="3458" t="s">
        <v>720</v>
      </c>
      <c r="L17" s="3457"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18</v>
      </c>
      <c r="D18" s="302" t="s">
        <v>711</v>
      </c>
      <c r="E18" s="302" t="s">
        <v>712</v>
      </c>
      <c r="F18" s="322">
        <f>'数据-取费表'!B36</f>
        <v>1.4999999999999999E-2</v>
      </c>
      <c r="G18" s="1394"/>
      <c r="H18" s="981" t="s">
        <v>397</v>
      </c>
      <c r="I18" s="302" t="s">
        <v>723</v>
      </c>
      <c r="J18" s="21">
        <f ca="1">ROUND(J6*M18/(1+'数据-取费表'!C42),2)</f>
        <v>0</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1331</v>
      </c>
      <c r="D19" s="131" t="s">
        <v>726</v>
      </c>
      <c r="E19" s="3464"/>
      <c r="F19" s="23"/>
      <c r="G19" s="1382"/>
      <c r="H19" s="981"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1" t="s">
        <v>402</v>
      </c>
      <c r="B20" s="302" t="s">
        <v>728</v>
      </c>
      <c r="C20" s="21">
        <f ca="1">ROUND(C19*F20,0)</f>
        <v>27</v>
      </c>
      <c r="D20" s="2423" t="s">
        <v>729</v>
      </c>
      <c r="E20" s="302" t="s">
        <v>712</v>
      </c>
      <c r="F20" s="322">
        <f>'数据-取费表'!B37</f>
        <v>0.02</v>
      </c>
      <c r="G20" s="1394"/>
      <c r="H20" s="981" t="s">
        <v>680</v>
      </c>
      <c r="I20" s="155" t="s">
        <v>730</v>
      </c>
      <c r="J20" s="22">
        <f ca="1">ROUND(M20*M21/10000,2)</f>
        <v>0.41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f ca="1">INDIRECT("'数据-取费表'!r"&amp;$G$1)</f>
        <v>2724.99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4"/>
      <c r="F22" s="23"/>
      <c r="G22" s="1382"/>
      <c r="H22" s="981" t="s">
        <v>402</v>
      </c>
      <c r="I22" s="302" t="s">
        <v>738</v>
      </c>
      <c r="J22" s="21">
        <f ca="1">ROUND(J14*M22,2)</f>
        <v>7.96</v>
      </c>
      <c r="K22" s="3457"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7"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4"/>
      <c r="F25" s="23"/>
      <c r="G25" s="1382"/>
      <c r="H25" s="1078" t="s">
        <v>394</v>
      </c>
      <c r="I25" s="1093" t="s">
        <v>752</v>
      </c>
      <c r="J25" s="310">
        <f ca="1">J5-J16</f>
        <v>-8</v>
      </c>
      <c r="K25" s="1094" t="s">
        <v>753</v>
      </c>
      <c r="L25" s="1095"/>
      <c r="M25" s="1096"/>
    </row>
    <row r="26" spans="1:37">
      <c r="A26" s="981" t="s">
        <v>397</v>
      </c>
      <c r="B26" s="302" t="s">
        <v>754</v>
      </c>
      <c r="C26" s="21">
        <f ca="1">ROUND((C19+C20)*F26,0)</f>
        <v>68</v>
      </c>
      <c r="D26" s="24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5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1591</v>
      </c>
      <c r="D29" s="1091"/>
      <c r="E29" s="1089"/>
      <c r="F29" s="1092"/>
      <c r="G29" s="1394"/>
      <c r="H29" s="334" t="s">
        <v>396</v>
      </c>
      <c r="I29" s="335" t="s">
        <v>768</v>
      </c>
      <c r="J29" s="336">
        <f ca="1">ROUND(J26/(1+F40)^F41,0)</f>
        <v>0</v>
      </c>
      <c r="K29" s="337" t="s">
        <v>769</v>
      </c>
      <c r="L29" s="338"/>
      <c r="M29" s="339">
        <f ca="1">INDIRECT("'数据-取费表'!k"&amp;$G$1)</f>
        <v>2677.4999999999986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18</v>
      </c>
      <c r="D30" s="1086" t="s">
        <v>715</v>
      </c>
      <c r="E30" s="3459"/>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8.58</v>
      </c>
      <c r="D31" s="3458" t="s">
        <v>720</v>
      </c>
      <c r="E31" s="3457" t="s">
        <v>770</v>
      </c>
      <c r="F31" s="2311" t="str">
        <f>IF(项目基本情况!B11="企业","——",IF(M47="住宅",IF(F6*F7*F8/12/(1+'数据-取费表'!F30)&gt;100000,4%,2.5%),IF(F6*F7*F8/12/(1+'数据-取费表'!F30)&gt;100000,12%,7%)))</f>
        <v>——</v>
      </c>
      <c r="G31" s="1382"/>
      <c r="H31" s="2802" t="s">
        <v>2298</v>
      </c>
      <c r="I31" s="1396"/>
      <c r="J31" s="1397"/>
      <c r="K31" s="2469"/>
      <c r="L31" s="2692"/>
      <c r="M31" s="2693"/>
    </row>
    <row r="32" spans="1:37" ht="18" customHeight="1">
      <c r="A32" s="981" t="s">
        <v>397</v>
      </c>
      <c r="B32" s="302" t="s">
        <v>723</v>
      </c>
      <c r="C32" s="21">
        <f ca="1">IF(项目基本情况!B11="自然人","——",ROUND(C6*F32/(1+'数据-取费表'!C42),2))</f>
        <v>2.57</v>
      </c>
      <c r="D32" s="3457"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8" t="s">
        <v>3330</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0.41</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2724.99</v>
      </c>
      <c r="G35" s="1382"/>
      <c r="H35" s="2691"/>
      <c r="I35" s="1396"/>
      <c r="J35" s="1397"/>
      <c r="K35" s="2695"/>
      <c r="L35" s="2694"/>
      <c r="M35" s="2694"/>
    </row>
    <row r="36" spans="1:18" ht="18" customHeight="1">
      <c r="A36" s="1101" t="s">
        <v>402</v>
      </c>
      <c r="B36" s="302" t="s">
        <v>738</v>
      </c>
      <c r="C36" s="21">
        <f ca="1">ROUND(C29*F36,2)</f>
        <v>7.96</v>
      </c>
      <c r="D36" s="3457"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1.46</v>
      </c>
      <c r="D37" s="3457" t="s">
        <v>743</v>
      </c>
      <c r="E37" s="302" t="s">
        <v>744</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0.25</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31</v>
      </c>
      <c r="D39" s="1094" t="s">
        <v>753</v>
      </c>
      <c r="E39" s="1095"/>
      <c r="F39" s="1096"/>
      <c r="G39" s="1382"/>
      <c r="H39" s="2694"/>
      <c r="I39" s="1396"/>
      <c r="J39" s="1397"/>
      <c r="K39" s="2698"/>
      <c r="L39" s="2694"/>
      <c r="M39" s="2694"/>
    </row>
    <row r="40" spans="1:18" ht="18" customHeight="1">
      <c r="A40" s="299" t="s">
        <v>395</v>
      </c>
      <c r="B40" s="300" t="s">
        <v>774</v>
      </c>
      <c r="C40" s="301">
        <f ca="1">ROUND(C39*(1-((1+F42)/(1+F40))^F41)/(F40-F42),0)</f>
        <v>716</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35.71</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2674</v>
      </c>
      <c r="D43" s="337" t="s">
        <v>777</v>
      </c>
      <c r="E43" s="338" t="s">
        <v>778</v>
      </c>
      <c r="F43" s="339">
        <f ca="1">INDIRECT("'数据-取费表'!k"&amp;$G$1)</f>
        <v>2677.4999999999986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-864</v>
      </c>
      <c r="D46" s="1404" t="str">
        <f>C2</f>
        <v>万元</v>
      </c>
      <c r="E46" s="1398"/>
      <c r="F46" s="1398"/>
      <c r="I46" s="1405" t="s">
        <v>810</v>
      </c>
      <c r="J46" s="1406"/>
      <c r="K46" s="1407"/>
      <c r="L46" s="1408">
        <f ca="1">IF(M47="住宅",0,IF(L48&gt;J51,L60,J60))</f>
        <v>48</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3409</v>
      </c>
      <c r="K47" s="1414" t="s">
        <v>816</v>
      </c>
      <c r="L47" s="1415">
        <f ca="1">INDIRECT("'数据-取费表'!d"&amp;$G$1)</f>
        <v>50</v>
      </c>
      <c r="M47" s="1378" t="str">
        <f>IF(ISNUMBER(FIND("住宅",C1)),"住宅","非住宅")</f>
        <v>非住宅</v>
      </c>
      <c r="O47" s="1416" t="s">
        <v>403</v>
      </c>
      <c r="P47" s="1417" t="s">
        <v>817</v>
      </c>
      <c r="Q47" s="1418">
        <f ca="1">C40+J29</f>
        <v>716</v>
      </c>
      <c r="R47" s="1418" t="s">
        <v>818</v>
      </c>
    </row>
    <row r="48" spans="1:18" s="1382" customFormat="1" ht="28.5" thickBot="1">
      <c r="A48" s="1109" t="s">
        <v>438</v>
      </c>
      <c r="B48" s="300" t="s">
        <v>692</v>
      </c>
      <c r="C48" s="3463">
        <f ca="1">C49+C53+C55</f>
        <v>0</v>
      </c>
      <c r="D48" s="1111"/>
      <c r="E48" s="1112"/>
      <c r="F48" s="961"/>
      <c r="G48" s="721"/>
      <c r="H48" s="722"/>
      <c r="I48" s="1419" t="s">
        <v>819</v>
      </c>
      <c r="J48" s="1420" t="s">
        <v>3410</v>
      </c>
      <c r="K48" s="1421" t="s">
        <v>820</v>
      </c>
      <c r="L48" s="1422">
        <f ca="1">INDIRECT("'数据-取费表'!f"&amp;$G$1)</f>
        <v>35.71</v>
      </c>
      <c r="O48" s="1416" t="s">
        <v>404</v>
      </c>
      <c r="P48" s="1417" t="s">
        <v>821</v>
      </c>
      <c r="Q48" s="1418">
        <f ca="1">J60</f>
        <v>48</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2018</v>
      </c>
      <c r="K49" s="1421" t="s">
        <v>824</v>
      </c>
      <c r="L49" s="1425"/>
      <c r="O49" s="1426" t="s">
        <v>405</v>
      </c>
      <c r="P49" s="1417" t="s">
        <v>825</v>
      </c>
      <c r="Q49" s="1418">
        <f ca="1">C29</f>
        <v>1591</v>
      </c>
      <c r="R49" s="1418" t="s">
        <v>818</v>
      </c>
    </row>
    <row r="50" spans="1:18" s="1382" customFormat="1" ht="13.5" thickBot="1">
      <c r="A50" s="975"/>
      <c r="B50" s="978"/>
      <c r="C50" s="1117"/>
      <c r="D50" s="952"/>
      <c r="E50" s="1055" t="s">
        <v>697</v>
      </c>
      <c r="F50" s="1056">
        <f ca="1">F7</f>
        <v>75</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55</v>
      </c>
      <c r="K51" s="1432" t="s">
        <v>830</v>
      </c>
      <c r="L51" s="1433">
        <f ca="1">ROUND(-PV(INDIRECT("'数据-取费表'!h"&amp;$G$1),J51,(C39-C13*C76),0),0)</f>
        <v>-1447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35.71</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4">
        <f ca="1">IF(M47="住宅",IF(D1="——",MAX(J51,L48),MAX(J51,L48-'数据-取费表'!B24)),IF(D1="——",MIN(J51,L48),MIN(J51,L48-'数据-取费表'!B24)))</f>
        <v>35.71</v>
      </c>
      <c r="K53" s="3740" t="s">
        <v>837</v>
      </c>
      <c r="L53" s="3741"/>
      <c r="O53" s="1416" t="s">
        <v>409</v>
      </c>
      <c r="P53" s="1417" t="s">
        <v>838</v>
      </c>
      <c r="Q53" s="1418">
        <f ca="1">Q47+Q48</f>
        <v>764</v>
      </c>
      <c r="R53" s="1418" t="s">
        <v>410</v>
      </c>
    </row>
    <row r="54" spans="1:18" s="1382" customFormat="1" ht="13.5" thickBot="1">
      <c r="A54" s="1152"/>
      <c r="B54" s="1365" t="s">
        <v>679</v>
      </c>
      <c r="C54" s="958"/>
      <c r="D54" s="1364"/>
      <c r="E54" s="346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60"/>
      <c r="F55" s="1438"/>
      <c r="I55" s="1441" t="s">
        <v>840</v>
      </c>
      <c r="J55" s="1442">
        <f ca="1">ROUND(IF(J47="钢混",J57/J50,1-(1-2%)*(J50-J57)/J50),3)</f>
        <v>0.32200000000000001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1464</v>
      </c>
      <c r="D56" s="1445"/>
      <c r="E56" s="1446"/>
      <c r="F56" s="1438"/>
      <c r="I56" s="1447" t="s">
        <v>842</v>
      </c>
      <c r="J56" s="1448" t="s">
        <v>3376</v>
      </c>
      <c r="K56" s="1419" t="s">
        <v>843</v>
      </c>
      <c r="L56" s="1422" t="str">
        <f ca="1">IF(L48&lt;J51,"——",L48-J53)</f>
        <v>——</v>
      </c>
      <c r="O56" s="1416" t="s">
        <v>403</v>
      </c>
      <c r="P56" s="1417" t="s">
        <v>817</v>
      </c>
      <c r="Q56" s="1418">
        <f ca="1">C40+J29</f>
        <v>716</v>
      </c>
      <c r="R56" s="1418" t="s">
        <v>818</v>
      </c>
    </row>
    <row r="57" spans="1:18" s="1382" customFormat="1" ht="24.75" thickBot="1">
      <c r="A57" s="1449"/>
      <c r="B57" s="949" t="s">
        <v>767</v>
      </c>
      <c r="C57" s="238">
        <f ca="1">C29</f>
        <v>1591</v>
      </c>
      <c r="D57" s="1450"/>
      <c r="E57" s="1451"/>
      <c r="F57" s="1452"/>
      <c r="I57" s="1453" t="s">
        <v>844</v>
      </c>
      <c r="J57" s="1454">
        <f ca="1">IF(OR(M47="住宅",J51&lt;L48,J56="是"),"——",J51-L48)</f>
        <v>19.29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636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3330</v>
      </c>
      <c r="E61" s="949"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0.41</v>
      </c>
      <c r="D62" s="964" t="s">
        <v>786</v>
      </c>
      <c r="E62" s="949" t="s">
        <v>732</v>
      </c>
      <c r="F62" s="325">
        <f t="shared" si="0"/>
        <v>1.5</v>
      </c>
      <c r="I62" s="1460" t="s">
        <v>858</v>
      </c>
      <c r="J62" s="1461" t="s">
        <v>859</v>
      </c>
      <c r="K62" s="1461" t="s">
        <v>860</v>
      </c>
      <c r="L62" s="1461" t="s">
        <v>861</v>
      </c>
      <c r="M62" s="1462" t="s">
        <v>862</v>
      </c>
      <c r="O62" s="1416" t="s">
        <v>409</v>
      </c>
      <c r="P62" s="1417" t="s">
        <v>863</v>
      </c>
      <c r="Q62" s="1418">
        <f ca="1">Q56+Q57</f>
        <v>716</v>
      </c>
      <c r="R62" s="1418" t="s">
        <v>410</v>
      </c>
    </row>
    <row r="63" spans="1:18" s="1382" customFormat="1" ht="13.5" thickBot="1">
      <c r="A63" s="326"/>
      <c r="B63" s="955"/>
      <c r="C63" s="26"/>
      <c r="D63" s="965"/>
      <c r="E63" s="949" t="s">
        <v>788</v>
      </c>
      <c r="F63" s="303">
        <f t="shared" ca="1" si="0"/>
        <v>2724.99</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7.96</v>
      </c>
      <c r="D64" s="963" t="s">
        <v>771</v>
      </c>
      <c r="E64" s="949"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1.46</v>
      </c>
      <c r="D65" s="963" t="s">
        <v>743</v>
      </c>
      <c r="E65" s="949" t="s">
        <v>744</v>
      </c>
      <c r="F65" s="330">
        <f t="shared" ca="1" si="0"/>
        <v>1E-3</v>
      </c>
      <c r="I65" s="1460" t="s">
        <v>867</v>
      </c>
      <c r="J65" s="1461">
        <v>40</v>
      </c>
      <c r="K65" s="1461">
        <v>30</v>
      </c>
      <c r="L65" s="1461">
        <v>50</v>
      </c>
      <c r="M65" s="1463">
        <v>0.02</v>
      </c>
      <c r="O65" s="1416" t="s">
        <v>403</v>
      </c>
      <c r="P65" s="1417" t="s">
        <v>868</v>
      </c>
      <c r="Q65" s="1418">
        <f ca="1">C40+J29</f>
        <v>716</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-9</v>
      </c>
      <c r="D67" s="962" t="s">
        <v>753</v>
      </c>
      <c r="E67" s="967"/>
      <c r="F67" s="968"/>
      <c r="O67" s="1426" t="s">
        <v>405</v>
      </c>
      <c r="P67" s="1417" t="s">
        <v>850</v>
      </c>
      <c r="Q67" s="1464">
        <f ca="1">L51</f>
        <v>-1447</v>
      </c>
      <c r="R67" s="1418" t="s">
        <v>870</v>
      </c>
    </row>
    <row r="68" spans="1:18" s="1382" customFormat="1" ht="16.5" thickBot="1">
      <c r="A68" s="946" t="s">
        <v>395</v>
      </c>
      <c r="B68" s="947" t="s">
        <v>774</v>
      </c>
      <c r="C68" s="301">
        <f ca="1">ROUND(C67*(1-((1+F70)/(1+F68))^F69)/(F68-F70),0)</f>
        <v>-148</v>
      </c>
      <c r="D68" s="964" t="s">
        <v>758</v>
      </c>
      <c r="E68" s="949" t="s">
        <v>759</v>
      </c>
      <c r="F68" s="312">
        <f ca="1">F40</f>
        <v>0.05</v>
      </c>
      <c r="O68" s="1426" t="s">
        <v>406</v>
      </c>
      <c r="P68" s="1465" t="s">
        <v>871</v>
      </c>
      <c r="Q68" s="1418">
        <f ca="1">ROUND(Q69-Q70*Q71,0)</f>
        <v>-71</v>
      </c>
      <c r="R68" s="1418" t="s">
        <v>414</v>
      </c>
    </row>
    <row r="69" spans="1:18" s="1382" customFormat="1" ht="13.5" thickBot="1">
      <c r="A69" s="950"/>
      <c r="B69" s="951"/>
      <c r="C69" s="306"/>
      <c r="D69" s="969" t="s">
        <v>762</v>
      </c>
      <c r="E69" s="949" t="s">
        <v>763</v>
      </c>
      <c r="F69" s="333">
        <f ca="1">F41</f>
        <v>35.71</v>
      </c>
      <c r="O69" s="1426" t="s">
        <v>411</v>
      </c>
      <c r="P69" s="1465" t="s">
        <v>872</v>
      </c>
      <c r="Q69" s="1418">
        <f ca="1">C39</f>
        <v>31</v>
      </c>
      <c r="R69" s="1418" t="s">
        <v>818</v>
      </c>
    </row>
    <row r="70" spans="1:18" s="1382" customFormat="1" ht="13.5" thickBot="1">
      <c r="A70" s="953"/>
      <c r="B70" s="954"/>
      <c r="C70" s="310"/>
      <c r="D70" s="965"/>
      <c r="E70" s="949" t="s">
        <v>766</v>
      </c>
      <c r="F70" s="1053"/>
      <c r="O70" s="1426" t="s">
        <v>412</v>
      </c>
      <c r="P70" s="1465" t="s">
        <v>873</v>
      </c>
      <c r="Q70" s="1418">
        <f ca="1">C13</f>
        <v>1464</v>
      </c>
      <c r="R70" s="1418" t="s">
        <v>818</v>
      </c>
    </row>
    <row r="71" spans="1:18" s="1382" customFormat="1" ht="13.5" thickBot="1">
      <c r="A71" s="970" t="s">
        <v>396</v>
      </c>
      <c r="B71" s="971" t="s">
        <v>776</v>
      </c>
      <c r="C71" s="336">
        <f ca="1">ROUND(C68*10000/F71,0)</f>
        <v>-553</v>
      </c>
      <c r="D71" s="972" t="s">
        <v>777</v>
      </c>
      <c r="E71" s="973" t="s">
        <v>778</v>
      </c>
      <c r="F71" s="339">
        <f ca="1">F43</f>
        <v>2677.4999999999986</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102</v>
      </c>
      <c r="D75" s="1382"/>
      <c r="E75" s="1382"/>
      <c r="F75" s="1382"/>
      <c r="K75" s="1400"/>
      <c r="L75" s="1382"/>
      <c r="O75" s="1416" t="s">
        <v>409</v>
      </c>
      <c r="P75" s="1417" t="s">
        <v>838</v>
      </c>
      <c r="Q75" s="1418">
        <f ca="1">Q65+Q66</f>
        <v>716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-2.29</v>
      </c>
    </row>
    <row r="80" spans="1:18">
      <c r="B80" s="340" t="s">
        <v>800</v>
      </c>
      <c r="C80" s="274">
        <f ca="1">ROUND(C75/C39,3)</f>
        <v>3.29</v>
      </c>
    </row>
    <row r="81" spans="2:3">
      <c r="B81" s="270" t="s">
        <v>801</v>
      </c>
      <c r="C81" s="238"/>
    </row>
    <row r="82" spans="2:3">
      <c r="B82" s="273" t="s">
        <v>802</v>
      </c>
      <c r="C82" s="275">
        <f ca="1">1-C83</f>
        <v>-1.0449999999999999</v>
      </c>
    </row>
    <row r="83" spans="2:3">
      <c r="B83" s="273" t="s">
        <v>803</v>
      </c>
      <c r="C83" s="274">
        <f ca="1">ROUND(C13/C40,3)</f>
        <v>2.0449999999999999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
  <sheetViews>
    <sheetView topLeftCell="A25" zoomScaleNormal="100" workbookViewId="0">
      <selection activeCell="J40" sqref="J40"/>
    </sheetView>
  </sheetViews>
  <sheetFormatPr defaultRowHeight="13.5"/>
  <cols>
    <col min="1" max="1" width="9" style="3477" customWidth="1"/>
    <col min="2" max="2" width="23.625" style="3477" bestFit="1" customWidth="1"/>
    <col min="3" max="3" width="39.5" style="3477" bestFit="1" customWidth="1"/>
    <col min="4" max="4" width="8" style="3477" customWidth="1"/>
    <col min="5" max="5" width="20.25" style="3477" customWidth="1"/>
    <col min="6" max="6" width="11.25" style="3477" customWidth="1"/>
    <col min="7" max="7" width="13.375" style="3477" customWidth="1"/>
    <col min="8" max="9" width="21.875" style="3477" customWidth="1"/>
    <col min="10" max="16384" width="9" style="3477"/>
  </cols>
  <sheetData>
    <row r="1" spans="1:44" ht="41.25" customHeight="1">
      <c r="A1" s="3560" t="s">
        <v>3563</v>
      </c>
      <c r="B1" s="3560"/>
      <c r="C1" s="3560"/>
      <c r="D1" s="3560"/>
      <c r="E1" s="3560"/>
      <c r="F1" s="3560"/>
      <c r="G1" s="3560"/>
      <c r="H1" s="3560"/>
      <c r="I1" s="3561"/>
    </row>
    <row r="2" spans="1:44" s="3478" customFormat="1" ht="15" customHeight="1">
      <c r="A2" s="3562" t="s">
        <v>3564</v>
      </c>
      <c r="B2" s="3562" t="s">
        <v>3565</v>
      </c>
      <c r="C2" s="3565" t="s">
        <v>3566</v>
      </c>
      <c r="D2" s="3565" t="s">
        <v>3567</v>
      </c>
      <c r="E2" s="3568" t="s">
        <v>3568</v>
      </c>
      <c r="F2" s="3568" t="s">
        <v>3569</v>
      </c>
      <c r="G2" s="3568" t="s">
        <v>3570</v>
      </c>
      <c r="H2" s="3565" t="s">
        <v>3571</v>
      </c>
      <c r="I2" s="3571" t="s">
        <v>3572</v>
      </c>
    </row>
    <row r="3" spans="1:44" s="3478" customFormat="1" ht="15.75">
      <c r="A3" s="3563"/>
      <c r="B3" s="3563"/>
      <c r="C3" s="3566"/>
      <c r="D3" s="3566"/>
      <c r="E3" s="3569"/>
      <c r="F3" s="3569"/>
      <c r="G3" s="3569"/>
      <c r="H3" s="3566"/>
      <c r="I3" s="3571"/>
    </row>
    <row r="4" spans="1:44" s="3478" customFormat="1" ht="15.75">
      <c r="A4" s="3564"/>
      <c r="B4" s="3564"/>
      <c r="C4" s="3567"/>
      <c r="D4" s="3567"/>
      <c r="E4" s="3570"/>
      <c r="F4" s="3570"/>
      <c r="G4" s="3570"/>
      <c r="H4" s="3567"/>
      <c r="I4" s="3571"/>
      <c r="J4" s="3479"/>
      <c r="K4" s="3479"/>
      <c r="L4" s="3479"/>
      <c r="M4" s="3479"/>
      <c r="N4" s="3479"/>
      <c r="O4" s="3479"/>
      <c r="P4" s="3479"/>
      <c r="Q4" s="3479"/>
      <c r="R4" s="3479"/>
      <c r="S4" s="3479"/>
      <c r="T4" s="3479"/>
      <c r="U4" s="3479"/>
      <c r="V4" s="3479"/>
      <c r="W4" s="3479"/>
      <c r="X4" s="3479"/>
      <c r="Y4" s="3479"/>
      <c r="Z4" s="3479"/>
      <c r="AA4" s="3479"/>
      <c r="AB4" s="3479"/>
      <c r="AC4" s="3479"/>
      <c r="AD4" s="3479"/>
      <c r="AE4" s="3479"/>
      <c r="AF4" s="3479"/>
      <c r="AG4" s="3479"/>
      <c r="AH4" s="3479"/>
      <c r="AI4" s="3479"/>
      <c r="AJ4" s="3479"/>
      <c r="AK4" s="3479"/>
      <c r="AL4" s="3479"/>
      <c r="AM4" s="3479"/>
      <c r="AN4" s="3479"/>
      <c r="AO4" s="3479"/>
      <c r="AP4" s="3479"/>
      <c r="AQ4" s="3479"/>
      <c r="AR4" s="3479"/>
    </row>
    <row r="5" spans="1:44" ht="27" customHeight="1">
      <c r="A5" s="3574" t="s">
        <v>3573</v>
      </c>
      <c r="B5" s="3480" t="s">
        <v>3574</v>
      </c>
      <c r="C5" s="3480" t="s">
        <v>3575</v>
      </c>
      <c r="D5" s="3480" t="s">
        <v>3576</v>
      </c>
      <c r="E5" s="3481" t="s">
        <v>3577</v>
      </c>
      <c r="F5" s="3482">
        <v>806.62</v>
      </c>
      <c r="G5" s="3483">
        <v>368020.38</v>
      </c>
      <c r="H5" s="3483" t="s">
        <v>3578</v>
      </c>
      <c r="I5" s="3483" t="s">
        <v>3579</v>
      </c>
      <c r="J5" s="3477">
        <v>5.25</v>
      </c>
      <c r="K5" s="3477">
        <f>F5</f>
        <v>806.62</v>
      </c>
      <c r="L5" s="3489">
        <f>K5*J5</f>
        <v>4234.7550000000001</v>
      </c>
    </row>
    <row r="6" spans="1:44" ht="49.5">
      <c r="A6" s="3575"/>
      <c r="B6" s="3480" t="s">
        <v>3580</v>
      </c>
      <c r="C6" s="3480" t="s">
        <v>3581</v>
      </c>
      <c r="D6" s="3480" t="s">
        <v>3582</v>
      </c>
      <c r="E6" s="3481" t="s">
        <v>3583</v>
      </c>
      <c r="F6" s="3482">
        <v>245.27</v>
      </c>
      <c r="G6" s="3483">
        <f>127619+13081.07</f>
        <v>140700.07</v>
      </c>
      <c r="H6" s="3484" t="s">
        <v>3584</v>
      </c>
      <c r="I6" s="3483" t="s">
        <v>3585</v>
      </c>
      <c r="J6" s="3477">
        <v>6.28</v>
      </c>
      <c r="K6" s="3477">
        <f>F6</f>
        <v>245.27</v>
      </c>
      <c r="L6" s="3489">
        <f>K6*J6</f>
        <v>1540.2956000000001</v>
      </c>
    </row>
    <row r="7" spans="1:44" ht="35.25" customHeight="1">
      <c r="A7" s="3575"/>
      <c r="B7" s="3485" t="s">
        <v>3586</v>
      </c>
      <c r="C7" s="3486" t="s">
        <v>3587</v>
      </c>
      <c r="D7" s="3486" t="s">
        <v>3582</v>
      </c>
      <c r="E7" s="3481" t="s">
        <v>3588</v>
      </c>
      <c r="F7" s="3487">
        <v>207.48</v>
      </c>
      <c r="G7" s="3483">
        <v>123250.89</v>
      </c>
      <c r="H7" s="3483" t="s">
        <v>3589</v>
      </c>
      <c r="I7" s="3483" t="s">
        <v>3590</v>
      </c>
      <c r="J7" s="3477">
        <v>5.9</v>
      </c>
      <c r="K7" s="3477">
        <f>F7</f>
        <v>207.48</v>
      </c>
      <c r="L7" s="3489">
        <f>K7*J7</f>
        <v>1224.1320000000001</v>
      </c>
    </row>
    <row r="8" spans="1:44" ht="49.5">
      <c r="A8" s="3575"/>
      <c r="B8" s="3480" t="s">
        <v>3591</v>
      </c>
      <c r="C8" s="3480" t="s">
        <v>3592</v>
      </c>
      <c r="D8" s="3480" t="s">
        <v>3593</v>
      </c>
      <c r="E8" s="3484" t="s">
        <v>3594</v>
      </c>
      <c r="F8" s="3482">
        <v>358.39</v>
      </c>
      <c r="G8" s="3483">
        <f>109010+87208.54</f>
        <v>196218.53999999998</v>
      </c>
      <c r="H8" s="3481" t="s">
        <v>3595</v>
      </c>
      <c r="I8" s="3481" t="s">
        <v>3596</v>
      </c>
      <c r="J8" s="3477">
        <v>6</v>
      </c>
      <c r="K8" s="3477">
        <f>F8</f>
        <v>358.39</v>
      </c>
      <c r="L8" s="3489">
        <f>K8*J8</f>
        <v>2150.34</v>
      </c>
    </row>
    <row r="9" spans="1:44" ht="49.5">
      <c r="A9" s="3575"/>
      <c r="B9" s="3480" t="s">
        <v>3597</v>
      </c>
      <c r="C9" s="3480" t="s">
        <v>3598</v>
      </c>
      <c r="D9" s="3480" t="s">
        <v>3599</v>
      </c>
      <c r="E9" s="3481" t="s">
        <v>3600</v>
      </c>
      <c r="F9" s="3482">
        <v>735.59</v>
      </c>
      <c r="G9" s="3483">
        <v>246918.28</v>
      </c>
      <c r="H9" s="3483" t="s">
        <v>3601</v>
      </c>
      <c r="I9" s="3483" t="s">
        <v>3602</v>
      </c>
      <c r="J9" s="3477">
        <v>6</v>
      </c>
      <c r="K9" s="3477">
        <f>F9</f>
        <v>735.59</v>
      </c>
      <c r="L9" s="3489">
        <f>K9*J9</f>
        <v>4413.54</v>
      </c>
    </row>
    <row r="10" spans="1:44" ht="33">
      <c r="A10" s="3575"/>
      <c r="B10" s="3480" t="s">
        <v>3603</v>
      </c>
      <c r="C10" s="3480" t="s">
        <v>3604</v>
      </c>
      <c r="D10" s="3480" t="s">
        <v>3605</v>
      </c>
      <c r="E10" s="3481" t="s">
        <v>3606</v>
      </c>
      <c r="F10" s="3482">
        <v>158</v>
      </c>
      <c r="G10" s="3483">
        <v>0</v>
      </c>
      <c r="H10" s="3483" t="s">
        <v>3607</v>
      </c>
      <c r="I10" s="3483" t="s">
        <v>3608</v>
      </c>
      <c r="J10" s="3488"/>
      <c r="K10" s="3488"/>
      <c r="L10" s="3488"/>
      <c r="M10" s="3488"/>
      <c r="N10" s="3488"/>
      <c r="O10" s="3488"/>
      <c r="P10" s="3488"/>
      <c r="Q10" s="3488"/>
      <c r="R10" s="3488"/>
      <c r="S10" s="3488"/>
      <c r="T10" s="3488"/>
      <c r="U10" s="3488"/>
      <c r="V10" s="3488"/>
      <c r="W10" s="3488"/>
      <c r="X10" s="3488"/>
      <c r="Y10" s="3488"/>
      <c r="Z10" s="3488"/>
      <c r="AA10" s="3488"/>
      <c r="AB10" s="3488"/>
      <c r="AC10" s="3488"/>
      <c r="AD10" s="3488"/>
      <c r="AE10" s="3488"/>
      <c r="AF10" s="3488"/>
      <c r="AG10" s="3488"/>
      <c r="AH10" s="3488"/>
      <c r="AI10" s="3488"/>
      <c r="AJ10" s="3488"/>
      <c r="AK10" s="3488"/>
      <c r="AL10" s="3488"/>
      <c r="AM10" s="3488"/>
      <c r="AN10" s="3488"/>
      <c r="AO10" s="3488"/>
      <c r="AP10" s="3488"/>
      <c r="AQ10" s="3488"/>
      <c r="AR10" s="3488"/>
    </row>
    <row r="11" spans="1:44" s="3490" customFormat="1" ht="49.5">
      <c r="A11" s="3575"/>
      <c r="B11" s="3486" t="s">
        <v>3609</v>
      </c>
      <c r="C11" s="3486" t="s">
        <v>3610</v>
      </c>
      <c r="D11" s="3486" t="s">
        <v>3611</v>
      </c>
      <c r="E11" s="3481" t="s">
        <v>3612</v>
      </c>
      <c r="F11" s="3487">
        <v>630.33000000000004</v>
      </c>
      <c r="G11" s="3483">
        <v>281835</v>
      </c>
      <c r="H11" s="3483" t="s">
        <v>3613</v>
      </c>
      <c r="I11" s="3483" t="s">
        <v>3614</v>
      </c>
      <c r="J11" s="3489">
        <v>5.4</v>
      </c>
      <c r="K11" s="3477">
        <f>F11</f>
        <v>630.33000000000004</v>
      </c>
      <c r="L11" s="3489">
        <f>K11*J11</f>
        <v>3403.7820000000006</v>
      </c>
      <c r="M11" s="3489"/>
      <c r="N11" s="3489"/>
      <c r="O11" s="3489"/>
      <c r="P11" s="3489"/>
      <c r="Q11" s="3489"/>
      <c r="R11" s="3489"/>
      <c r="S11" s="3489"/>
      <c r="T11" s="3489"/>
      <c r="U11" s="3489"/>
      <c r="V11" s="3489"/>
      <c r="W11" s="3489"/>
      <c r="X11" s="3489"/>
      <c r="Y11" s="3489"/>
      <c r="Z11" s="3489"/>
      <c r="AA11" s="3489"/>
      <c r="AB11" s="3489"/>
      <c r="AC11" s="3489"/>
      <c r="AD11" s="3489"/>
      <c r="AE11" s="3489"/>
      <c r="AF11" s="3489"/>
      <c r="AG11" s="3489"/>
      <c r="AH11" s="3489"/>
      <c r="AI11" s="3489"/>
      <c r="AJ11" s="3489"/>
      <c r="AK11" s="3489"/>
      <c r="AL11" s="3489"/>
      <c r="AM11" s="3489"/>
      <c r="AN11" s="3489"/>
      <c r="AO11" s="3489"/>
      <c r="AP11" s="3489"/>
      <c r="AQ11" s="3489"/>
      <c r="AR11" s="3489"/>
    </row>
    <row r="12" spans="1:44" s="3490" customFormat="1" ht="48" customHeight="1">
      <c r="A12" s="3575"/>
      <c r="B12" s="3486" t="s">
        <v>3615</v>
      </c>
      <c r="C12" s="3486" t="s">
        <v>3610</v>
      </c>
      <c r="D12" s="3486" t="s">
        <v>3611</v>
      </c>
      <c r="E12" s="3481" t="s">
        <v>3616</v>
      </c>
      <c r="F12" s="3487">
        <v>849.49</v>
      </c>
      <c r="G12" s="3483">
        <v>379827</v>
      </c>
      <c r="H12" s="3483" t="s">
        <v>3613</v>
      </c>
      <c r="I12" s="3483" t="s">
        <v>3614</v>
      </c>
      <c r="J12" s="3489">
        <v>5.48</v>
      </c>
      <c r="K12" s="3477">
        <f>F12</f>
        <v>849.49</v>
      </c>
      <c r="L12" s="3489">
        <f t="shared" ref="L12:L37" si="0">K12*J12</f>
        <v>4655.2052000000003</v>
      </c>
      <c r="M12" s="3489"/>
      <c r="N12" s="3489"/>
      <c r="O12" s="3489"/>
      <c r="P12" s="3489"/>
      <c r="Q12" s="3489"/>
      <c r="R12" s="3489"/>
      <c r="S12" s="3489"/>
      <c r="T12" s="3489"/>
      <c r="U12" s="3489"/>
      <c r="V12" s="3489"/>
      <c r="W12" s="3489"/>
      <c r="X12" s="3489"/>
      <c r="Y12" s="3489"/>
      <c r="Z12" s="3489"/>
      <c r="AA12" s="3489"/>
      <c r="AB12" s="3489"/>
      <c r="AC12" s="3489"/>
      <c r="AD12" s="3489"/>
      <c r="AE12" s="3489"/>
      <c r="AF12" s="3489"/>
      <c r="AG12" s="3489"/>
      <c r="AH12" s="3489"/>
      <c r="AI12" s="3489"/>
      <c r="AJ12" s="3489"/>
      <c r="AK12" s="3489"/>
      <c r="AL12" s="3489"/>
      <c r="AM12" s="3489"/>
      <c r="AN12" s="3489"/>
      <c r="AO12" s="3489"/>
      <c r="AP12" s="3489"/>
      <c r="AQ12" s="3489"/>
      <c r="AR12" s="3489"/>
    </row>
    <row r="13" spans="1:44" ht="27">
      <c r="A13" s="3575"/>
      <c r="B13" s="3480" t="s">
        <v>3617</v>
      </c>
      <c r="C13" s="3480" t="s">
        <v>3618</v>
      </c>
      <c r="D13" s="3480" t="s">
        <v>3619</v>
      </c>
      <c r="E13" s="3491" t="s">
        <v>3620</v>
      </c>
      <c r="F13" s="3482">
        <v>448.68</v>
      </c>
      <c r="G13" s="3483">
        <v>194475</v>
      </c>
      <c r="H13" s="3483" t="s">
        <v>3621</v>
      </c>
      <c r="I13" s="3483" t="s">
        <v>3622</v>
      </c>
      <c r="J13" s="3488">
        <v>4.99</v>
      </c>
      <c r="K13" s="3477">
        <f>F13</f>
        <v>448.68</v>
      </c>
      <c r="L13" s="3489">
        <f t="shared" si="0"/>
        <v>2238.9132</v>
      </c>
      <c r="M13" s="3488"/>
      <c r="N13" s="3488"/>
      <c r="O13" s="3488"/>
      <c r="P13" s="3488"/>
      <c r="Q13" s="3488"/>
      <c r="R13" s="3488"/>
      <c r="S13" s="3488"/>
      <c r="T13" s="3488"/>
      <c r="U13" s="3488"/>
      <c r="V13" s="3488"/>
      <c r="W13" s="3488"/>
      <c r="X13" s="3488"/>
      <c r="Y13" s="3488"/>
      <c r="Z13" s="3488"/>
      <c r="AA13" s="3488"/>
      <c r="AB13" s="3488"/>
      <c r="AC13" s="3488"/>
      <c r="AD13" s="3488"/>
      <c r="AE13" s="3488"/>
      <c r="AF13" s="3488"/>
      <c r="AG13" s="3488"/>
      <c r="AH13" s="3488"/>
      <c r="AI13" s="3488"/>
      <c r="AJ13" s="3488"/>
      <c r="AK13" s="3488"/>
      <c r="AL13" s="3488"/>
      <c r="AM13" s="3488"/>
      <c r="AN13" s="3488"/>
      <c r="AO13" s="3488"/>
      <c r="AP13" s="3488"/>
      <c r="AQ13" s="3488"/>
      <c r="AR13" s="3488"/>
    </row>
    <row r="14" spans="1:44" ht="42" customHeight="1">
      <c r="A14" s="3575"/>
      <c r="B14" s="3577" t="s">
        <v>3623</v>
      </c>
      <c r="C14" s="3577" t="s">
        <v>3624</v>
      </c>
      <c r="D14" s="3577" t="s">
        <v>3625</v>
      </c>
      <c r="E14" s="3587" t="s">
        <v>3626</v>
      </c>
      <c r="F14" s="3589">
        <v>232.27</v>
      </c>
      <c r="G14" s="3579">
        <v>101310</v>
      </c>
      <c r="H14" s="3581" t="s">
        <v>3627</v>
      </c>
      <c r="I14" s="3583" t="s">
        <v>3628</v>
      </c>
      <c r="J14" s="3488">
        <v>5.27</v>
      </c>
      <c r="K14" s="3477">
        <f>F14</f>
        <v>232.27</v>
      </c>
      <c r="L14" s="3489">
        <f t="shared" si="0"/>
        <v>1224.0628999999999</v>
      </c>
      <c r="M14" s="3488"/>
      <c r="N14" s="3488"/>
      <c r="O14" s="3488"/>
      <c r="P14" s="3488"/>
      <c r="Q14" s="3488"/>
      <c r="R14" s="3488"/>
      <c r="S14" s="3488"/>
      <c r="T14" s="3488"/>
      <c r="U14" s="3488"/>
      <c r="V14" s="3488"/>
      <c r="W14" s="3488"/>
      <c r="X14" s="3488"/>
      <c r="Y14" s="3488"/>
      <c r="Z14" s="3488"/>
      <c r="AA14" s="3488"/>
      <c r="AB14" s="3488"/>
      <c r="AC14" s="3488"/>
      <c r="AD14" s="3488"/>
      <c r="AE14" s="3488"/>
      <c r="AF14" s="3488"/>
      <c r="AG14" s="3488"/>
      <c r="AH14" s="3488"/>
      <c r="AI14" s="3488"/>
      <c r="AJ14" s="3488"/>
      <c r="AK14" s="3488"/>
      <c r="AL14" s="3488"/>
      <c r="AM14" s="3488"/>
      <c r="AN14" s="3488"/>
      <c r="AO14" s="3488"/>
      <c r="AP14" s="3488"/>
      <c r="AQ14" s="3488"/>
      <c r="AR14" s="3488"/>
    </row>
    <row r="15" spans="1:44" ht="47.25" customHeight="1">
      <c r="A15" s="3576"/>
      <c r="B15" s="3578"/>
      <c r="C15" s="3578"/>
      <c r="D15" s="3578"/>
      <c r="E15" s="3588"/>
      <c r="F15" s="3590"/>
      <c r="G15" s="3580"/>
      <c r="H15" s="3582"/>
      <c r="I15" s="3583"/>
    </row>
    <row r="16" spans="1:44" s="3490" customFormat="1" ht="30" customHeight="1">
      <c r="A16" s="3584" t="s">
        <v>3629</v>
      </c>
      <c r="B16" s="3486" t="s">
        <v>3630</v>
      </c>
      <c r="C16" s="3486" t="s">
        <v>3631</v>
      </c>
      <c r="D16" s="3486" t="s">
        <v>3632</v>
      </c>
      <c r="E16" s="3481">
        <v>6.28</v>
      </c>
      <c r="F16" s="3487">
        <v>695.46</v>
      </c>
      <c r="G16" s="3483">
        <f>173245.32+148390.62+76034.43+862.98</f>
        <v>398533.35</v>
      </c>
      <c r="H16" s="3483" t="s">
        <v>3633</v>
      </c>
      <c r="I16" s="3483" t="s">
        <v>3608</v>
      </c>
      <c r="J16" s="3489">
        <v>6.28</v>
      </c>
      <c r="K16" s="3477">
        <f>F16</f>
        <v>695.46</v>
      </c>
      <c r="L16" s="3489">
        <f t="shared" si="0"/>
        <v>4367.4888000000001</v>
      </c>
      <c r="M16" s="3489"/>
      <c r="N16" s="3489"/>
      <c r="O16" s="3489"/>
      <c r="P16" s="3489"/>
      <c r="Q16" s="3489"/>
      <c r="R16" s="3489"/>
      <c r="S16" s="3489"/>
      <c r="T16" s="3489"/>
      <c r="U16" s="3489"/>
      <c r="V16" s="3489"/>
      <c r="W16" s="3489"/>
      <c r="X16" s="3489"/>
      <c r="Y16" s="3489"/>
      <c r="Z16" s="3489"/>
      <c r="AA16" s="3489"/>
      <c r="AB16" s="3489"/>
      <c r="AC16" s="3489"/>
      <c r="AD16" s="3489"/>
      <c r="AE16" s="3489"/>
      <c r="AF16" s="3489"/>
      <c r="AG16" s="3489"/>
      <c r="AH16" s="3489"/>
      <c r="AI16" s="3489"/>
      <c r="AJ16" s="3489"/>
      <c r="AK16" s="3489"/>
      <c r="AL16" s="3489"/>
      <c r="AM16" s="3489"/>
      <c r="AN16" s="3489"/>
      <c r="AO16" s="3489"/>
      <c r="AP16" s="3489"/>
      <c r="AQ16" s="3489"/>
      <c r="AR16" s="3489"/>
    </row>
    <row r="17" spans="1:44" ht="33">
      <c r="A17" s="3585"/>
      <c r="B17" s="3480" t="s">
        <v>3634</v>
      </c>
      <c r="C17" s="3480" t="s">
        <v>3635</v>
      </c>
      <c r="D17" s="3486" t="s">
        <v>3632</v>
      </c>
      <c r="E17" s="3492">
        <v>4.5</v>
      </c>
      <c r="F17" s="3482">
        <v>216.12</v>
      </c>
      <c r="G17" s="3483">
        <v>88744.29</v>
      </c>
      <c r="H17" s="3481" t="s">
        <v>3636</v>
      </c>
      <c r="I17" s="3483" t="s">
        <v>3637</v>
      </c>
      <c r="J17" s="3488">
        <v>4.5</v>
      </c>
      <c r="K17" s="3477">
        <f>F17</f>
        <v>216.12</v>
      </c>
      <c r="L17" s="3489">
        <f t="shared" si="0"/>
        <v>972.54</v>
      </c>
      <c r="M17" s="3488"/>
      <c r="N17" s="3488"/>
      <c r="O17" s="3488"/>
      <c r="P17" s="3488"/>
      <c r="Q17" s="3488"/>
      <c r="R17" s="3488"/>
      <c r="S17" s="3488"/>
      <c r="T17" s="3488"/>
      <c r="U17" s="3488"/>
      <c r="V17" s="3488"/>
      <c r="W17" s="3488"/>
      <c r="X17" s="3488"/>
      <c r="Y17" s="3488"/>
      <c r="Z17" s="3488"/>
      <c r="AA17" s="3488"/>
      <c r="AB17" s="3488"/>
      <c r="AC17" s="3488"/>
      <c r="AD17" s="3488"/>
      <c r="AE17" s="3488"/>
      <c r="AF17" s="3488"/>
      <c r="AG17" s="3488"/>
      <c r="AH17" s="3488"/>
      <c r="AI17" s="3493"/>
      <c r="AJ17" s="3493"/>
      <c r="AK17" s="3493"/>
      <c r="AL17" s="3493"/>
      <c r="AM17" s="3493"/>
      <c r="AN17" s="3493"/>
      <c r="AO17" s="3493"/>
      <c r="AP17" s="3493"/>
      <c r="AQ17" s="3493"/>
      <c r="AR17" s="3493"/>
    </row>
    <row r="18" spans="1:44" ht="49.5">
      <c r="A18" s="3585"/>
      <c r="B18" s="3480" t="s">
        <v>3638</v>
      </c>
      <c r="C18" s="3480" t="s">
        <v>3639</v>
      </c>
      <c r="D18" s="3486" t="s">
        <v>3640</v>
      </c>
      <c r="E18" s="3481" t="s">
        <v>3641</v>
      </c>
      <c r="F18" s="3482">
        <v>201.73</v>
      </c>
      <c r="G18" s="3483">
        <f>55224+27611.38</f>
        <v>82835.38</v>
      </c>
      <c r="H18" s="3481" t="s">
        <v>3642</v>
      </c>
      <c r="I18" s="3483" t="s">
        <v>3643</v>
      </c>
      <c r="J18" s="3477">
        <v>4.5</v>
      </c>
      <c r="K18" s="3477">
        <f>F18</f>
        <v>201.73</v>
      </c>
      <c r="L18" s="3489">
        <f t="shared" si="0"/>
        <v>907.78499999999997</v>
      </c>
    </row>
    <row r="19" spans="1:44" ht="27" customHeight="1">
      <c r="A19" s="3585"/>
      <c r="B19" s="3480" t="s">
        <v>3644</v>
      </c>
      <c r="C19" s="3480" t="s">
        <v>3645</v>
      </c>
      <c r="D19" s="3486" t="s">
        <v>3632</v>
      </c>
      <c r="E19" s="3494">
        <v>4</v>
      </c>
      <c r="F19" s="3482">
        <v>404.17</v>
      </c>
      <c r="G19" s="3483">
        <v>147522.04999999999</v>
      </c>
      <c r="H19" s="3483" t="s">
        <v>3646</v>
      </c>
      <c r="I19" s="3483" t="s">
        <v>3647</v>
      </c>
      <c r="J19" s="3488">
        <v>4</v>
      </c>
      <c r="K19" s="3477">
        <f>F19</f>
        <v>404.17</v>
      </c>
      <c r="L19" s="3489">
        <f t="shared" si="0"/>
        <v>1616.68</v>
      </c>
      <c r="M19" s="3488"/>
      <c r="N19" s="3488"/>
      <c r="O19" s="3488"/>
      <c r="P19" s="3488"/>
      <c r="Q19" s="3488"/>
      <c r="R19" s="3488"/>
      <c r="S19" s="3488"/>
      <c r="T19" s="3488"/>
      <c r="U19" s="3488"/>
      <c r="V19" s="3488"/>
      <c r="W19" s="3488"/>
      <c r="X19" s="3488"/>
      <c r="Y19" s="3488"/>
      <c r="Z19" s="3488"/>
      <c r="AA19" s="3488"/>
      <c r="AB19" s="3488"/>
      <c r="AC19" s="3488"/>
      <c r="AD19" s="3488"/>
      <c r="AE19" s="3488"/>
      <c r="AF19" s="3488"/>
      <c r="AG19" s="3488"/>
      <c r="AH19" s="3488"/>
      <c r="AI19" s="3488"/>
      <c r="AJ19" s="3488"/>
      <c r="AK19" s="3488"/>
      <c r="AL19" s="3488"/>
      <c r="AM19" s="3488"/>
      <c r="AN19" s="3488"/>
      <c r="AO19" s="3488"/>
      <c r="AP19" s="3488"/>
      <c r="AQ19" s="3488"/>
      <c r="AR19" s="3488"/>
    </row>
    <row r="20" spans="1:44" ht="26.25" customHeight="1">
      <c r="A20" s="3585"/>
      <c r="B20" s="3485" t="s">
        <v>3648</v>
      </c>
      <c r="C20" s="3480" t="s">
        <v>3649</v>
      </c>
      <c r="D20" s="3486" t="s">
        <v>3632</v>
      </c>
      <c r="E20" s="3492">
        <v>4</v>
      </c>
      <c r="F20" s="3495">
        <v>501.74</v>
      </c>
      <c r="G20" s="3483">
        <v>183135.1</v>
      </c>
      <c r="H20" s="3483" t="s">
        <v>3650</v>
      </c>
      <c r="I20" s="3483" t="s">
        <v>3651</v>
      </c>
      <c r="J20" s="3477">
        <v>4</v>
      </c>
      <c r="K20" s="3477">
        <f>F20</f>
        <v>501.74</v>
      </c>
      <c r="L20" s="3489">
        <f t="shared" si="0"/>
        <v>2006.96</v>
      </c>
    </row>
    <row r="21" spans="1:44" ht="33">
      <c r="A21" s="3585"/>
      <c r="B21" s="3480" t="s">
        <v>3652</v>
      </c>
      <c r="C21" s="3480" t="s">
        <v>3653</v>
      </c>
      <c r="D21" s="3486" t="s">
        <v>3632</v>
      </c>
      <c r="E21" s="3492">
        <v>4.54</v>
      </c>
      <c r="F21" s="3482">
        <v>1169.22</v>
      </c>
      <c r="G21" s="3483">
        <v>484378.62</v>
      </c>
      <c r="H21" s="3483" t="s">
        <v>3646</v>
      </c>
      <c r="I21" s="3483" t="s">
        <v>3647</v>
      </c>
      <c r="J21" s="3893">
        <f>E21</f>
        <v>4.54</v>
      </c>
      <c r="K21" s="3477">
        <f>F21</f>
        <v>1169.22</v>
      </c>
      <c r="L21" s="3489">
        <f t="shared" si="0"/>
        <v>5308.2588000000005</v>
      </c>
      <c r="M21" s="3488"/>
      <c r="N21" s="3488"/>
      <c r="O21" s="3488"/>
      <c r="P21" s="3488"/>
      <c r="Q21" s="3488"/>
      <c r="R21" s="3488"/>
      <c r="S21" s="3488"/>
      <c r="T21" s="3488"/>
      <c r="U21" s="3488"/>
      <c r="V21" s="3488"/>
      <c r="W21" s="3488"/>
      <c r="X21" s="3488"/>
      <c r="Y21" s="3488"/>
      <c r="Z21" s="3488"/>
      <c r="AA21" s="3488"/>
      <c r="AB21" s="3488"/>
      <c r="AC21" s="3488"/>
      <c r="AD21" s="3488"/>
      <c r="AE21" s="3488"/>
      <c r="AF21" s="3488"/>
      <c r="AG21" s="3488"/>
      <c r="AH21" s="3488"/>
      <c r="AI21" s="3493"/>
      <c r="AJ21" s="3493"/>
      <c r="AK21" s="3493"/>
      <c r="AL21" s="3493"/>
      <c r="AM21" s="3493"/>
      <c r="AN21" s="3493"/>
      <c r="AO21" s="3493"/>
      <c r="AP21" s="3493"/>
      <c r="AQ21" s="3493"/>
      <c r="AR21" s="3493"/>
    </row>
    <row r="22" spans="1:44" ht="33">
      <c r="A22" s="3585"/>
      <c r="B22" s="3480" t="s">
        <v>3654</v>
      </c>
      <c r="C22" s="3480" t="s">
        <v>3655</v>
      </c>
      <c r="D22" s="3486" t="s">
        <v>3640</v>
      </c>
      <c r="E22" s="3492">
        <v>4.5</v>
      </c>
      <c r="F22" s="3482">
        <v>205.08</v>
      </c>
      <c r="G22" s="3483">
        <v>84210.99</v>
      </c>
      <c r="H22" s="3481" t="s">
        <v>3656</v>
      </c>
      <c r="I22" s="3483" t="s">
        <v>3657</v>
      </c>
      <c r="J22" s="3893">
        <f t="shared" ref="J22:J29" si="1">E22</f>
        <v>4.5</v>
      </c>
      <c r="K22" s="3477">
        <f>F22</f>
        <v>205.08</v>
      </c>
      <c r="L22" s="3489">
        <f t="shared" si="0"/>
        <v>922.86</v>
      </c>
      <c r="M22" s="3488"/>
      <c r="N22" s="3488"/>
      <c r="O22" s="3488"/>
      <c r="P22" s="3488"/>
      <c r="Q22" s="3488"/>
      <c r="R22" s="3488"/>
      <c r="S22" s="3488"/>
      <c r="T22" s="3488"/>
      <c r="U22" s="3488"/>
      <c r="V22" s="3488"/>
      <c r="W22" s="3488"/>
      <c r="X22" s="3488"/>
      <c r="Y22" s="3488"/>
      <c r="Z22" s="3488"/>
      <c r="AA22" s="3488"/>
      <c r="AB22" s="3488"/>
      <c r="AC22" s="3488"/>
      <c r="AD22" s="3488"/>
      <c r="AE22" s="3488"/>
      <c r="AF22" s="3488"/>
      <c r="AG22" s="3488"/>
      <c r="AH22" s="3488"/>
      <c r="AI22" s="3493"/>
      <c r="AJ22" s="3493"/>
      <c r="AK22" s="3493"/>
      <c r="AL22" s="3493"/>
      <c r="AM22" s="3493"/>
      <c r="AN22" s="3493"/>
      <c r="AO22" s="3493"/>
      <c r="AP22" s="3493"/>
      <c r="AQ22" s="3493"/>
      <c r="AR22" s="3493"/>
    </row>
    <row r="23" spans="1:44" ht="33">
      <c r="A23" s="3585"/>
      <c r="B23" s="3480" t="s">
        <v>3658</v>
      </c>
      <c r="C23" s="3480" t="s">
        <v>3659</v>
      </c>
      <c r="D23" s="3486" t="s">
        <v>3640</v>
      </c>
      <c r="E23" s="3492">
        <v>4.3</v>
      </c>
      <c r="F23" s="3482">
        <v>193.77</v>
      </c>
      <c r="G23" s="3483">
        <v>76030.5</v>
      </c>
      <c r="H23" s="3481" t="s">
        <v>3660</v>
      </c>
      <c r="I23" s="3483" t="s">
        <v>3661</v>
      </c>
      <c r="J23" s="3893">
        <f t="shared" si="1"/>
        <v>4.3</v>
      </c>
      <c r="K23" s="3477">
        <f t="shared" ref="K23:K38" si="2">F23</f>
        <v>193.77</v>
      </c>
      <c r="L23" s="3489">
        <f t="shared" si="0"/>
        <v>833.21100000000001</v>
      </c>
      <c r="M23" s="3488"/>
      <c r="N23" s="3488"/>
      <c r="O23" s="3488"/>
      <c r="P23" s="3488"/>
      <c r="Q23" s="3488"/>
      <c r="R23" s="3488"/>
      <c r="S23" s="3488"/>
      <c r="T23" s="3488"/>
      <c r="U23" s="3488"/>
      <c r="V23" s="3488"/>
      <c r="W23" s="3488"/>
      <c r="X23" s="3488"/>
      <c r="Y23" s="3488"/>
      <c r="Z23" s="3488"/>
      <c r="AA23" s="3488"/>
      <c r="AB23" s="3488"/>
      <c r="AC23" s="3488"/>
      <c r="AD23" s="3488"/>
      <c r="AE23" s="3488"/>
      <c r="AF23" s="3488"/>
      <c r="AG23" s="3488"/>
      <c r="AH23" s="3488"/>
      <c r="AI23" s="3493"/>
      <c r="AJ23" s="3493"/>
      <c r="AK23" s="3493"/>
      <c r="AL23" s="3493"/>
      <c r="AM23" s="3493"/>
      <c r="AN23" s="3493"/>
      <c r="AO23" s="3493"/>
      <c r="AP23" s="3493"/>
      <c r="AQ23" s="3493"/>
      <c r="AR23" s="3493"/>
    </row>
    <row r="24" spans="1:44" s="3490" customFormat="1" ht="27" customHeight="1">
      <c r="A24" s="3585"/>
      <c r="B24" s="3486" t="s">
        <v>3662</v>
      </c>
      <c r="C24" s="3486" t="s">
        <v>3663</v>
      </c>
      <c r="D24" s="3486" t="s">
        <v>3640</v>
      </c>
      <c r="E24" s="3492">
        <v>6.72</v>
      </c>
      <c r="F24" s="3487">
        <v>233.42</v>
      </c>
      <c r="G24" s="3483">
        <v>143178.54</v>
      </c>
      <c r="H24" s="3483" t="s">
        <v>3664</v>
      </c>
      <c r="I24" s="3483" t="s">
        <v>3665</v>
      </c>
      <c r="J24" s="3893">
        <f t="shared" si="1"/>
        <v>6.72</v>
      </c>
      <c r="K24" s="3477">
        <f t="shared" si="2"/>
        <v>233.42</v>
      </c>
      <c r="L24" s="3489">
        <f t="shared" si="0"/>
        <v>1568.5823999999998</v>
      </c>
      <c r="M24" s="3489"/>
      <c r="N24" s="3489"/>
      <c r="O24" s="3489"/>
      <c r="P24" s="3489"/>
      <c r="Q24" s="3489"/>
      <c r="R24" s="3489"/>
      <c r="S24" s="3489"/>
      <c r="T24" s="3489"/>
      <c r="U24" s="3489"/>
      <c r="V24" s="3489"/>
      <c r="W24" s="3489"/>
      <c r="X24" s="3489"/>
      <c r="Y24" s="3489"/>
      <c r="Z24" s="3489"/>
      <c r="AA24" s="3489"/>
      <c r="AB24" s="3489"/>
      <c r="AC24" s="3489"/>
      <c r="AD24" s="3489"/>
      <c r="AE24" s="3489"/>
      <c r="AF24" s="3489"/>
      <c r="AG24" s="3489"/>
      <c r="AH24" s="3489"/>
      <c r="AI24" s="3489"/>
      <c r="AJ24" s="3489"/>
      <c r="AK24" s="3489"/>
      <c r="AL24" s="3489"/>
      <c r="AM24" s="3489"/>
      <c r="AN24" s="3489"/>
      <c r="AO24" s="3489"/>
      <c r="AP24" s="3489"/>
      <c r="AQ24" s="3489"/>
      <c r="AR24" s="3489"/>
    </row>
    <row r="25" spans="1:44" ht="49.5">
      <c r="A25" s="3585"/>
      <c r="B25" s="3480" t="s">
        <v>3666</v>
      </c>
      <c r="C25" s="3480" t="s">
        <v>3667</v>
      </c>
      <c r="D25" s="3486" t="s">
        <v>3640</v>
      </c>
      <c r="E25" s="3492">
        <v>7.46</v>
      </c>
      <c r="F25" s="3482">
        <v>206.83</v>
      </c>
      <c r="G25" s="3483">
        <v>140794.35</v>
      </c>
      <c r="H25" s="3481" t="s">
        <v>3668</v>
      </c>
      <c r="I25" s="3483" t="s">
        <v>3669</v>
      </c>
      <c r="J25" s="3893">
        <f t="shared" si="1"/>
        <v>7.46</v>
      </c>
      <c r="K25" s="3477">
        <f t="shared" si="2"/>
        <v>206.83</v>
      </c>
      <c r="L25" s="3489">
        <f t="shared" si="0"/>
        <v>1542.9518</v>
      </c>
      <c r="M25" s="3488"/>
      <c r="N25" s="3488"/>
      <c r="O25" s="3488"/>
      <c r="P25" s="3488"/>
      <c r="Q25" s="3488"/>
      <c r="R25" s="3488"/>
      <c r="S25" s="3488"/>
      <c r="T25" s="3488"/>
      <c r="U25" s="3488"/>
      <c r="V25" s="3488"/>
      <c r="W25" s="3488"/>
      <c r="X25" s="3488"/>
      <c r="Y25" s="3488"/>
      <c r="Z25" s="3488"/>
      <c r="AA25" s="3488"/>
      <c r="AB25" s="3488"/>
      <c r="AC25" s="3488"/>
      <c r="AD25" s="3488"/>
      <c r="AE25" s="3488"/>
      <c r="AF25" s="3488"/>
      <c r="AG25" s="3488"/>
      <c r="AH25" s="3488"/>
      <c r="AI25" s="3493"/>
      <c r="AJ25" s="3493"/>
      <c r="AK25" s="3493"/>
      <c r="AL25" s="3493"/>
      <c r="AM25" s="3493"/>
      <c r="AN25" s="3493"/>
      <c r="AO25" s="3493"/>
      <c r="AP25" s="3493"/>
      <c r="AQ25" s="3493"/>
      <c r="AR25" s="3493"/>
    </row>
    <row r="26" spans="1:44" ht="33">
      <c r="A26" s="3585"/>
      <c r="B26" s="3480" t="s">
        <v>3670</v>
      </c>
      <c r="C26" s="3480" t="s">
        <v>3671</v>
      </c>
      <c r="D26" s="3486" t="s">
        <v>3640</v>
      </c>
      <c r="E26" s="3494">
        <v>4.3</v>
      </c>
      <c r="F26" s="3482">
        <v>182.05</v>
      </c>
      <c r="G26" s="3483">
        <v>71431.86</v>
      </c>
      <c r="H26" s="3481" t="s">
        <v>3672</v>
      </c>
      <c r="I26" s="3483" t="s">
        <v>3673</v>
      </c>
      <c r="J26" s="3893">
        <f t="shared" si="1"/>
        <v>4.3</v>
      </c>
      <c r="K26" s="3477">
        <f t="shared" si="2"/>
        <v>182.05</v>
      </c>
      <c r="L26" s="3489">
        <f t="shared" si="0"/>
        <v>782.81500000000005</v>
      </c>
      <c r="M26" s="3488"/>
      <c r="N26" s="3488"/>
      <c r="O26" s="3488"/>
      <c r="P26" s="3488"/>
      <c r="Q26" s="3488"/>
      <c r="R26" s="3488"/>
      <c r="S26" s="3488"/>
      <c r="T26" s="3488"/>
      <c r="U26" s="3488"/>
      <c r="V26" s="3488"/>
      <c r="W26" s="3488"/>
      <c r="X26" s="3488"/>
      <c r="Y26" s="3488"/>
      <c r="Z26" s="3488"/>
      <c r="AA26" s="3488"/>
      <c r="AB26" s="3488"/>
      <c r="AC26" s="3488"/>
      <c r="AD26" s="3488"/>
      <c r="AE26" s="3488"/>
      <c r="AF26" s="3488"/>
      <c r="AG26" s="3488"/>
      <c r="AH26" s="3488"/>
      <c r="AI26" s="3493"/>
      <c r="AJ26" s="3493"/>
      <c r="AK26" s="3493"/>
      <c r="AL26" s="3493"/>
      <c r="AM26" s="3493"/>
      <c r="AN26" s="3493"/>
      <c r="AO26" s="3493"/>
      <c r="AP26" s="3493"/>
      <c r="AQ26" s="3493"/>
      <c r="AR26" s="3493"/>
    </row>
    <row r="27" spans="1:44" s="3501" customFormat="1" ht="27" customHeight="1">
      <c r="A27" s="3585"/>
      <c r="B27" s="3496" t="s">
        <v>3674</v>
      </c>
      <c r="C27" s="3496" t="s">
        <v>3675</v>
      </c>
      <c r="D27" s="3496"/>
      <c r="E27" s="3497">
        <v>4.3</v>
      </c>
      <c r="F27" s="3498"/>
      <c r="G27" s="3499"/>
      <c r="H27" s="3499" t="s">
        <v>3676</v>
      </c>
      <c r="I27" s="3499" t="s">
        <v>3677</v>
      </c>
      <c r="J27" s="3893"/>
      <c r="K27" s="3894" t="s">
        <v>3777</v>
      </c>
      <c r="L27" s="3500"/>
      <c r="M27" s="3500"/>
      <c r="N27" s="3500"/>
      <c r="O27" s="3500"/>
      <c r="P27" s="3500"/>
      <c r="Q27" s="3500"/>
      <c r="R27" s="3500"/>
      <c r="S27" s="3500"/>
      <c r="T27" s="3500"/>
      <c r="U27" s="3500"/>
      <c r="V27" s="3500"/>
      <c r="W27" s="3500"/>
      <c r="X27" s="3500"/>
      <c r="Y27" s="3500"/>
      <c r="Z27" s="3500"/>
      <c r="AA27" s="3500"/>
      <c r="AB27" s="3500"/>
      <c r="AC27" s="3500"/>
      <c r="AD27" s="3500"/>
      <c r="AE27" s="3500"/>
      <c r="AF27" s="3500"/>
      <c r="AG27" s="3500"/>
      <c r="AH27" s="3500"/>
      <c r="AI27" s="3500"/>
      <c r="AJ27" s="3500"/>
      <c r="AK27" s="3500"/>
      <c r="AL27" s="3500"/>
      <c r="AM27" s="3500"/>
      <c r="AN27" s="3500"/>
      <c r="AO27" s="3500"/>
      <c r="AP27" s="3500"/>
      <c r="AQ27" s="3500"/>
      <c r="AR27" s="3500"/>
    </row>
    <row r="28" spans="1:44" s="3505" customFormat="1" ht="27" customHeight="1">
      <c r="A28" s="3585"/>
      <c r="B28" s="3502" t="s">
        <v>3678</v>
      </c>
      <c r="C28" s="3502" t="s">
        <v>3679</v>
      </c>
      <c r="D28" s="3502" t="s">
        <v>3632</v>
      </c>
      <c r="E28" s="3494">
        <v>8.5</v>
      </c>
      <c r="F28" s="3503">
        <v>154.43</v>
      </c>
      <c r="G28" s="3483">
        <f>71318.08+48461.69</f>
        <v>119779.77</v>
      </c>
      <c r="H28" s="3483" t="s">
        <v>3680</v>
      </c>
      <c r="I28" s="3483" t="s">
        <v>3608</v>
      </c>
      <c r="J28" s="3893">
        <f t="shared" si="1"/>
        <v>8.5</v>
      </c>
      <c r="K28" s="3477">
        <f t="shared" si="2"/>
        <v>154.43</v>
      </c>
      <c r="L28" s="3489">
        <f t="shared" si="0"/>
        <v>1312.655</v>
      </c>
      <c r="M28" s="3504"/>
      <c r="N28" s="3504"/>
      <c r="O28" s="3504"/>
      <c r="P28" s="3504"/>
      <c r="Q28" s="3504"/>
      <c r="R28" s="3504"/>
      <c r="S28" s="3504"/>
      <c r="T28" s="3504"/>
      <c r="U28" s="3504"/>
      <c r="V28" s="3504"/>
      <c r="W28" s="3504"/>
      <c r="X28" s="3504"/>
      <c r="Y28" s="3504"/>
      <c r="Z28" s="3504"/>
      <c r="AA28" s="3504"/>
      <c r="AB28" s="3504"/>
      <c r="AC28" s="3504"/>
      <c r="AD28" s="3504"/>
      <c r="AE28" s="3504"/>
      <c r="AF28" s="3504"/>
      <c r="AG28" s="3504"/>
      <c r="AH28" s="3504"/>
      <c r="AI28" s="3504"/>
      <c r="AJ28" s="3504"/>
      <c r="AK28" s="3504"/>
      <c r="AL28" s="3504"/>
      <c r="AM28" s="3504"/>
      <c r="AN28" s="3504"/>
      <c r="AO28" s="3504"/>
      <c r="AP28" s="3504"/>
      <c r="AQ28" s="3504"/>
      <c r="AR28" s="3504"/>
    </row>
    <row r="29" spans="1:44" s="3501" customFormat="1" ht="30" customHeight="1">
      <c r="A29" s="3586"/>
      <c r="B29" s="3496" t="s">
        <v>3681</v>
      </c>
      <c r="C29" s="3496" t="s">
        <v>3682</v>
      </c>
      <c r="D29" s="3496"/>
      <c r="E29" s="3497">
        <v>8.9</v>
      </c>
      <c r="F29" s="3498"/>
      <c r="G29" s="3499">
        <v>125416.46</v>
      </c>
      <c r="H29" s="3499" t="s">
        <v>3683</v>
      </c>
      <c r="I29" s="3499" t="s">
        <v>3684</v>
      </c>
      <c r="J29" s="3893"/>
      <c r="K29" s="3894" t="s">
        <v>3777</v>
      </c>
      <c r="L29" s="3500"/>
      <c r="M29" s="3500"/>
      <c r="N29" s="3500"/>
      <c r="O29" s="3500"/>
      <c r="P29" s="3500"/>
      <c r="Q29" s="3500"/>
      <c r="R29" s="3500"/>
      <c r="S29" s="3500"/>
      <c r="T29" s="3500"/>
      <c r="U29" s="3500"/>
      <c r="V29" s="3500"/>
      <c r="W29" s="3500"/>
      <c r="X29" s="3500"/>
      <c r="Y29" s="3500"/>
      <c r="Z29" s="3500"/>
      <c r="AA29" s="3500"/>
      <c r="AB29" s="3500"/>
      <c r="AC29" s="3500"/>
      <c r="AD29" s="3500"/>
      <c r="AE29" s="3500"/>
      <c r="AF29" s="3500"/>
      <c r="AG29" s="3500"/>
      <c r="AH29" s="3500"/>
      <c r="AI29" s="3506"/>
      <c r="AJ29" s="3506"/>
      <c r="AK29" s="3506"/>
      <c r="AL29" s="3506"/>
      <c r="AM29" s="3506"/>
      <c r="AN29" s="3506"/>
      <c r="AO29" s="3506"/>
      <c r="AP29" s="3506"/>
      <c r="AQ29" s="3506"/>
      <c r="AR29" s="3506"/>
    </row>
    <row r="30" spans="1:44" ht="49.5">
      <c r="A30" s="3507" t="s">
        <v>3685</v>
      </c>
      <c r="B30" s="3480" t="s">
        <v>3686</v>
      </c>
      <c r="C30" s="3480" t="s">
        <v>3687</v>
      </c>
      <c r="D30" s="3480" t="s">
        <v>3632</v>
      </c>
      <c r="E30" s="3481" t="s">
        <v>3688</v>
      </c>
      <c r="F30" s="3482">
        <v>4257.28</v>
      </c>
      <c r="G30" s="3483">
        <v>323730.67</v>
      </c>
      <c r="H30" s="3481" t="s">
        <v>3689</v>
      </c>
      <c r="I30" s="3483" t="s">
        <v>3690</v>
      </c>
      <c r="J30" s="3488">
        <v>2.65</v>
      </c>
      <c r="K30" s="3477">
        <f t="shared" si="2"/>
        <v>4257.28</v>
      </c>
      <c r="L30" s="3489">
        <f t="shared" si="0"/>
        <v>11281.791999999999</v>
      </c>
      <c r="M30" s="3488"/>
      <c r="N30" s="3488"/>
      <c r="O30" s="3488"/>
      <c r="P30" s="3488"/>
      <c r="Q30" s="3488"/>
      <c r="R30" s="3488"/>
      <c r="S30" s="3488"/>
      <c r="T30" s="3488"/>
      <c r="U30" s="3488"/>
      <c r="V30" s="3488"/>
      <c r="W30" s="3488"/>
      <c r="X30" s="3488"/>
      <c r="Y30" s="3488"/>
      <c r="Z30" s="3488"/>
      <c r="AA30" s="3488"/>
      <c r="AB30" s="3488"/>
      <c r="AC30" s="3488"/>
      <c r="AD30" s="3488"/>
      <c r="AE30" s="3488"/>
      <c r="AF30" s="3488"/>
      <c r="AG30" s="3488"/>
      <c r="AH30" s="3488"/>
      <c r="AI30" s="3493"/>
      <c r="AJ30" s="3493"/>
      <c r="AK30" s="3493"/>
      <c r="AL30" s="3493"/>
      <c r="AM30" s="3493"/>
      <c r="AN30" s="3493"/>
      <c r="AO30" s="3493"/>
      <c r="AP30" s="3493"/>
      <c r="AQ30" s="3493"/>
      <c r="AR30" s="3493"/>
    </row>
    <row r="31" spans="1:44" ht="33">
      <c r="A31" s="3584" t="s">
        <v>3691</v>
      </c>
      <c r="B31" s="3480" t="s">
        <v>3692</v>
      </c>
      <c r="C31" s="3480" t="s">
        <v>3693</v>
      </c>
      <c r="D31" s="3480" t="s">
        <v>3632</v>
      </c>
      <c r="E31" s="3508" t="s">
        <v>3694</v>
      </c>
      <c r="F31" s="3482">
        <v>275.57</v>
      </c>
      <c r="G31" s="3483">
        <v>115670.52</v>
      </c>
      <c r="H31" s="3481" t="s">
        <v>3695</v>
      </c>
      <c r="I31" s="3483" t="s">
        <v>3696</v>
      </c>
      <c r="J31" s="3488">
        <v>4.5999999999999996</v>
      </c>
      <c r="K31" s="3477">
        <f t="shared" si="2"/>
        <v>275.57</v>
      </c>
      <c r="L31" s="3489">
        <f t="shared" si="0"/>
        <v>1267.6219999999998</v>
      </c>
      <c r="M31" s="3488"/>
      <c r="N31" s="3488"/>
      <c r="O31" s="3488"/>
      <c r="P31" s="3488"/>
      <c r="Q31" s="3488"/>
      <c r="R31" s="3488"/>
      <c r="S31" s="3488"/>
      <c r="T31" s="3488"/>
      <c r="U31" s="3488"/>
      <c r="V31" s="3488"/>
      <c r="W31" s="3488"/>
      <c r="X31" s="3488"/>
      <c r="Y31" s="3488"/>
      <c r="Z31" s="3488"/>
      <c r="AA31" s="3488"/>
      <c r="AB31" s="3488"/>
      <c r="AC31" s="3488"/>
      <c r="AD31" s="3488"/>
      <c r="AE31" s="3488"/>
      <c r="AF31" s="3488"/>
      <c r="AG31" s="3488"/>
      <c r="AH31" s="3488"/>
      <c r="AI31" s="3493"/>
      <c r="AJ31" s="3493"/>
      <c r="AK31" s="3493"/>
      <c r="AL31" s="3493"/>
      <c r="AM31" s="3493"/>
      <c r="AN31" s="3493"/>
      <c r="AO31" s="3493"/>
      <c r="AP31" s="3493"/>
      <c r="AQ31" s="3493"/>
      <c r="AR31" s="3493"/>
    </row>
    <row r="32" spans="1:44" ht="33">
      <c r="A32" s="3585"/>
      <c r="B32" s="3480" t="s">
        <v>3697</v>
      </c>
      <c r="C32" s="3480" t="s">
        <v>3698</v>
      </c>
      <c r="D32" s="3480" t="s">
        <v>3632</v>
      </c>
      <c r="E32" s="3494">
        <v>4.3600000000000003</v>
      </c>
      <c r="F32" s="3482">
        <v>1128.26</v>
      </c>
      <c r="G32" s="3483">
        <f>439612.41+2790.75</f>
        <v>442403.16</v>
      </c>
      <c r="H32" s="3481" t="s">
        <v>3699</v>
      </c>
      <c r="I32" s="3483" t="s">
        <v>3700</v>
      </c>
      <c r="J32" s="3893">
        <f>E32</f>
        <v>4.3600000000000003</v>
      </c>
      <c r="K32" s="3477">
        <f t="shared" si="2"/>
        <v>1128.26</v>
      </c>
      <c r="L32" s="3489">
        <f t="shared" si="0"/>
        <v>4919.2136</v>
      </c>
      <c r="M32" s="3488"/>
      <c r="N32" s="3488"/>
      <c r="O32" s="3488"/>
      <c r="P32" s="3488"/>
      <c r="Q32" s="3488"/>
      <c r="R32" s="3488"/>
      <c r="S32" s="3488"/>
      <c r="T32" s="3488"/>
      <c r="U32" s="3488"/>
      <c r="V32" s="3488"/>
      <c r="W32" s="3488"/>
      <c r="X32" s="3488"/>
      <c r="Y32" s="3488"/>
      <c r="Z32" s="3488"/>
      <c r="AA32" s="3488"/>
      <c r="AB32" s="3488"/>
      <c r="AC32" s="3488"/>
      <c r="AD32" s="3488"/>
      <c r="AE32" s="3488"/>
      <c r="AF32" s="3488"/>
      <c r="AG32" s="3488"/>
      <c r="AH32" s="3488"/>
      <c r="AI32" s="3493"/>
      <c r="AJ32" s="3493"/>
      <c r="AK32" s="3493"/>
      <c r="AL32" s="3493"/>
      <c r="AM32" s="3493"/>
      <c r="AN32" s="3493"/>
      <c r="AO32" s="3493"/>
      <c r="AP32" s="3493"/>
      <c r="AQ32" s="3493"/>
      <c r="AR32" s="3493"/>
    </row>
    <row r="33" spans="1:44" ht="28.5" customHeight="1">
      <c r="A33" s="3585"/>
      <c r="B33" s="3486" t="s">
        <v>3701</v>
      </c>
      <c r="C33" s="3486" t="s">
        <v>3702</v>
      </c>
      <c r="D33" s="3480" t="s">
        <v>3632</v>
      </c>
      <c r="E33" s="3494">
        <v>4.4000000000000004</v>
      </c>
      <c r="F33" s="3487">
        <v>201.02</v>
      </c>
      <c r="G33" s="3483">
        <v>80709.53</v>
      </c>
      <c r="H33" s="3481" t="s">
        <v>3703</v>
      </c>
      <c r="I33" s="3483" t="s">
        <v>3704</v>
      </c>
      <c r="J33" s="3893">
        <f t="shared" ref="J33:J35" si="3">E33</f>
        <v>4.4000000000000004</v>
      </c>
      <c r="K33" s="3477">
        <f t="shared" si="2"/>
        <v>201.02</v>
      </c>
      <c r="L33" s="3489">
        <f t="shared" si="0"/>
        <v>884.48800000000017</v>
      </c>
      <c r="M33" s="3488"/>
      <c r="N33" s="3488"/>
      <c r="O33" s="3488"/>
      <c r="P33" s="3488"/>
      <c r="Q33" s="3488"/>
      <c r="R33" s="3488"/>
      <c r="S33" s="3488"/>
      <c r="T33" s="3488"/>
      <c r="U33" s="3488"/>
      <c r="V33" s="3488"/>
      <c r="W33" s="3488"/>
      <c r="X33" s="3488"/>
      <c r="Y33" s="3488"/>
      <c r="Z33" s="3488"/>
      <c r="AA33" s="3488"/>
      <c r="AB33" s="3488"/>
      <c r="AC33" s="3488"/>
      <c r="AD33" s="3488"/>
      <c r="AE33" s="3488"/>
      <c r="AF33" s="3488"/>
      <c r="AG33" s="3488"/>
      <c r="AH33" s="3488"/>
      <c r="AI33" s="3493"/>
      <c r="AJ33" s="3493"/>
      <c r="AK33" s="3493"/>
      <c r="AL33" s="3493"/>
      <c r="AM33" s="3493"/>
      <c r="AN33" s="3493"/>
      <c r="AO33" s="3493"/>
      <c r="AP33" s="3493"/>
      <c r="AQ33" s="3493"/>
      <c r="AR33" s="3493"/>
    </row>
    <row r="34" spans="1:44" s="3490" customFormat="1" ht="33">
      <c r="A34" s="3585"/>
      <c r="B34" s="3486" t="s">
        <v>3705</v>
      </c>
      <c r="C34" s="3486" t="s">
        <v>3706</v>
      </c>
      <c r="D34" s="3480" t="s">
        <v>3632</v>
      </c>
      <c r="E34" s="3494">
        <v>4.0999999999999996</v>
      </c>
      <c r="F34" s="3487">
        <v>215.99</v>
      </c>
      <c r="G34" s="3483">
        <v>80807.259999999995</v>
      </c>
      <c r="H34" s="3481" t="s">
        <v>3707</v>
      </c>
      <c r="I34" s="3483" t="s">
        <v>3608</v>
      </c>
      <c r="J34" s="3893">
        <f t="shared" si="3"/>
        <v>4.0999999999999996</v>
      </c>
      <c r="K34" s="3477">
        <f t="shared" si="2"/>
        <v>215.99</v>
      </c>
      <c r="L34" s="3489">
        <f t="shared" si="0"/>
        <v>885.55899999999997</v>
      </c>
      <c r="M34" s="3489"/>
      <c r="N34" s="3489"/>
      <c r="O34" s="3489"/>
      <c r="P34" s="3489"/>
      <c r="Q34" s="3489"/>
      <c r="R34" s="3489"/>
      <c r="S34" s="3489"/>
      <c r="T34" s="3489"/>
      <c r="U34" s="3489"/>
      <c r="V34" s="3489"/>
      <c r="W34" s="3489"/>
      <c r="X34" s="3489"/>
      <c r="Y34" s="3489"/>
      <c r="Z34" s="3489"/>
      <c r="AA34" s="3489"/>
      <c r="AB34" s="3489"/>
      <c r="AC34" s="3489"/>
      <c r="AD34" s="3489"/>
      <c r="AE34" s="3489"/>
      <c r="AF34" s="3489"/>
      <c r="AG34" s="3489"/>
      <c r="AH34" s="3489"/>
      <c r="AI34" s="3489"/>
      <c r="AJ34" s="3489"/>
      <c r="AK34" s="3489"/>
      <c r="AL34" s="3489"/>
      <c r="AM34" s="3489"/>
      <c r="AN34" s="3489"/>
      <c r="AO34" s="3489"/>
      <c r="AP34" s="3489"/>
      <c r="AQ34" s="3489"/>
      <c r="AR34" s="3489"/>
    </row>
    <row r="35" spans="1:44" s="3490" customFormat="1" ht="33.75" customHeight="1">
      <c r="A35" s="3585"/>
      <c r="B35" s="3486" t="s">
        <v>3708</v>
      </c>
      <c r="C35" s="3486" t="s">
        <v>3709</v>
      </c>
      <c r="D35" s="3480" t="s">
        <v>3632</v>
      </c>
      <c r="E35" s="3494">
        <v>4.0999999999999996</v>
      </c>
      <c r="F35" s="3487">
        <v>171.28</v>
      </c>
      <c r="G35" s="3483">
        <v>64080.13</v>
      </c>
      <c r="H35" s="3481" t="s">
        <v>3707</v>
      </c>
      <c r="I35" s="3483" t="s">
        <v>3608</v>
      </c>
      <c r="J35" s="3893">
        <f t="shared" si="3"/>
        <v>4.0999999999999996</v>
      </c>
      <c r="K35" s="3477">
        <f t="shared" si="2"/>
        <v>171.28</v>
      </c>
      <c r="L35" s="3489">
        <f t="shared" si="0"/>
        <v>702.24799999999993</v>
      </c>
      <c r="M35" s="3489"/>
      <c r="N35" s="3489"/>
      <c r="O35" s="3489"/>
      <c r="P35" s="3489"/>
      <c r="Q35" s="3489"/>
      <c r="R35" s="3489"/>
      <c r="S35" s="3489"/>
      <c r="T35" s="3489"/>
      <c r="U35" s="3489"/>
      <c r="V35" s="3489"/>
      <c r="W35" s="3489"/>
      <c r="X35" s="3489"/>
      <c r="Y35" s="3489"/>
      <c r="Z35" s="3489"/>
      <c r="AA35" s="3489"/>
      <c r="AB35" s="3489"/>
      <c r="AC35" s="3489"/>
      <c r="AD35" s="3489"/>
      <c r="AE35" s="3489"/>
      <c r="AF35" s="3489"/>
      <c r="AG35" s="3489"/>
      <c r="AH35" s="3489"/>
      <c r="AI35" s="3489"/>
      <c r="AJ35" s="3489"/>
      <c r="AK35" s="3489"/>
      <c r="AL35" s="3489"/>
      <c r="AM35" s="3489"/>
      <c r="AN35" s="3489"/>
      <c r="AO35" s="3489"/>
      <c r="AP35" s="3489"/>
      <c r="AQ35" s="3489"/>
      <c r="AR35" s="3489"/>
    </row>
    <row r="36" spans="1:44" s="3490" customFormat="1" ht="27" customHeight="1">
      <c r="A36" s="3585"/>
      <c r="B36" s="3486" t="s">
        <v>3710</v>
      </c>
      <c r="C36" s="3486" t="s">
        <v>3711</v>
      </c>
      <c r="D36" s="3480" t="s">
        <v>3632</v>
      </c>
      <c r="E36" s="3509" t="s">
        <v>3712</v>
      </c>
      <c r="F36" s="3487">
        <v>1093.76</v>
      </c>
      <c r="G36" s="3483">
        <v>420181.58</v>
      </c>
      <c r="H36" s="3481" t="s">
        <v>3713</v>
      </c>
      <c r="I36" s="3483" t="s">
        <v>3714</v>
      </c>
      <c r="J36" s="3489">
        <v>4.21</v>
      </c>
      <c r="K36" s="3477">
        <f t="shared" si="2"/>
        <v>1093.76</v>
      </c>
      <c r="L36" s="3489">
        <f t="shared" si="0"/>
        <v>4604.7295999999997</v>
      </c>
      <c r="M36" s="3489"/>
      <c r="N36" s="3489"/>
      <c r="O36" s="3489"/>
      <c r="P36" s="3489"/>
      <c r="Q36" s="3489"/>
      <c r="R36" s="3489"/>
      <c r="S36" s="3489"/>
      <c r="T36" s="3489"/>
      <c r="U36" s="3489"/>
      <c r="V36" s="3489"/>
      <c r="W36" s="3489"/>
      <c r="X36" s="3489"/>
      <c r="Y36" s="3489"/>
      <c r="Z36" s="3489"/>
      <c r="AA36" s="3489"/>
      <c r="AB36" s="3489"/>
      <c r="AC36" s="3489"/>
      <c r="AD36" s="3489"/>
      <c r="AE36" s="3489"/>
      <c r="AF36" s="3489"/>
      <c r="AG36" s="3489"/>
      <c r="AH36" s="3489"/>
      <c r="AI36" s="3489"/>
      <c r="AJ36" s="3489"/>
      <c r="AK36" s="3489"/>
      <c r="AL36" s="3489"/>
      <c r="AM36" s="3489"/>
      <c r="AN36" s="3489"/>
      <c r="AO36" s="3489"/>
      <c r="AP36" s="3489"/>
      <c r="AQ36" s="3489"/>
      <c r="AR36" s="3489"/>
    </row>
    <row r="37" spans="1:44" s="3490" customFormat="1" ht="27" customHeight="1">
      <c r="A37" s="3585"/>
      <c r="B37" s="3486" t="s">
        <v>3715</v>
      </c>
      <c r="C37" s="3486" t="s">
        <v>3716</v>
      </c>
      <c r="D37" s="3480" t="s">
        <v>3632</v>
      </c>
      <c r="E37" s="3494">
        <v>4</v>
      </c>
      <c r="F37" s="3487">
        <v>677.38</v>
      </c>
      <c r="G37" s="3483">
        <f>149739.61+97504.09</f>
        <v>247243.69999999998</v>
      </c>
      <c r="H37" s="3481" t="s">
        <v>3717</v>
      </c>
      <c r="I37" s="3483" t="s">
        <v>3608</v>
      </c>
      <c r="J37" s="3489">
        <v>4</v>
      </c>
      <c r="K37" s="3477">
        <f t="shared" si="2"/>
        <v>677.38</v>
      </c>
      <c r="L37" s="3489">
        <f t="shared" si="0"/>
        <v>2709.52</v>
      </c>
      <c r="M37" s="3489"/>
      <c r="N37" s="3489"/>
      <c r="O37" s="3489"/>
      <c r="P37" s="3489"/>
      <c r="Q37" s="3489"/>
      <c r="R37" s="3489"/>
      <c r="S37" s="3489"/>
      <c r="T37" s="3489"/>
      <c r="U37" s="3489"/>
      <c r="V37" s="3489"/>
      <c r="W37" s="3489"/>
      <c r="X37" s="3489"/>
      <c r="Y37" s="3489"/>
      <c r="Z37" s="3489"/>
      <c r="AA37" s="3489"/>
      <c r="AB37" s="3489"/>
      <c r="AC37" s="3489"/>
      <c r="AD37" s="3489"/>
      <c r="AE37" s="3489"/>
      <c r="AF37" s="3489"/>
      <c r="AG37" s="3489"/>
      <c r="AH37" s="3489"/>
      <c r="AI37" s="3489"/>
      <c r="AJ37" s="3489"/>
      <c r="AK37" s="3489"/>
      <c r="AL37" s="3489"/>
      <c r="AM37" s="3489"/>
      <c r="AN37" s="3489"/>
      <c r="AO37" s="3489"/>
      <c r="AP37" s="3489"/>
      <c r="AQ37" s="3489"/>
      <c r="AR37" s="3489"/>
    </row>
    <row r="38" spans="1:44" s="3501" customFormat="1" ht="22.5" customHeight="1">
      <c r="A38" s="3586"/>
      <c r="B38" s="3510" t="s">
        <v>3718</v>
      </c>
      <c r="C38" s="3510" t="s">
        <v>3719</v>
      </c>
      <c r="D38" s="3510"/>
      <c r="E38" s="3497">
        <v>4.2</v>
      </c>
      <c r="F38" s="3511">
        <v>390.71</v>
      </c>
      <c r="G38" s="3499">
        <v>0</v>
      </c>
      <c r="H38" s="3512" t="s">
        <v>3720</v>
      </c>
      <c r="I38" s="3499" t="s">
        <v>3721</v>
      </c>
      <c r="J38" s="3500"/>
      <c r="K38" s="3894" t="s">
        <v>3777</v>
      </c>
      <c r="L38" s="3500"/>
      <c r="M38" s="3500"/>
      <c r="N38" s="3500"/>
      <c r="O38" s="3500"/>
      <c r="P38" s="3500"/>
      <c r="Q38" s="3500"/>
      <c r="R38" s="3500"/>
      <c r="S38" s="3500"/>
      <c r="T38" s="3500"/>
      <c r="U38" s="3500"/>
      <c r="V38" s="3500"/>
      <c r="W38" s="3500"/>
      <c r="X38" s="3500"/>
      <c r="Y38" s="3500"/>
      <c r="Z38" s="3500"/>
      <c r="AA38" s="3500"/>
      <c r="AB38" s="3500"/>
      <c r="AC38" s="3500"/>
      <c r="AD38" s="3500"/>
      <c r="AE38" s="3500"/>
      <c r="AF38" s="3500"/>
      <c r="AG38" s="3500"/>
      <c r="AH38" s="3500"/>
      <c r="AI38" s="3506"/>
      <c r="AJ38" s="3506"/>
      <c r="AK38" s="3506"/>
      <c r="AL38" s="3506"/>
      <c r="AM38" s="3506"/>
      <c r="AN38" s="3506"/>
      <c r="AO38" s="3506"/>
      <c r="AP38" s="3506"/>
      <c r="AQ38" s="3506"/>
      <c r="AR38" s="3506"/>
    </row>
    <row r="39" spans="1:44" ht="24.75" customHeight="1">
      <c r="A39" s="3572" t="s">
        <v>3722</v>
      </c>
      <c r="B39" s="3572"/>
      <c r="C39" s="3573"/>
      <c r="D39" s="3513"/>
      <c r="E39" s="3514"/>
      <c r="F39" s="3515">
        <f>SUM(F5:F38)</f>
        <v>17447.39</v>
      </c>
      <c r="G39" s="3515">
        <f>SUM(G5:G38)</f>
        <v>5953372.9699999997</v>
      </c>
      <c r="H39" s="3516"/>
      <c r="I39" s="3517"/>
      <c r="J39" s="3488">
        <f>L39/K39</f>
        <v>4.4076215361199829</v>
      </c>
      <c r="K39" s="3488">
        <f>SUM(K5:K38)</f>
        <v>16898.68</v>
      </c>
      <c r="L39" s="3488">
        <f>SUM(L5:L38)</f>
        <v>74482.985900000029</v>
      </c>
      <c r="M39" s="3488"/>
      <c r="N39" s="3488"/>
      <c r="O39" s="3488"/>
      <c r="P39" s="3488"/>
      <c r="Q39" s="3488"/>
      <c r="R39" s="3488"/>
      <c r="S39" s="3488"/>
      <c r="T39" s="3488"/>
      <c r="U39" s="3488"/>
      <c r="V39" s="3488"/>
      <c r="W39" s="3488"/>
      <c r="X39" s="3488"/>
      <c r="Y39" s="3488"/>
      <c r="Z39" s="3488"/>
      <c r="AA39" s="3488"/>
      <c r="AB39" s="3488"/>
      <c r="AC39" s="3488"/>
      <c r="AD39" s="3488"/>
      <c r="AE39" s="3488"/>
      <c r="AF39" s="3488"/>
      <c r="AG39" s="3518"/>
      <c r="AH39" s="3518"/>
      <c r="AI39" s="3518"/>
      <c r="AJ39" s="3518"/>
      <c r="AK39" s="3518"/>
      <c r="AL39" s="3518"/>
      <c r="AM39" s="3518"/>
      <c r="AN39" s="3518"/>
      <c r="AO39" s="3518"/>
      <c r="AP39" s="3518"/>
      <c r="AQ39" s="3518"/>
      <c r="AR39" s="3518"/>
    </row>
    <row r="43" spans="1:44">
      <c r="F43" s="3519"/>
    </row>
  </sheetData>
  <mergeCells count="22">
    <mergeCell ref="G14:G15"/>
    <mergeCell ref="H14:H15"/>
    <mergeCell ref="I14:I15"/>
    <mergeCell ref="A16:A29"/>
    <mergeCell ref="A31:A38"/>
    <mergeCell ref="E14:E15"/>
    <mergeCell ref="F14:F15"/>
    <mergeCell ref="A39:C39"/>
    <mergeCell ref="A5:A15"/>
    <mergeCell ref="B14:B15"/>
    <mergeCell ref="C14:C15"/>
    <mergeCell ref="D14:D15"/>
    <mergeCell ref="A1:I1"/>
    <mergeCell ref="A2:A4"/>
    <mergeCell ref="B2:B4"/>
    <mergeCell ref="C2:C4"/>
    <mergeCell ref="D2:D4"/>
    <mergeCell ref="E2:E4"/>
    <mergeCell ref="F2:F4"/>
    <mergeCell ref="G2:G4"/>
    <mergeCell ref="H2:H4"/>
    <mergeCell ref="I2:I4"/>
  </mergeCells>
  <phoneticPr fontId="137"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0" t="s">
        <v>949</v>
      </c>
      <c r="B1" s="3540"/>
      <c r="C1" s="3540"/>
      <c r="D1" s="3540"/>
    </row>
    <row r="2" spans="1:4" ht="18">
      <c r="A2" s="3541" t="s">
        <v>933</v>
      </c>
      <c r="B2" s="3541"/>
      <c r="C2" s="3541"/>
      <c r="D2" s="354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41" t="s">
        <v>939</v>
      </c>
      <c r="B6" s="3541"/>
      <c r="C6" s="3541"/>
      <c r="D6" s="354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2"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43" t="str">
        <f>IF(项目基本情况!B8="抵押","4.本次评估估价师所知悉的法定优先受偿款情况说明如下：","——")</f>
        <v>4.本次评估估价师所知悉的法定优先受偿款情况说明如下：</v>
      </c>
      <c r="B14" s="3544"/>
      <c r="C14" s="3544"/>
      <c r="D14" s="3544"/>
    </row>
    <row r="15" spans="1:4" ht="42" customHeight="1">
      <c r="A15" s="3543"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3"/>
      <c r="C15" s="3543"/>
      <c r="D15" s="3543"/>
    </row>
    <row r="16" spans="1:4" ht="30" customHeight="1">
      <c r="A16" s="3546" t="s">
        <v>943</v>
      </c>
      <c r="B16" s="3546"/>
      <c r="C16" s="3546"/>
      <c r="D16" s="3546"/>
    </row>
    <row r="17" spans="1:4" ht="144" customHeight="1">
      <c r="A17" s="3546" t="s">
        <v>944</v>
      </c>
      <c r="B17" s="3546"/>
      <c r="C17" s="3546"/>
      <c r="D17" s="3546"/>
    </row>
    <row r="18" spans="1:4" ht="15.75" customHeight="1">
      <c r="A18" s="3543" t="str">
        <f>IF(项目基本情况!B8="抵押",结果表!K120,"——")</f>
        <v>故，本次评估不存在</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3"/>
      <c r="C20" s="3543"/>
      <c r="D20" s="3543"/>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7"/>
      <c r="C21" s="3547"/>
      <c r="D21" s="3547"/>
    </row>
    <row r="22" spans="1:4" ht="18.75" customHeight="1">
      <c r="A22" s="3548" t="s">
        <v>945</v>
      </c>
      <c r="B22" s="3548"/>
      <c r="C22" s="3548"/>
      <c r="D22" s="354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5">
        <v>42551</v>
      </c>
      <c r="D31" s="35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4" t="s">
        <v>956</v>
      </c>
      <c r="B15" s="3549" t="s">
        <v>109</v>
      </c>
      <c r="C15" s="3550"/>
    </row>
    <row r="16" spans="1:7" ht="13.5">
      <c r="A16" s="3555"/>
      <c r="B16" s="3549" t="s">
        <v>42</v>
      </c>
      <c r="C16" s="3550"/>
    </row>
    <row r="17" spans="1:3" ht="13.5">
      <c r="A17" s="3555"/>
      <c r="B17" s="3552" t="s">
        <v>957</v>
      </c>
      <c r="C17" s="1530" t="s">
        <v>956</v>
      </c>
    </row>
    <row r="18" spans="1:3" ht="13.5">
      <c r="A18" s="3555"/>
      <c r="B18" s="3552"/>
      <c r="C18" s="1530" t="s">
        <v>958</v>
      </c>
    </row>
    <row r="19" spans="1:3" ht="13.5">
      <c r="A19" s="3555"/>
      <c r="B19" s="3552"/>
      <c r="C19" s="1530" t="s">
        <v>959</v>
      </c>
    </row>
    <row r="20" spans="1:3" ht="13.5">
      <c r="A20" s="3556"/>
      <c r="B20" s="3551" t="s">
        <v>960</v>
      </c>
      <c r="C20" s="3550"/>
    </row>
    <row r="21" spans="1:3" ht="13.5">
      <c r="A21" s="1531" t="s">
        <v>961</v>
      </c>
      <c r="B21" s="1532"/>
      <c r="C21" s="1533"/>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30" t="s">
        <v>967</v>
      </c>
    </row>
    <row r="26" spans="1:3" ht="13.5">
      <c r="A26" s="3553"/>
      <c r="B26" s="3552"/>
      <c r="C26" s="1530" t="s">
        <v>968</v>
      </c>
    </row>
    <row r="27" spans="1:3" ht="13.5">
      <c r="A27" s="3553"/>
      <c r="B27" s="3552"/>
      <c r="C27" s="1530" t="s">
        <v>969</v>
      </c>
    </row>
    <row r="28" spans="1:3" ht="13.5">
      <c r="A28" s="3553"/>
      <c r="B28" s="3552"/>
      <c r="C28" s="1530" t="s">
        <v>970</v>
      </c>
    </row>
    <row r="29" spans="1:3" ht="13.5">
      <c r="A29" s="3553"/>
      <c r="B29" s="3552"/>
      <c r="C29" s="1530" t="s">
        <v>971</v>
      </c>
    </row>
    <row r="30" spans="1:3" ht="13.5">
      <c r="A30" s="3553"/>
      <c r="B30" s="3552"/>
      <c r="C30" s="1530" t="s">
        <v>972</v>
      </c>
    </row>
    <row r="31" spans="1:3" ht="13.5">
      <c r="A31" s="3553"/>
      <c r="B31" s="3552"/>
      <c r="C31" s="1530" t="s">
        <v>973</v>
      </c>
    </row>
    <row r="32" spans="1:3" ht="13.5">
      <c r="A32" s="3553"/>
      <c r="B32" s="3552"/>
      <c r="C32" s="1530" t="s">
        <v>974</v>
      </c>
    </row>
    <row r="33" spans="1:3" ht="13.5">
      <c r="A33" s="3553"/>
      <c r="B33" s="355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2429</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57" t="s">
        <v>2159</v>
      </c>
      <c r="B17" s="3557"/>
      <c r="C17" s="3557"/>
      <c r="D17" s="3557"/>
      <c r="E17" s="3557"/>
      <c r="F17" s="3557"/>
      <c r="G17" s="3557"/>
      <c r="H17" s="3557"/>
    </row>
    <row r="18" spans="1:8" ht="24" customHeight="1">
      <c r="A18" s="3558" t="s">
        <v>2160</v>
      </c>
      <c r="B18" s="3558"/>
      <c r="C18" s="3558"/>
      <c r="D18" s="2339"/>
      <c r="E18" s="3559" t="s">
        <v>2161</v>
      </c>
      <c r="F18" s="3558"/>
      <c r="G18" s="3558"/>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2430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'收益法-文化娱乐'!Print_Area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2023-09-01T01:55:05Z</dcterms:modified>
</cp:coreProperties>
</file>