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3.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C:\Users\a\Desktop\吴姐-石景山\"/>
    </mc:Choice>
  </mc:AlternateContent>
  <xr:revisionPtr revIDLastSave="0" documentId="13_ncr:1_{72BF8B44-FE6C-4F49-A24B-ECF0E0C37715}" xr6:coauthVersionLast="47" xr6:coauthVersionMax="47" xr10:uidLastSave="{00000000-0000-0000-0000-000000000000}"/>
  <bookViews>
    <workbookView xWindow="-108" yWindow="-108" windowWidth="20376" windowHeight="12216" tabRatio="899" firstSheet="12"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67" r:id="rId21"/>
    <sheet name="典型户型修正" sheetId="31" state="hidden" r:id="rId22"/>
    <sheet name="信息" sheetId="80" r:id="rId23"/>
    <sheet name="租约" sheetId="81" r:id="rId24"/>
    <sheet name="假设开发法" sheetId="12" state="hidden" r:id="rId25"/>
    <sheet name="收益法" sheetId="15" state="hidden" r:id="rId26"/>
    <sheet name="案例" sheetId="82" r:id="rId27"/>
    <sheet name="收益法-酒店模型" sheetId="77" state="hidden" r:id="rId28"/>
    <sheet name="收益法（汇总）" sheetId="70"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分户平面图计算各层面积" sheetId="83" r:id="rId38"/>
    <sheet name="成本法 (元)" sheetId="69" r:id="rId39"/>
    <sheet name="基准地价修正" sheetId="43"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19"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19">'比较法-商业'!$A$1:$K$54,'比较法-商业'!$A$57:$M$131</definedName>
    <definedName name="_xlnm.Print_Area" localSheetId="29">'比较法-住宅'!$A$1:$K$54,'比较法-住宅'!$A$57:$M$131</definedName>
    <definedName name="_xlnm.Print_Area" localSheetId="18">成本法!$A$1:$G$57</definedName>
    <definedName name="_xlnm.Print_Area" localSheetId="38">'成本法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9">基准地价修正!$A$1:$J$44,基准地价修正!$A$47:$H$101,基准地价修正!$R$1:$V$16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20">'收益法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13" i="80" l="1"/>
  <c r="M13" i="80"/>
  <c r="G15" i="80"/>
  <c r="H14" i="80"/>
  <c r="H13" i="80"/>
  <c r="H15" i="80"/>
  <c r="G10" i="80"/>
  <c r="G9" i="80"/>
  <c r="C15" i="80"/>
  <c r="B15" i="80"/>
  <c r="U6" i="1" s="1"/>
  <c r="C14" i="80"/>
  <c r="C13" i="80"/>
  <c r="H7" i="81"/>
  <c r="G7" i="81"/>
  <c r="H6" i="81"/>
  <c r="G6" i="81"/>
  <c r="H5" i="81"/>
  <c r="G5" i="81"/>
  <c r="H4" i="81"/>
  <c r="G4" i="81"/>
  <c r="G2" i="81"/>
  <c r="H3" i="81"/>
  <c r="G3" i="81"/>
  <c r="F7" i="81"/>
  <c r="F6" i="81"/>
  <c r="F5" i="81"/>
  <c r="F4" i="81"/>
  <c r="F3" i="81"/>
  <c r="D7" i="81"/>
  <c r="D6" i="81"/>
  <c r="D5" i="81"/>
  <c r="D4" i="81"/>
  <c r="D3" i="81"/>
  <c r="E6" i="81"/>
  <c r="E7" i="81"/>
  <c r="E5" i="81"/>
  <c r="E4" i="81"/>
  <c r="E3" i="81"/>
  <c r="B7" i="81"/>
  <c r="B6" i="81"/>
  <c r="B5" i="81"/>
  <c r="B4" i="81"/>
  <c r="B3" i="81"/>
  <c r="A7" i="81"/>
  <c r="A6" i="81"/>
  <c r="A5" i="81"/>
  <c r="A4" i="81"/>
  <c r="A3" i="81"/>
  <c r="B19" i="82"/>
  <c r="C11" i="4"/>
  <c r="E127" i="33"/>
  <c r="D127" i="33" s="1"/>
  <c r="C127" i="33" s="1"/>
  <c r="F127" i="33"/>
  <c r="H18" i="81"/>
  <c r="H19" i="81"/>
  <c r="H20" i="81"/>
  <c r="H21" i="81"/>
  <c r="H22" i="81"/>
  <c r="H23" i="81"/>
  <c r="H24" i="81"/>
  <c r="H25" i="81"/>
  <c r="H26" i="81"/>
  <c r="H27" i="81"/>
  <c r="H28" i="81"/>
  <c r="H29" i="81"/>
  <c r="H30" i="81"/>
  <c r="H31" i="81"/>
  <c r="H32" i="81"/>
  <c r="H33" i="81"/>
  <c r="H34" i="81"/>
  <c r="H35" i="81"/>
  <c r="H36" i="81"/>
  <c r="H37" i="81"/>
  <c r="H38" i="81"/>
  <c r="H17" i="81"/>
  <c r="H16" i="81"/>
  <c r="I48" i="81"/>
  <c r="I49" i="81"/>
  <c r="I50" i="81"/>
  <c r="I51" i="81"/>
  <c r="I52" i="81"/>
  <c r="I53" i="81"/>
  <c r="I54" i="81"/>
  <c r="I55" i="81"/>
  <c r="I56" i="81"/>
  <c r="I57" i="81"/>
  <c r="I58" i="81"/>
  <c r="I59" i="81"/>
  <c r="I60" i="81"/>
  <c r="I61" i="81"/>
  <c r="I62" i="81"/>
  <c r="I63" i="81"/>
  <c r="I64" i="81"/>
  <c r="I65" i="81"/>
  <c r="I47" i="81"/>
  <c r="I46" i="81"/>
  <c r="I76" i="81"/>
  <c r="I77" i="81"/>
  <c r="I78" i="81"/>
  <c r="I79" i="81"/>
  <c r="I80" i="81"/>
  <c r="I81" i="81"/>
  <c r="I82" i="81"/>
  <c r="I83" i="81"/>
  <c r="I84" i="81"/>
  <c r="I85" i="81"/>
  <c r="I86" i="81"/>
  <c r="I87" i="81"/>
  <c r="I88" i="81"/>
  <c r="I89" i="81"/>
  <c r="I90" i="81"/>
  <c r="I91" i="81"/>
  <c r="I92" i="81"/>
  <c r="I93" i="81"/>
  <c r="I75" i="81"/>
  <c r="I74" i="81"/>
  <c r="I133" i="81"/>
  <c r="I134" i="81"/>
  <c r="I135" i="81"/>
  <c r="I136" i="81"/>
  <c r="I137" i="81"/>
  <c r="I138" i="81"/>
  <c r="I139" i="81"/>
  <c r="I140" i="81"/>
  <c r="I141" i="81"/>
  <c r="I142" i="81"/>
  <c r="I143" i="81"/>
  <c r="I144" i="81"/>
  <c r="I145" i="81"/>
  <c r="I146" i="81"/>
  <c r="I147" i="81"/>
  <c r="I148" i="81"/>
  <c r="I149" i="81"/>
  <c r="I132" i="81"/>
  <c r="I131" i="81"/>
  <c r="I105" i="81"/>
  <c r="I106" i="81"/>
  <c r="I107" i="81"/>
  <c r="I108" i="81"/>
  <c r="I109" i="81"/>
  <c r="I110" i="81"/>
  <c r="I111" i="81"/>
  <c r="I112" i="81"/>
  <c r="I113" i="81"/>
  <c r="I114" i="81"/>
  <c r="I115" i="81"/>
  <c r="I116" i="81"/>
  <c r="I117" i="81"/>
  <c r="I118" i="81"/>
  <c r="I119" i="81"/>
  <c r="I120" i="81"/>
  <c r="I121" i="81"/>
  <c r="I122" i="81"/>
  <c r="I104" i="81"/>
  <c r="I103" i="81"/>
  <c r="E150" i="81"/>
  <c r="F146" i="81"/>
  <c r="F138" i="81"/>
  <c r="M128" i="81"/>
  <c r="F115" i="81"/>
  <c r="E123" i="81"/>
  <c r="U3" i="43"/>
  <c r="I15" i="3"/>
  <c r="M100" i="81"/>
  <c r="H10" i="80"/>
  <c r="L9" i="80"/>
  <c r="D13" i="31"/>
  <c r="E13" i="31"/>
  <c r="C13" i="31"/>
  <c r="F6" i="82"/>
  <c r="G7" i="31"/>
  <c r="I123" i="81" l="1"/>
  <c r="I150" i="81"/>
  <c r="I94" i="81"/>
  <c r="I66" i="81"/>
  <c r="H39" i="81"/>
  <c r="E124" i="81"/>
  <c r="J124" i="81" s="1"/>
  <c r="E151" i="81"/>
  <c r="J151" i="81" s="1"/>
  <c r="H9" i="80"/>
  <c r="E14" i="31"/>
  <c r="C19" i="82"/>
  <c r="T7" i="31"/>
  <c r="D7" i="31"/>
  <c r="E7" i="31"/>
  <c r="F7" i="31"/>
  <c r="C7" i="31"/>
  <c r="B7" i="31"/>
  <c r="T5" i="31"/>
  <c r="D5" i="31"/>
  <c r="C5" i="31"/>
  <c r="B5" i="31"/>
  <c r="D3" i="31"/>
  <c r="E3" i="31"/>
  <c r="F3" i="31"/>
  <c r="G3" i="31"/>
  <c r="H3" i="31"/>
  <c r="D4" i="31"/>
  <c r="E4" i="31"/>
  <c r="F4" i="31"/>
  <c r="G4" i="31"/>
  <c r="H4" i="31"/>
  <c r="C4" i="31"/>
  <c r="C3" i="31"/>
  <c r="I5" i="33"/>
  <c r="G5" i="33"/>
  <c r="E5" i="33"/>
  <c r="E47" i="33"/>
  <c r="C7" i="82"/>
  <c r="G47" i="33" s="1"/>
  <c r="C8" i="82"/>
  <c r="I47" i="33" s="1"/>
  <c r="C6" i="82"/>
  <c r="I10" i="33"/>
  <c r="G10" i="33"/>
  <c r="E10" i="33"/>
  <c r="E10" i="80"/>
  <c r="C10" i="80"/>
  <c r="D9" i="80"/>
  <c r="B9" i="80"/>
  <c r="E104" i="33"/>
  <c r="F104" i="33" s="1"/>
  <c r="G104" i="33" s="1"/>
  <c r="H104" i="33" s="1"/>
  <c r="D104" i="33"/>
  <c r="E89" i="33"/>
  <c r="F89" i="33" s="1"/>
  <c r="G89" i="33" s="1"/>
  <c r="D89" i="33"/>
  <c r="C66" i="33"/>
  <c r="D66" i="33"/>
  <c r="E66" i="33"/>
  <c r="I7" i="33"/>
  <c r="G7" i="33"/>
  <c r="E7" i="33"/>
  <c r="F90" i="81"/>
  <c r="F82" i="81"/>
  <c r="E94" i="81"/>
  <c r="E95" i="81" s="1"/>
  <c r="J95" i="81" s="1"/>
  <c r="M71" i="81"/>
  <c r="M13" i="81"/>
  <c r="E39" i="81"/>
  <c r="E40" i="81" s="1"/>
  <c r="J40" i="81" s="1"/>
  <c r="M43" i="81"/>
  <c r="D66" i="81"/>
  <c r="D67" i="81" s="1"/>
  <c r="J67" i="81" s="1"/>
  <c r="G62" i="81"/>
  <c r="G54" i="81"/>
  <c r="E48" i="81"/>
  <c r="F48" i="81" s="1"/>
  <c r="E49" i="81"/>
  <c r="F49" i="81" s="1"/>
  <c r="E50" i="81"/>
  <c r="F50" i="81" s="1"/>
  <c r="E51" i="81"/>
  <c r="F51" i="81" s="1"/>
  <c r="E52" i="81"/>
  <c r="F52" i="81" s="1"/>
  <c r="E53" i="81"/>
  <c r="F53" i="81" s="1"/>
  <c r="E54" i="81"/>
  <c r="F54" i="81" s="1"/>
  <c r="E55" i="81"/>
  <c r="F55" i="81" s="1"/>
  <c r="E56" i="81"/>
  <c r="F56" i="81" s="1"/>
  <c r="E57" i="81"/>
  <c r="F57" i="81" s="1"/>
  <c r="E58" i="81"/>
  <c r="F58" i="81" s="1"/>
  <c r="E59" i="81"/>
  <c r="F59" i="81" s="1"/>
  <c r="E60" i="81"/>
  <c r="F60" i="81" s="1"/>
  <c r="E61" i="81"/>
  <c r="F61" i="81" s="1"/>
  <c r="E62" i="81"/>
  <c r="F62" i="81" s="1"/>
  <c r="E63" i="81"/>
  <c r="F63" i="81" s="1"/>
  <c r="E64" i="81"/>
  <c r="F64" i="81" s="1"/>
  <c r="E65" i="81"/>
  <c r="F65" i="81" s="1"/>
  <c r="E47" i="81"/>
  <c r="F47" i="81" s="1"/>
  <c r="E46" i="81"/>
  <c r="F46" i="81" s="1"/>
  <c r="F31" i="81"/>
  <c r="F23" i="81"/>
  <c r="C9" i="80" l="1"/>
  <c r="J9" i="80"/>
  <c r="U2" i="43"/>
  <c r="E9" i="80"/>
  <c r="K9" i="80"/>
  <c r="C14" i="31"/>
  <c r="D14" i="31"/>
  <c r="N18" i="1"/>
  <c r="J49" i="67" s="1"/>
  <c r="B58" i="1"/>
  <c r="B21" i="1"/>
  <c r="I14" i="3"/>
  <c r="I13" i="3"/>
  <c r="C14" i="3"/>
  <c r="C13" i="3"/>
  <c r="D13" i="4"/>
  <c r="D3" i="4"/>
  <c r="I12" i="79"/>
  <c r="N19" i="1" l="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N21" i="1" l="1"/>
  <c r="N6" i="1" s="1"/>
  <c r="C36" i="33" s="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Y6" i="1" l="1"/>
  <c r="AD33" i="79"/>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4" i="79" l="1"/>
  <c r="AG34" i="79" s="1"/>
  <c r="S33" i="79"/>
  <c r="AG33" i="79" s="1"/>
  <c r="S35" i="79"/>
  <c r="AG35" i="79" s="1"/>
  <c r="AR18" i="79"/>
  <c r="AR19" i="79" s="1"/>
  <c r="AR20" i="79" s="1"/>
  <c r="AR21" i="79" s="1"/>
  <c r="AR22" i="79" s="1"/>
  <c r="AR23" i="79" s="1"/>
  <c r="AR24" i="79" s="1"/>
  <c r="T33" i="79"/>
  <c r="T34" i="79"/>
  <c r="T35" i="79"/>
  <c r="S20" i="79"/>
  <c r="AG20" i="79" s="1"/>
  <c r="W22" i="79"/>
  <c r="AK22" i="79" s="1"/>
  <c r="AH22" i="79"/>
  <c r="AD38" i="79"/>
  <c r="AD37" i="79"/>
  <c r="AD36" i="79"/>
  <c r="AR40" i="79"/>
  <c r="AR41" i="79" s="1"/>
  <c r="AR42" i="79" s="1"/>
  <c r="AR43" i="79" s="1"/>
  <c r="AR44" i="79" s="1"/>
  <c r="AR45" i="79" s="1"/>
  <c r="AR46" i="79" s="1"/>
  <c r="AR47" i="79" s="1"/>
  <c r="AR48" i="79" s="1"/>
  <c r="AR49" i="79" s="1"/>
  <c r="AR50" i="79" s="1"/>
  <c r="AR51" i="79" s="1"/>
  <c r="AR52" i="79" s="1"/>
  <c r="T40" i="79"/>
  <c r="U46" i="79"/>
  <c r="AI46" i="79" s="1"/>
  <c r="AD47" i="79"/>
  <c r="S48" i="79"/>
  <c r="AG48" i="79" s="1"/>
  <c r="U50" i="79"/>
  <c r="AI50" i="79" s="1"/>
  <c r="AD5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9" i="79"/>
  <c r="AK19" i="79" s="1"/>
  <c r="AH19" i="79"/>
  <c r="W16" i="79"/>
  <c r="AK16" i="79" s="1"/>
  <c r="AH16" i="79"/>
  <c r="W50" i="79"/>
  <c r="AK50" i="79" s="1"/>
  <c r="AH50" i="79"/>
  <c r="W41" i="79"/>
  <c r="AK41" i="79" s="1"/>
  <c r="AH41" i="79"/>
  <c r="W44" i="79"/>
  <c r="AK44" i="79" s="1"/>
  <c r="AH44" i="79"/>
  <c r="W35" i="79"/>
  <c r="AK35" i="79" s="1"/>
  <c r="AH35" i="79"/>
  <c r="W15" i="79"/>
  <c r="AK15" i="79" s="1"/>
  <c r="AH15" i="79"/>
  <c r="W13" i="79"/>
  <c r="AK13" i="79" s="1"/>
  <c r="AH13" i="79"/>
  <c r="W48" i="79"/>
  <c r="AK48" i="79" s="1"/>
  <c r="AH48" i="79"/>
  <c r="W49" i="79"/>
  <c r="AK49" i="79" s="1"/>
  <c r="AH49" i="79"/>
  <c r="W43" i="79"/>
  <c r="AK43" i="79" s="1"/>
  <c r="AH43" i="79"/>
  <c r="W38" i="79"/>
  <c r="AK38" i="79" s="1"/>
  <c r="AH38" i="79"/>
  <c r="AH34" i="79"/>
  <c r="W34" i="79"/>
  <c r="AK34" i="79" s="1"/>
  <c r="W17" i="79"/>
  <c r="AK17" i="79" s="1"/>
  <c r="AH17" i="79"/>
  <c r="W10" i="79"/>
  <c r="AK10" i="79" s="1"/>
  <c r="AH10" i="79"/>
  <c r="W18" i="79"/>
  <c r="AK18" i="79" s="1"/>
  <c r="AH18" i="79"/>
  <c r="W20" i="79"/>
  <c r="AK20" i="79" s="1"/>
  <c r="AH20" i="79"/>
  <c r="W14" i="79"/>
  <c r="AK14" i="79" s="1"/>
  <c r="AH14" i="79"/>
  <c r="W42" i="79"/>
  <c r="AK42" i="79" s="1"/>
  <c r="W51" i="79"/>
  <c r="AK51" i="79" s="1"/>
  <c r="AH51" i="79"/>
  <c r="W46" i="79"/>
  <c r="AK46" i="79" s="1"/>
  <c r="AH46" i="79"/>
  <c r="W40" i="79"/>
  <c r="AK40" i="79" s="1"/>
  <c r="AH40" i="79"/>
  <c r="W23" i="79"/>
  <c r="AK23" i="79" s="1"/>
  <c r="AH23" i="79"/>
  <c r="W12" i="79"/>
  <c r="AK12" i="79" s="1"/>
  <c r="AH12" i="79"/>
  <c r="W21" i="79"/>
  <c r="AK21" i="79" s="1"/>
  <c r="AH21" i="79"/>
  <c r="W47" i="79"/>
  <c r="AK47" i="79" s="1"/>
  <c r="AH47" i="79"/>
  <c r="W45" i="79"/>
  <c r="AK45" i="79" s="1"/>
  <c r="AH45"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AA38" i="71" s="1"/>
  <c r="O38" i="71"/>
  <c r="N38" i="71"/>
  <c r="Q37" i="71"/>
  <c r="P37" i="71"/>
  <c r="AA37" i="71" s="1"/>
  <c r="O37" i="71"/>
  <c r="N37" i="71"/>
  <c r="B38" i="71" s="1"/>
  <c r="D37" i="71"/>
  <c r="Q36" i="71"/>
  <c r="P36" i="71"/>
  <c r="O36" i="71"/>
  <c r="N36" i="71"/>
  <c r="Q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C44" i="71" s="1"/>
  <c r="D44" i="71" s="1"/>
  <c r="P28" i="71"/>
  <c r="E28" i="71" s="1"/>
  <c r="U56" i="71"/>
  <c r="E64" i="71"/>
  <c r="U64" i="71" s="1"/>
  <c r="U68" i="71"/>
  <c r="E67" i="71"/>
  <c r="Q28" i="71"/>
  <c r="C59" i="71"/>
  <c r="D58" i="71"/>
  <c r="D62" i="71"/>
  <c r="B66" i="71"/>
  <c r="N65" i="71" s="1"/>
  <c r="D68" i="71"/>
  <c r="Q68" i="71"/>
  <c r="E71" i="71"/>
  <c r="E70" i="71" s="1"/>
  <c r="D72" i="71"/>
  <c r="E75" i="71"/>
  <c r="E74" i="71" s="1"/>
  <c r="E79" i="71"/>
  <c r="E78" i="71" s="1"/>
  <c r="D80" i="71"/>
  <c r="C87" i="71"/>
  <c r="F28" i="71"/>
  <c r="F27" i="71" s="1"/>
  <c r="F26" i="71" s="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U25" i="40"/>
  <c r="U29" i="39"/>
  <c r="W29" i="39"/>
  <c r="W18" i="36"/>
  <c r="S21" i="37"/>
  <c r="U21" i="34"/>
  <c r="AC18" i="35"/>
  <c r="J21" i="37"/>
  <c r="W21" i="37" s="1"/>
  <c r="G84" i="34"/>
  <c r="J21" i="34"/>
  <c r="W21" i="34" s="1"/>
  <c r="J21" i="33"/>
  <c r="W21" i="33" s="1"/>
  <c r="H21" i="21"/>
  <c r="U21" i="21" s="1"/>
  <c r="F38" i="69"/>
  <c r="E37" i="69"/>
  <c r="F36" i="69"/>
  <c r="F35" i="69"/>
  <c r="F21" i="69"/>
  <c r="F20" i="69"/>
  <c r="F39" i="69" s="1"/>
  <c r="E10" i="69"/>
  <c r="E9" i="69"/>
  <c r="AC21" i="37"/>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M53" i="43"/>
  <c r="N53" i="43" s="1"/>
  <c r="K53" i="43"/>
  <c r="J53" i="43" s="1"/>
  <c r="M52" i="43"/>
  <c r="N52" i="43" s="1"/>
  <c r="K52" i="43"/>
  <c r="J52" i="43" s="1"/>
  <c r="D52" i="43"/>
  <c r="M51" i="43"/>
  <c r="N51" i="43" s="1"/>
  <c r="K51" i="43"/>
  <c r="J51" i="43" s="1"/>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S26" i="31" s="1"/>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A15" i="3" s="1"/>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F19" i="6" s="1"/>
  <c r="AC13" i="3"/>
  <c r="H14" i="3"/>
  <c r="AC14" i="3"/>
  <c r="G14" i="3"/>
  <c r="B25" i="31"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2" i="31"/>
  <c r="G33" i="31"/>
  <c r="G36" i="31"/>
  <c r="G37" i="31"/>
  <c r="G40" i="31"/>
  <c r="G41" i="31"/>
  <c r="G44" i="31"/>
  <c r="G45" i="31"/>
  <c r="G48" i="31"/>
  <c r="G49" i="31"/>
  <c r="G52" i="31"/>
  <c r="G53" i="31"/>
  <c r="G56" i="31"/>
  <c r="G57" i="31"/>
  <c r="G60" i="31"/>
  <c r="G61" i="31"/>
  <c r="G64" i="31"/>
  <c r="G65" i="31"/>
  <c r="G68" i="31"/>
  <c r="G69" i="31"/>
  <c r="G72" i="31"/>
  <c r="G73" i="31"/>
  <c r="G76" i="31"/>
  <c r="G77" i="31"/>
  <c r="G80" i="31"/>
  <c r="G81" i="31"/>
  <c r="G84" i="31"/>
  <c r="G85" i="31"/>
  <c r="G88" i="31"/>
  <c r="G89" i="31"/>
  <c r="G92" i="31"/>
  <c r="G93" i="31"/>
  <c r="G96" i="31"/>
  <c r="G97" i="31"/>
  <c r="G100" i="31"/>
  <c r="G101" i="31"/>
  <c r="G104" i="31"/>
  <c r="G105" i="31"/>
  <c r="G108" i="31"/>
  <c r="G109" i="31"/>
  <c r="G112" i="31"/>
  <c r="G113" i="31"/>
  <c r="G116" i="31"/>
  <c r="G117" i="31"/>
  <c r="G120" i="31"/>
  <c r="G121" i="31"/>
  <c r="G124" i="31"/>
  <c r="G125" i="31"/>
  <c r="G127" i="31"/>
  <c r="G128" i="31"/>
  <c r="G129" i="31"/>
  <c r="G131" i="31"/>
  <c r="G132" i="31"/>
  <c r="G133" i="31"/>
  <c r="G135" i="31"/>
  <c r="G136" i="31"/>
  <c r="G137" i="31"/>
  <c r="G139" i="31"/>
  <c r="G140" i="31"/>
  <c r="G141" i="31"/>
  <c r="G143" i="31"/>
  <c r="G144" i="31"/>
  <c r="G145" i="31"/>
  <c r="G147" i="31"/>
  <c r="G148" i="31"/>
  <c r="G149"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J23" i="31"/>
  <c r="H23" i="31"/>
  <c r="F23" i="31"/>
  <c r="Q25" i="31"/>
  <c r="O25" i="31"/>
  <c r="K25" i="31"/>
  <c r="G25" i="31"/>
  <c r="E25" i="31"/>
  <c r="S241" i="31"/>
  <c r="S143" i="31"/>
  <c r="S46" i="31"/>
  <c r="S71" i="31"/>
  <c r="S83"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A493" i="3" s="1"/>
  <c r="AZ493" i="3" s="1"/>
  <c r="BM493" i="3"/>
  <c r="BN493" i="3"/>
  <c r="BO493" i="3"/>
  <c r="BP493" i="3"/>
  <c r="BL493" i="3" s="1"/>
  <c r="BR493" i="3"/>
  <c r="BS493" i="3"/>
  <c r="BT493" i="3"/>
  <c r="H494" i="3"/>
  <c r="AC494" i="3"/>
  <c r="BB494" i="3"/>
  <c r="BC494" i="3"/>
  <c r="BD494" i="3"/>
  <c r="BA494" i="3" s="1"/>
  <c r="BE494" i="3"/>
  <c r="BF494" i="3"/>
  <c r="BG494" i="3"/>
  <c r="BH494" i="3"/>
  <c r="BH5" i="3" s="1"/>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R5" i="3" s="1"/>
  <c r="BS495" i="3"/>
  <c r="BT495" i="3"/>
  <c r="H496" i="3"/>
  <c r="AC496" i="3"/>
  <c r="BB496" i="3"/>
  <c r="BC496" i="3"/>
  <c r="BD496" i="3"/>
  <c r="BE496" i="3"/>
  <c r="BE5" i="3" s="1"/>
  <c r="BF496" i="3"/>
  <c r="BG496" i="3"/>
  <c r="BH496" i="3"/>
  <c r="BI496" i="3"/>
  <c r="BI5" i="3" s="1"/>
  <c r="BJ496" i="3"/>
  <c r="BK496" i="3"/>
  <c r="BM496" i="3"/>
  <c r="BN496" i="3"/>
  <c r="BN5" i="3" s="1"/>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S5" i="3" s="1"/>
  <c r="BT497" i="3"/>
  <c r="H498" i="3"/>
  <c r="AC498" i="3"/>
  <c r="BB498" i="3"/>
  <c r="BC498" i="3"/>
  <c r="BD498" i="3"/>
  <c r="BE498" i="3"/>
  <c r="BF498" i="3"/>
  <c r="BG498" i="3"/>
  <c r="BH498" i="3"/>
  <c r="BI498" i="3"/>
  <c r="BJ498" i="3"/>
  <c r="BJ5" i="3" s="1"/>
  <c r="BK498" i="3"/>
  <c r="BM498" i="3"/>
  <c r="BN498" i="3"/>
  <c r="BO498" i="3"/>
  <c r="BL498" i="3" s="1"/>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BT5" i="3" s="1"/>
  <c r="H500" i="3"/>
  <c r="AC500" i="3"/>
  <c r="BB500" i="3"/>
  <c r="BC500" i="3"/>
  <c r="BC5" i="3" s="1"/>
  <c r="BD500" i="3"/>
  <c r="BE500" i="3"/>
  <c r="BF500" i="3"/>
  <c r="BG500" i="3"/>
  <c r="BH500" i="3"/>
  <c r="BI500" i="3"/>
  <c r="BJ500" i="3"/>
  <c r="BK500" i="3"/>
  <c r="BM500" i="3"/>
  <c r="BN500" i="3"/>
  <c r="BO500" i="3"/>
  <c r="BP500" i="3"/>
  <c r="BL500" i="3" s="1"/>
  <c r="BQ500" i="3"/>
  <c r="BR500" i="3"/>
  <c r="BS500" i="3"/>
  <c r="BT500" i="3"/>
  <c r="H501" i="3"/>
  <c r="AC501" i="3"/>
  <c r="BB501" i="3"/>
  <c r="BC501" i="3"/>
  <c r="BA501" i="3" s="1"/>
  <c r="BD501" i="3"/>
  <c r="BE501" i="3"/>
  <c r="BF501" i="3"/>
  <c r="BG501" i="3"/>
  <c r="BH501" i="3"/>
  <c r="BI501" i="3"/>
  <c r="BJ501" i="3"/>
  <c r="BK501" i="3"/>
  <c r="BM501" i="3"/>
  <c r="BN501" i="3"/>
  <c r="BO501" i="3"/>
  <c r="BP501" i="3"/>
  <c r="BL501" i="3" s="1"/>
  <c r="BR501" i="3"/>
  <c r="BS501" i="3"/>
  <c r="BT501" i="3"/>
  <c r="H502" i="3"/>
  <c r="G502" i="3" s="1"/>
  <c r="AC502" i="3"/>
  <c r="BB502" i="3"/>
  <c r="BC502" i="3"/>
  <c r="BD502" i="3"/>
  <c r="BA502" i="3" s="1"/>
  <c r="BE502" i="3"/>
  <c r="BF502" i="3"/>
  <c r="BG502" i="3"/>
  <c r="BH502" i="3"/>
  <c r="BI502" i="3"/>
  <c r="BJ502" i="3"/>
  <c r="BK502" i="3"/>
  <c r="BM502" i="3"/>
  <c r="BL502" i="3" s="1"/>
  <c r="AZ502" i="3" s="1"/>
  <c r="BN502" i="3"/>
  <c r="BO502" i="3"/>
  <c r="BP502" i="3"/>
  <c r="BQ502" i="3"/>
  <c r="BR502" i="3"/>
  <c r="BS502" i="3"/>
  <c r="BT502" i="3"/>
  <c r="H503" i="3"/>
  <c r="G503" i="3" s="1"/>
  <c r="AC503" i="3"/>
  <c r="BB503" i="3"/>
  <c r="BC503" i="3"/>
  <c r="BD503" i="3"/>
  <c r="BA503" i="3" s="1"/>
  <c r="BE503" i="3"/>
  <c r="BF503" i="3"/>
  <c r="BG503" i="3"/>
  <c r="BH503" i="3"/>
  <c r="BI503" i="3"/>
  <c r="BJ503" i="3"/>
  <c r="BK503" i="3"/>
  <c r="BM503" i="3"/>
  <c r="BN503" i="3"/>
  <c r="BO503" i="3"/>
  <c r="BP503" i="3"/>
  <c r="BR503" i="3"/>
  <c r="BS503" i="3"/>
  <c r="BT503" i="3"/>
  <c r="H504" i="3"/>
  <c r="AC504" i="3"/>
  <c r="G504" i="3" s="1"/>
  <c r="BB504" i="3"/>
  <c r="BC504" i="3"/>
  <c r="BD504" i="3"/>
  <c r="BE504" i="3"/>
  <c r="BA504" i="3" s="1"/>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L505" i="3" s="1"/>
  <c r="BO505" i="3"/>
  <c r="BP505" i="3"/>
  <c r="BR505" i="3"/>
  <c r="BS505" i="3"/>
  <c r="BT505" i="3"/>
  <c r="H506" i="3"/>
  <c r="AC506" i="3"/>
  <c r="BB506" i="3"/>
  <c r="BA506" i="3" s="1"/>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A511" i="3" s="1"/>
  <c r="BF511" i="3"/>
  <c r="BG511" i="3"/>
  <c r="BH511" i="3"/>
  <c r="BI511" i="3"/>
  <c r="BJ511" i="3"/>
  <c r="BK511" i="3"/>
  <c r="BM511" i="3"/>
  <c r="BN511" i="3"/>
  <c r="BO511" i="3"/>
  <c r="BP511" i="3"/>
  <c r="BR511" i="3"/>
  <c r="BS511" i="3"/>
  <c r="BT511" i="3"/>
  <c r="H512" i="3"/>
  <c r="AC512" i="3"/>
  <c r="BB512" i="3"/>
  <c r="BA512" i="3" s="1"/>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L513" i="3" s="1"/>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L516" i="3" s="1"/>
  <c r="BN516" i="3"/>
  <c r="BO516" i="3"/>
  <c r="BP516" i="3"/>
  <c r="BQ516" i="3"/>
  <c r="BR516" i="3"/>
  <c r="BS516" i="3"/>
  <c r="BT516" i="3"/>
  <c r="H517" i="3"/>
  <c r="G517" i="3" s="1"/>
  <c r="AC517" i="3"/>
  <c r="BB517" i="3"/>
  <c r="BC517" i="3"/>
  <c r="BD517" i="3"/>
  <c r="BE517" i="3"/>
  <c r="BF517" i="3"/>
  <c r="BG517" i="3"/>
  <c r="BH517" i="3"/>
  <c r="BI517" i="3"/>
  <c r="BJ517" i="3"/>
  <c r="BK517" i="3"/>
  <c r="BM517" i="3"/>
  <c r="BL517" i="3" s="1"/>
  <c r="BN517" i="3"/>
  <c r="BO517" i="3"/>
  <c r="BP517" i="3"/>
  <c r="BR517" i="3"/>
  <c r="BS517" i="3"/>
  <c r="BT517" i="3"/>
  <c r="H518" i="3"/>
  <c r="AC518" i="3"/>
  <c r="G518" i="3" s="1"/>
  <c r="BB518" i="3"/>
  <c r="BC518" i="3"/>
  <c r="BD518" i="3"/>
  <c r="BE518" i="3"/>
  <c r="BA518" i="3" s="1"/>
  <c r="AZ518" i="3" s="1"/>
  <c r="BF518" i="3"/>
  <c r="BG518" i="3"/>
  <c r="BH518" i="3"/>
  <c r="BI518" i="3"/>
  <c r="BJ518" i="3"/>
  <c r="BK518" i="3"/>
  <c r="BM518" i="3"/>
  <c r="BN518" i="3"/>
  <c r="BL518" i="3" s="1"/>
  <c r="BO518" i="3"/>
  <c r="BP518" i="3"/>
  <c r="BQ518" i="3"/>
  <c r="BR518" i="3"/>
  <c r="BS518" i="3"/>
  <c r="BT518" i="3"/>
  <c r="H519" i="3"/>
  <c r="AC519" i="3"/>
  <c r="G519" i="3" s="1"/>
  <c r="BB519" i="3"/>
  <c r="BC519" i="3"/>
  <c r="BD519" i="3"/>
  <c r="BE519" i="3"/>
  <c r="BA519" i="3" s="1"/>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L520" i="3" s="1"/>
  <c r="BP520" i="3"/>
  <c r="BQ520" i="3"/>
  <c r="BR520" i="3"/>
  <c r="BS520" i="3"/>
  <c r="BT520" i="3"/>
  <c r="H521" i="3"/>
  <c r="BB521" i="3"/>
  <c r="BC521" i="3"/>
  <c r="BD521" i="3"/>
  <c r="BE521" i="3"/>
  <c r="BF521" i="3"/>
  <c r="BG521" i="3"/>
  <c r="BH521" i="3"/>
  <c r="BI521" i="3"/>
  <c r="BJ521" i="3"/>
  <c r="BK521" i="3"/>
  <c r="BM521" i="3"/>
  <c r="BN521" i="3"/>
  <c r="BO521" i="3"/>
  <c r="BP521" i="3"/>
  <c r="BL521" i="3" s="1"/>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A523" i="3" s="1"/>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A526" i="3" s="1"/>
  <c r="BC526" i="3"/>
  <c r="BD526" i="3"/>
  <c r="BE526" i="3"/>
  <c r="BF526" i="3"/>
  <c r="BG526" i="3"/>
  <c r="BH526" i="3"/>
  <c r="BI526" i="3"/>
  <c r="BJ526" i="3"/>
  <c r="BK526" i="3"/>
  <c r="BM526" i="3"/>
  <c r="BN526" i="3"/>
  <c r="BO526" i="3"/>
  <c r="BP526" i="3"/>
  <c r="BQ526" i="3"/>
  <c r="BR526" i="3"/>
  <c r="BS526" i="3"/>
  <c r="BT526" i="3"/>
  <c r="H527" i="3"/>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A528" i="3" s="1"/>
  <c r="BD528" i="3"/>
  <c r="BE528" i="3"/>
  <c r="BF528" i="3"/>
  <c r="BG528" i="3"/>
  <c r="BH528" i="3"/>
  <c r="BI528" i="3"/>
  <c r="BJ528" i="3"/>
  <c r="BK528" i="3"/>
  <c r="BM528" i="3"/>
  <c r="BN528" i="3"/>
  <c r="BO528" i="3"/>
  <c r="BP528" i="3"/>
  <c r="BL528" i="3" s="1"/>
  <c r="BQ528" i="3"/>
  <c r="BR528" i="3"/>
  <c r="BS528" i="3"/>
  <c r="BT528" i="3"/>
  <c r="H529" i="3"/>
  <c r="AC529" i="3"/>
  <c r="BB529" i="3"/>
  <c r="BC529" i="3"/>
  <c r="BA529" i="3" s="1"/>
  <c r="BD529" i="3"/>
  <c r="BE529" i="3"/>
  <c r="BF529" i="3"/>
  <c r="BG529" i="3"/>
  <c r="BH529" i="3"/>
  <c r="BI529" i="3"/>
  <c r="BJ529" i="3"/>
  <c r="BK529" i="3"/>
  <c r="BM529" i="3"/>
  <c r="BN529" i="3"/>
  <c r="BO529" i="3"/>
  <c r="BP529" i="3"/>
  <c r="BL529" i="3" s="1"/>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A532" i="3" s="1"/>
  <c r="BF532" i="3"/>
  <c r="BG532" i="3"/>
  <c r="BH532" i="3"/>
  <c r="BI532" i="3"/>
  <c r="BJ532" i="3"/>
  <c r="BK532" i="3"/>
  <c r="BM532" i="3"/>
  <c r="BN532" i="3"/>
  <c r="BO532" i="3"/>
  <c r="BP532" i="3"/>
  <c r="BQ532" i="3"/>
  <c r="BR532" i="3"/>
  <c r="BS532" i="3"/>
  <c r="BT532" i="3"/>
  <c r="H533" i="3"/>
  <c r="AC533" i="3"/>
  <c r="G533" i="3" s="1"/>
  <c r="BB533" i="3"/>
  <c r="BC533" i="3"/>
  <c r="BD533" i="3"/>
  <c r="BE533" i="3"/>
  <c r="BA533" i="3" s="1"/>
  <c r="BF533" i="3"/>
  <c r="BG533" i="3"/>
  <c r="BH533" i="3"/>
  <c r="BI533" i="3"/>
  <c r="BJ533" i="3"/>
  <c r="BK533" i="3"/>
  <c r="BM533" i="3"/>
  <c r="BN533" i="3"/>
  <c r="BO533" i="3"/>
  <c r="BP533" i="3"/>
  <c r="BR533" i="3"/>
  <c r="BS533" i="3"/>
  <c r="BT533" i="3"/>
  <c r="H534" i="3"/>
  <c r="AC534" i="3"/>
  <c r="BB534" i="3"/>
  <c r="BA534" i="3" s="1"/>
  <c r="BC534" i="3"/>
  <c r="BD534" i="3"/>
  <c r="BE534" i="3"/>
  <c r="BF534" i="3"/>
  <c r="BG534" i="3"/>
  <c r="BH534" i="3"/>
  <c r="BI534" i="3"/>
  <c r="BJ534" i="3"/>
  <c r="BK534" i="3"/>
  <c r="BM534" i="3"/>
  <c r="BN534" i="3"/>
  <c r="BO534" i="3"/>
  <c r="BL534" i="3" s="1"/>
  <c r="AZ534" i="3" s="1"/>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A536" i="3" s="1"/>
  <c r="AZ536" i="3" s="1"/>
  <c r="BD536" i="3"/>
  <c r="BE536" i="3"/>
  <c r="BF536" i="3"/>
  <c r="BG536" i="3"/>
  <c r="BH536" i="3"/>
  <c r="BI536" i="3"/>
  <c r="BJ536" i="3"/>
  <c r="BK536" i="3"/>
  <c r="BM536" i="3"/>
  <c r="BN536" i="3"/>
  <c r="BO536" i="3"/>
  <c r="BP536" i="3"/>
  <c r="BQ536" i="3"/>
  <c r="BR536" i="3"/>
  <c r="BS536" i="3"/>
  <c r="BT536" i="3"/>
  <c r="H537" i="3"/>
  <c r="AC537" i="3"/>
  <c r="BB537" i="3"/>
  <c r="BC537" i="3"/>
  <c r="BA537" i="3" s="1"/>
  <c r="AZ537" i="3" s="1"/>
  <c r="BD537" i="3"/>
  <c r="BE537" i="3"/>
  <c r="BF537" i="3"/>
  <c r="BG537" i="3"/>
  <c r="BH537" i="3"/>
  <c r="BI537" i="3"/>
  <c r="BJ537" i="3"/>
  <c r="BK537" i="3"/>
  <c r="BM537" i="3"/>
  <c r="BN537" i="3"/>
  <c r="BO537" i="3"/>
  <c r="BP537" i="3"/>
  <c r="BL537" i="3" s="1"/>
  <c r="BR537" i="3"/>
  <c r="BS537" i="3"/>
  <c r="BT537" i="3"/>
  <c r="H538" i="3"/>
  <c r="AC538" i="3"/>
  <c r="BB538" i="3"/>
  <c r="BC538" i="3"/>
  <c r="BD538" i="3"/>
  <c r="BE538" i="3"/>
  <c r="BF538" i="3"/>
  <c r="BG538" i="3"/>
  <c r="BH538" i="3"/>
  <c r="BI538" i="3"/>
  <c r="BJ538" i="3"/>
  <c r="BK538" i="3"/>
  <c r="BM538" i="3"/>
  <c r="BL538" i="3" s="1"/>
  <c r="BN538" i="3"/>
  <c r="BO538" i="3"/>
  <c r="BP538" i="3"/>
  <c r="BQ538" i="3"/>
  <c r="BR538" i="3"/>
  <c r="BS538" i="3"/>
  <c r="BT538" i="3"/>
  <c r="H539" i="3"/>
  <c r="G539" i="3" s="1"/>
  <c r="AC539" i="3"/>
  <c r="BB539" i="3"/>
  <c r="BC539" i="3"/>
  <c r="BD539" i="3"/>
  <c r="BA539" i="3" s="1"/>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L540" i="3" s="1"/>
  <c r="BO540" i="3"/>
  <c r="BP540" i="3"/>
  <c r="BQ540" i="3"/>
  <c r="BR540" i="3"/>
  <c r="BS540" i="3"/>
  <c r="BT540" i="3"/>
  <c r="H541" i="3"/>
  <c r="AC541" i="3"/>
  <c r="BB541" i="3"/>
  <c r="BC541" i="3"/>
  <c r="BD541" i="3"/>
  <c r="BE541" i="3"/>
  <c r="BF541" i="3"/>
  <c r="BG541" i="3"/>
  <c r="BH541" i="3"/>
  <c r="BI541" i="3"/>
  <c r="BJ541" i="3"/>
  <c r="BK541" i="3"/>
  <c r="BM541" i="3"/>
  <c r="BN541" i="3"/>
  <c r="BL541" i="3" s="1"/>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L544" i="3" s="1"/>
  <c r="BQ544" i="3"/>
  <c r="BR544" i="3"/>
  <c r="BS544" i="3"/>
  <c r="BT544" i="3"/>
  <c r="H545" i="3"/>
  <c r="AC545" i="3"/>
  <c r="BB545" i="3"/>
  <c r="BC545" i="3"/>
  <c r="BA545" i="3" s="1"/>
  <c r="BD545" i="3"/>
  <c r="BE545" i="3"/>
  <c r="BF545" i="3"/>
  <c r="BG545" i="3"/>
  <c r="BH545" i="3"/>
  <c r="BI545" i="3"/>
  <c r="BJ545" i="3"/>
  <c r="BK545" i="3"/>
  <c r="BM545" i="3"/>
  <c r="BN545" i="3"/>
  <c r="BO545" i="3"/>
  <c r="BP545" i="3"/>
  <c r="BL545" i="3" s="1"/>
  <c r="BR545" i="3"/>
  <c r="BS545" i="3"/>
  <c r="BT545" i="3"/>
  <c r="H546" i="3"/>
  <c r="G546" i="3" s="1"/>
  <c r="AC546" i="3"/>
  <c r="BB546" i="3"/>
  <c r="BC546" i="3"/>
  <c r="BD546" i="3"/>
  <c r="BA546" i="3" s="1"/>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A548" i="3" s="1"/>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L551" i="3" s="1"/>
  <c r="BP551" i="3"/>
  <c r="BR551" i="3"/>
  <c r="BS551" i="3"/>
  <c r="BT551" i="3"/>
  <c r="H552" i="3"/>
  <c r="AC552" i="3"/>
  <c r="G552" i="3"/>
  <c r="BB552" i="3"/>
  <c r="BC552" i="3"/>
  <c r="BD552" i="3"/>
  <c r="BE552" i="3"/>
  <c r="BF552" i="3"/>
  <c r="BG552" i="3"/>
  <c r="BH552" i="3"/>
  <c r="BI552" i="3"/>
  <c r="BJ552" i="3"/>
  <c r="BK552" i="3"/>
  <c r="BM552" i="3"/>
  <c r="BN552" i="3"/>
  <c r="BO552" i="3"/>
  <c r="BL552" i="3" s="1"/>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L554" i="3" s="1"/>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D113" i="33"/>
  <c r="F37" i="33"/>
  <c r="AA37" i="33" s="1"/>
  <c r="D111" i="33"/>
  <c r="E111" i="33"/>
  <c r="F111" i="33" s="1"/>
  <c r="G111" i="33" s="1"/>
  <c r="H111" i="33" s="1"/>
  <c r="I111" i="33" s="1"/>
  <c r="J111" i="33" s="1"/>
  <c r="K111" i="33" s="1"/>
  <c r="L111" i="33" s="1"/>
  <c r="M111" i="33" s="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F38" i="40"/>
  <c r="AA38"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c r="H34" i="40"/>
  <c r="F34" i="40"/>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H36" i="35"/>
  <c r="AB36" i="35" s="1"/>
  <c r="B99" i="35"/>
  <c r="B97" i="35"/>
  <c r="B77" i="35"/>
  <c r="B75" i="35"/>
  <c r="B73" i="35"/>
  <c r="J23" i="35" s="1"/>
  <c r="AC23" i="35" s="1"/>
  <c r="B57" i="35"/>
  <c r="J11" i="35" s="1"/>
  <c r="W11" i="35" s="1"/>
  <c r="B61" i="35"/>
  <c r="B59" i="35"/>
  <c r="F12" i="35" s="1"/>
  <c r="B131" i="34"/>
  <c r="B129" i="34"/>
  <c r="B127" i="34"/>
  <c r="B99" i="34"/>
  <c r="B97" i="34"/>
  <c r="B95" i="34"/>
  <c r="H30" i="34" s="1"/>
  <c r="B93" i="34"/>
  <c r="F29" i="34" s="1"/>
  <c r="S29" i="34" s="1"/>
  <c r="B75" i="34"/>
  <c r="B73" i="34"/>
  <c r="B71" i="34"/>
  <c r="B130" i="33"/>
  <c r="J46" i="33" s="1"/>
  <c r="B128" i="33"/>
  <c r="B126" i="33"/>
  <c r="B98" i="33"/>
  <c r="B96" i="33"/>
  <c r="B94" i="33"/>
  <c r="B74" i="33"/>
  <c r="B72" i="33"/>
  <c r="H13" i="33" s="1"/>
  <c r="U13" i="33" s="1"/>
  <c r="B70" i="33"/>
  <c r="F12" i="33" s="1"/>
  <c r="D96" i="35"/>
  <c r="E96" i="35"/>
  <c r="F96" i="35"/>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s="1"/>
  <c r="J8" i="34"/>
  <c r="H8" i="34"/>
  <c r="U8" i="34" s="1"/>
  <c r="F8" i="34"/>
  <c r="D121" i="33"/>
  <c r="E121" i="33"/>
  <c r="F109" i="33"/>
  <c r="E109" i="33"/>
  <c r="D109" i="33"/>
  <c r="C109" i="33"/>
  <c r="D91" i="33"/>
  <c r="E91" i="33" s="1"/>
  <c r="B88" i="33"/>
  <c r="J26" i="33"/>
  <c r="AC26" i="33" s="1"/>
  <c r="C23" i="33"/>
  <c r="C19" i="33"/>
  <c r="C17" i="33"/>
  <c r="C15" i="33"/>
  <c r="C15" i="21"/>
  <c r="D125" i="33"/>
  <c r="E125" i="33" s="1"/>
  <c r="F125" i="33" s="1"/>
  <c r="G125"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Q41" i="33"/>
  <c r="Z41" i="33" s="1"/>
  <c r="Q40" i="33"/>
  <c r="Z40" i="33"/>
  <c r="J40" i="33"/>
  <c r="H40" i="33"/>
  <c r="AB40" i="33" s="1"/>
  <c r="AA40" i="33"/>
  <c r="Q39" i="33"/>
  <c r="Z39" i="33" s="1"/>
  <c r="J39" i="33"/>
  <c r="AC39" i="33" s="1"/>
  <c r="Q38" i="33"/>
  <c r="Z38" i="33" s="1"/>
  <c r="J38" i="33"/>
  <c r="AC38" i="33" s="1"/>
  <c r="H38" i="33"/>
  <c r="AB38" i="33" s="1"/>
  <c r="F38" i="33"/>
  <c r="AA38" i="33" s="1"/>
  <c r="Q37" i="33"/>
  <c r="Z37" i="33" s="1"/>
  <c r="Q36" i="33"/>
  <c r="Z36" i="33"/>
  <c r="Q35" i="33"/>
  <c r="Z35" i="33" s="1"/>
  <c r="H35" i="33"/>
  <c r="AB35" i="33"/>
  <c r="Q34" i="33"/>
  <c r="Z34" i="33" s="1"/>
  <c r="Q33" i="33"/>
  <c r="Z33" i="33"/>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F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H46" i="21" s="1"/>
  <c r="U46" i="21" s="1"/>
  <c r="B128" i="21"/>
  <c r="J45" i="21"/>
  <c r="W45" i="21" s="1"/>
  <c r="B126" i="21"/>
  <c r="B98" i="21"/>
  <c r="H31" i="21" s="1"/>
  <c r="B96" i="21"/>
  <c r="B94" i="21"/>
  <c r="J29" i="21"/>
  <c r="AC29" i="21" s="1"/>
  <c r="B92" i="21"/>
  <c r="B90" i="21"/>
  <c r="H27" i="21" s="1"/>
  <c r="J27" i="2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s="1"/>
  <c r="Q40" i="21"/>
  <c r="Z40" i="21" s="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c r="F26" i="21"/>
  <c r="S26" i="21" s="1"/>
  <c r="AB41" i="21"/>
  <c r="S41" i="21"/>
  <c r="AA41" i="21"/>
  <c r="F45" i="39"/>
  <c r="S45" i="39" s="1"/>
  <c r="J45" i="39"/>
  <c r="W45" i="39" s="1"/>
  <c r="J44" i="39"/>
  <c r="AC44" i="39" s="1"/>
  <c r="H36" i="39"/>
  <c r="AB36" i="39"/>
  <c r="J35" i="39"/>
  <c r="AC35" i="39" s="1"/>
  <c r="F35" i="39"/>
  <c r="AA35" i="39"/>
  <c r="J36" i="39"/>
  <c r="AC36" i="39" s="1"/>
  <c r="W25" i="37"/>
  <c r="U30" i="37"/>
  <c r="W31" i="37"/>
  <c r="F103" i="37"/>
  <c r="G103" i="37" s="1"/>
  <c r="H103" i="37" s="1"/>
  <c r="I103" i="37" s="1"/>
  <c r="J103" i="37" s="1"/>
  <c r="K103" i="37" s="1"/>
  <c r="L103" i="37" s="1"/>
  <c r="M103" i="37" s="1"/>
  <c r="F39" i="37"/>
  <c r="S39" i="37" s="1"/>
  <c r="F29" i="36"/>
  <c r="AA29" i="36" s="1"/>
  <c r="F16" i="36"/>
  <c r="AA16" i="36" s="1"/>
  <c r="W28" i="36"/>
  <c r="U31" i="36"/>
  <c r="H22" i="35"/>
  <c r="AB22" i="35"/>
  <c r="AC27" i="35"/>
  <c r="W28" i="35"/>
  <c r="U31" i="35"/>
  <c r="W22" i="35"/>
  <c r="S31" i="35"/>
  <c r="U34" i="35"/>
  <c r="F36" i="34"/>
  <c r="J35" i="34"/>
  <c r="U34" i="34"/>
  <c r="H39" i="33"/>
  <c r="AB39" i="33" s="1"/>
  <c r="F26" i="33"/>
  <c r="AA26" i="33" s="1"/>
  <c r="U35" i="33"/>
  <c r="S40" i="33"/>
  <c r="H39" i="37"/>
  <c r="AB39" i="37" s="1"/>
  <c r="F11" i="40"/>
  <c r="AA11" i="40"/>
  <c r="H11" i="40"/>
  <c r="AB11" i="40" s="1"/>
  <c r="W8" i="40"/>
  <c r="AA9" i="40"/>
  <c r="U9" i="40"/>
  <c r="U38" i="40"/>
  <c r="W31" i="40"/>
  <c r="S38" i="40"/>
  <c r="F42" i="39"/>
  <c r="AA42" i="39" s="1"/>
  <c r="F41" i="39"/>
  <c r="S41" i="39" s="1"/>
  <c r="H40" i="39"/>
  <c r="AB40" i="39" s="1"/>
  <c r="H39" i="39"/>
  <c r="U39" i="39" s="1"/>
  <c r="S38" i="39"/>
  <c r="S34" i="39"/>
  <c r="H34" i="39"/>
  <c r="U34" i="39" s="1"/>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H27" i="39"/>
  <c r="U27" i="39" s="1"/>
  <c r="J19" i="39"/>
  <c r="AC19" i="39" s="1"/>
  <c r="J17" i="39"/>
  <c r="J27" i="39"/>
  <c r="AC27" i="39"/>
  <c r="F27" i="39"/>
  <c r="F11" i="21"/>
  <c r="S11" i="21" s="1"/>
  <c r="U34" i="21"/>
  <c r="C25"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c r="AB8" i="39"/>
  <c r="AB12" i="35"/>
  <c r="AB12" i="36"/>
  <c r="W32" i="40"/>
  <c r="S44" i="39"/>
  <c r="J34" i="36"/>
  <c r="W34" i="36" s="1"/>
  <c r="U30" i="36"/>
  <c r="J30" i="35"/>
  <c r="W30" i="35" s="1"/>
  <c r="H30" i="35"/>
  <c r="AB30" i="35" s="1"/>
  <c r="F22" i="35"/>
  <c r="AA22" i="35"/>
  <c r="H10" i="35"/>
  <c r="U10" i="35" s="1"/>
  <c r="W30" i="36"/>
  <c r="H16" i="36"/>
  <c r="AB16" i="36" s="1"/>
  <c r="E85" i="36"/>
  <c r="F85" i="36" s="1"/>
  <c r="G85" i="36" s="1"/>
  <c r="H85" i="36" s="1"/>
  <c r="I85" i="36" s="1"/>
  <c r="J85" i="36" s="1"/>
  <c r="K85" i="36" s="1"/>
  <c r="L85" i="36" s="1"/>
  <c r="M85" i="36" s="1"/>
  <c r="J29" i="36"/>
  <c r="AC29" i="36" s="1"/>
  <c r="F12" i="36"/>
  <c r="S12" i="36" s="1"/>
  <c r="F24" i="36"/>
  <c r="AA24" i="36" s="1"/>
  <c r="F34" i="36"/>
  <c r="S34" i="36" s="1"/>
  <c r="F14" i="35"/>
  <c r="AA14" i="35"/>
  <c r="F23" i="35"/>
  <c r="AA23" i="35" s="1"/>
  <c r="J32" i="35"/>
  <c r="AC32" i="35" s="1"/>
  <c r="J16" i="35"/>
  <c r="AC16" i="35"/>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H36" i="34"/>
  <c r="U36" i="34" s="1"/>
  <c r="F37" i="34"/>
  <c r="AA37" i="34" s="1"/>
  <c r="S35" i="34"/>
  <c r="F25" i="34"/>
  <c r="S25" i="34" s="1"/>
  <c r="H23" i="34"/>
  <c r="U23" i="34" s="1"/>
  <c r="J23" i="34"/>
  <c r="F19" i="34"/>
  <c r="H17" i="34"/>
  <c r="F15" i="34"/>
  <c r="AA15" i="34" s="1"/>
  <c r="J15" i="34"/>
  <c r="H15" i="34"/>
  <c r="AB15" i="34" s="1"/>
  <c r="F41" i="33"/>
  <c r="S38" i="33"/>
  <c r="E113" i="33"/>
  <c r="F32" i="33"/>
  <c r="AA32" i="33" s="1"/>
  <c r="J19" i="33"/>
  <c r="W19" i="33" s="1"/>
  <c r="J15" i="33"/>
  <c r="AC15" i="33" s="1"/>
  <c r="F11" i="33"/>
  <c r="AA11" i="33" s="1"/>
  <c r="U40" i="33"/>
  <c r="F37" i="40"/>
  <c r="AA37" i="40"/>
  <c r="F36" i="40"/>
  <c r="AA36" i="40" s="1"/>
  <c r="H28" i="40"/>
  <c r="U28" i="40" s="1"/>
  <c r="F23" i="40"/>
  <c r="AA23" i="40" s="1"/>
  <c r="F17" i="40"/>
  <c r="AA17" i="40" s="1"/>
  <c r="J17" i="40"/>
  <c r="W17" i="40" s="1"/>
  <c r="F15" i="40"/>
  <c r="S15" i="40" s="1"/>
  <c r="H15" i="40"/>
  <c r="AB15" i="40" s="1"/>
  <c r="AC11" i="40"/>
  <c r="AA12" i="36"/>
  <c r="AB30" i="36"/>
  <c r="F29" i="35"/>
  <c r="H29" i="35"/>
  <c r="AB29" i="35" s="1"/>
  <c r="H33" i="37"/>
  <c r="F33" i="37"/>
  <c r="AA33" i="37" s="1"/>
  <c r="U34" i="37"/>
  <c r="AA34" i="37"/>
  <c r="J43" i="34"/>
  <c r="AB42" i="34"/>
  <c r="J40" i="34"/>
  <c r="H38" i="34"/>
  <c r="AB38" i="34" s="1"/>
  <c r="J36" i="34"/>
  <c r="H37" i="34"/>
  <c r="U37" i="34" s="1"/>
  <c r="H25" i="34"/>
  <c r="AB25" i="34" s="1"/>
  <c r="J25" i="34"/>
  <c r="AC25" i="34" s="1"/>
  <c r="AB23" i="34"/>
  <c r="F23" i="34"/>
  <c r="AA23" i="34" s="1"/>
  <c r="J19" i="34"/>
  <c r="AC19" i="34" s="1"/>
  <c r="F17" i="34"/>
  <c r="AA17" i="34"/>
  <c r="J17" i="34"/>
  <c r="W17" i="34" s="1"/>
  <c r="F113" i="33"/>
  <c r="G113" i="33" s="1"/>
  <c r="H113" i="33" s="1"/>
  <c r="I113" i="33" s="1"/>
  <c r="J113" i="33" s="1"/>
  <c r="K113" i="33" s="1"/>
  <c r="L113" i="33" s="1"/>
  <c r="M113" i="33" s="1"/>
  <c r="H37" i="33"/>
  <c r="AB37" i="33" s="1"/>
  <c r="H15" i="33"/>
  <c r="AB15" i="33" s="1"/>
  <c r="H11" i="33"/>
  <c r="AB11" i="33" s="1"/>
  <c r="F28" i="40"/>
  <c r="AA28" i="40"/>
  <c r="AA42" i="34"/>
  <c r="S42" i="34"/>
  <c r="AC38" i="34"/>
  <c r="J37" i="34"/>
  <c r="AC37" i="34" s="1"/>
  <c r="J11" i="33"/>
  <c r="W11" i="33" s="1"/>
  <c r="J42" i="21"/>
  <c r="AC42" i="21"/>
  <c r="H42" i="21"/>
  <c r="U42" i="21"/>
  <c r="J44" i="34"/>
  <c r="F44" i="34"/>
  <c r="J10" i="35"/>
  <c r="AC10" i="35" s="1"/>
  <c r="J14" i="21"/>
  <c r="W14" i="21"/>
  <c r="F14" i="21"/>
  <c r="S14" i="21" s="1"/>
  <c r="H14" i="21"/>
  <c r="U14" i="21"/>
  <c r="H28" i="21"/>
  <c r="AB28" i="21" s="1"/>
  <c r="F28" i="21"/>
  <c r="AA28" i="21"/>
  <c r="J28" i="21"/>
  <c r="W28" i="21" s="1"/>
  <c r="H30" i="21"/>
  <c r="F30" i="21"/>
  <c r="S30" i="21" s="1"/>
  <c r="J30" i="21"/>
  <c r="AC30" i="21"/>
  <c r="J46" i="21"/>
  <c r="F46" i="21"/>
  <c r="AA46" i="21" s="1"/>
  <c r="E119" i="21"/>
  <c r="F119" i="21" s="1"/>
  <c r="G119" i="21" s="1"/>
  <c r="H119" i="21" s="1"/>
  <c r="I119" i="21" s="1"/>
  <c r="J119" i="21" s="1"/>
  <c r="K119" i="21" s="1"/>
  <c r="L119" i="21" s="1"/>
  <c r="M119" i="21" s="1"/>
  <c r="H26" i="33"/>
  <c r="U26"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AB27" i="21"/>
  <c r="F27" i="21"/>
  <c r="AA27" i="21" s="1"/>
  <c r="H29" i="21"/>
  <c r="U29" i="21" s="1"/>
  <c r="J31" i="21"/>
  <c r="AC31" i="21" s="1"/>
  <c r="F31" i="21"/>
  <c r="S31" i="21" s="1"/>
  <c r="F45" i="21"/>
  <c r="AA45" i="21" s="1"/>
  <c r="F27" i="33"/>
  <c r="AA27" i="33" s="1"/>
  <c r="J13" i="33"/>
  <c r="F13" i="33"/>
  <c r="S13" i="33"/>
  <c r="J29" i="33"/>
  <c r="H29" i="33"/>
  <c r="U29" i="33"/>
  <c r="F29" i="33"/>
  <c r="S29" i="33" s="1"/>
  <c r="J31" i="33"/>
  <c r="W31" i="33" s="1"/>
  <c r="H31" i="33"/>
  <c r="F31" i="33"/>
  <c r="H45" i="33"/>
  <c r="U45" i="33" s="1"/>
  <c r="J45" i="33"/>
  <c r="F45" i="33"/>
  <c r="AA45" i="33"/>
  <c r="J14" i="34"/>
  <c r="W14" i="34" s="1"/>
  <c r="F14" i="34"/>
  <c r="H14" i="34"/>
  <c r="F30" i="34"/>
  <c r="S30" i="34"/>
  <c r="J30" i="34"/>
  <c r="H32" i="34"/>
  <c r="F32" i="34"/>
  <c r="J32" i="34"/>
  <c r="W32" i="34" s="1"/>
  <c r="H46" i="34"/>
  <c r="U46" i="34" s="1"/>
  <c r="F46" i="34"/>
  <c r="J46" i="34"/>
  <c r="H11" i="35"/>
  <c r="AB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W12" i="40"/>
  <c r="H14" i="33"/>
  <c r="U14" i="33" s="1"/>
  <c r="F14" i="33"/>
  <c r="S14" i="33" s="1"/>
  <c r="J14" i="33"/>
  <c r="H44" i="33"/>
  <c r="U44" i="33" s="1"/>
  <c r="F44" i="33"/>
  <c r="S44" i="33" s="1"/>
  <c r="H13" i="34"/>
  <c r="U13" i="34" s="1"/>
  <c r="J13" i="34"/>
  <c r="W13" i="34"/>
  <c r="F13" i="34"/>
  <c r="AA13" i="34" s="1"/>
  <c r="J31" i="34"/>
  <c r="AC31" i="34" s="1"/>
  <c r="H31" i="34"/>
  <c r="F31" i="34"/>
  <c r="S31" i="34"/>
  <c r="H47" i="34"/>
  <c r="U47" i="34"/>
  <c r="F47" i="34"/>
  <c r="S47" i="34" s="1"/>
  <c r="J47" i="34"/>
  <c r="J25" i="35"/>
  <c r="W25" i="35"/>
  <c r="F25" i="35"/>
  <c r="S25" i="35" s="1"/>
  <c r="H25" i="35"/>
  <c r="AB25" i="35"/>
  <c r="J35" i="35"/>
  <c r="AC35" i="35" s="1"/>
  <c r="F35" i="35"/>
  <c r="AA35" i="35" s="1"/>
  <c r="H35" i="35"/>
  <c r="J25" i="36"/>
  <c r="W25" i="36" s="1"/>
  <c r="F25" i="36"/>
  <c r="S25" i="36" s="1"/>
  <c r="H25" i="36"/>
  <c r="AB25" i="36"/>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S14" i="39" s="1"/>
  <c r="H14" i="39"/>
  <c r="AB14" i="39"/>
  <c r="F12" i="40"/>
  <c r="S12" i="40"/>
  <c r="H12" i="40"/>
  <c r="AB12" i="40"/>
  <c r="H30" i="40"/>
  <c r="AB30" i="40"/>
  <c r="F33" i="40"/>
  <c r="AA33" i="40"/>
  <c r="H33" i="40"/>
  <c r="U33" i="40"/>
  <c r="J35" i="40"/>
  <c r="AC35" i="40"/>
  <c r="J37" i="40"/>
  <c r="AC37" i="40"/>
  <c r="J13" i="40"/>
  <c r="W13" i="40" s="1"/>
  <c r="F14" i="37"/>
  <c r="AA14" i="37" s="1"/>
  <c r="S14" i="37"/>
  <c r="F27" i="37"/>
  <c r="AA27" i="37"/>
  <c r="F13" i="39"/>
  <c r="J13" i="39"/>
  <c r="W13" i="39" s="1"/>
  <c r="H13" i="39"/>
  <c r="H14" i="40"/>
  <c r="U14" i="40" s="1"/>
  <c r="AB14" i="40"/>
  <c r="J14" i="40"/>
  <c r="W14" i="40" s="1"/>
  <c r="F14" i="40"/>
  <c r="AA14" i="40"/>
  <c r="J14" i="37"/>
  <c r="J27" i="37"/>
  <c r="AC27" i="37" s="1"/>
  <c r="J36" i="37"/>
  <c r="AC36" i="37"/>
  <c r="J10" i="36"/>
  <c r="AC10" i="36" s="1"/>
  <c r="W31" i="34"/>
  <c r="S11" i="36"/>
  <c r="AB46" i="34"/>
  <c r="S45" i="33"/>
  <c r="BA586" i="3"/>
  <c r="BA585" i="3"/>
  <c r="F17" i="21"/>
  <c r="AA17" i="21" s="1"/>
  <c r="H17" i="21"/>
  <c r="AB17" i="21" s="1"/>
  <c r="F15" i="21"/>
  <c r="S15" i="21" s="1"/>
  <c r="J41" i="39"/>
  <c r="W41" i="39" s="1"/>
  <c r="U36" i="39"/>
  <c r="S35" i="39"/>
  <c r="G544" i="3"/>
  <c r="G536" i="3"/>
  <c r="G535" i="3"/>
  <c r="G532" i="3"/>
  <c r="G528" i="3"/>
  <c r="G527" i="3"/>
  <c r="G514" i="3"/>
  <c r="G508" i="3"/>
  <c r="G500" i="3"/>
  <c r="G496" i="3"/>
  <c r="G584" i="3"/>
  <c r="G580" i="3"/>
  <c r="G576" i="3"/>
  <c r="G572" i="3"/>
  <c r="G568" i="3"/>
  <c r="G564" i="3"/>
  <c r="G560" i="3"/>
  <c r="G554" i="3"/>
  <c r="G550" i="3"/>
  <c r="BL584" i="3"/>
  <c r="BL580" i="3"/>
  <c r="BL576" i="3"/>
  <c r="BL572" i="3"/>
  <c r="BL568" i="3"/>
  <c r="BL564" i="3"/>
  <c r="BL560" i="3"/>
  <c r="BL522" i="3"/>
  <c r="BL582" i="3"/>
  <c r="BL578" i="3"/>
  <c r="BL574" i="3"/>
  <c r="BL570" i="3"/>
  <c r="BL566" i="3"/>
  <c r="BL562" i="3"/>
  <c r="BL556" i="3"/>
  <c r="AZ556" i="3" s="1"/>
  <c r="BL536" i="3"/>
  <c r="G529" i="3"/>
  <c r="BL514" i="3"/>
  <c r="G493" i="3"/>
  <c r="BA584" i="3"/>
  <c r="BA582" i="3"/>
  <c r="AZ582" i="3" s="1"/>
  <c r="BA580" i="3"/>
  <c r="AZ580" i="3" s="1"/>
  <c r="BA578" i="3"/>
  <c r="BA576" i="3"/>
  <c r="BA574" i="3"/>
  <c r="AZ574" i="3" s="1"/>
  <c r="BA572" i="3"/>
  <c r="BA570" i="3"/>
  <c r="AZ570" i="3" s="1"/>
  <c r="BA568" i="3"/>
  <c r="AZ568" i="3" s="1"/>
  <c r="BA566" i="3"/>
  <c r="AZ566" i="3" s="1"/>
  <c r="BA564" i="3"/>
  <c r="AZ564" i="3" s="1"/>
  <c r="BA562" i="3"/>
  <c r="BA560" i="3"/>
  <c r="AZ560" i="3" s="1"/>
  <c r="BA558" i="3"/>
  <c r="AZ558" i="3" s="1"/>
  <c r="BA556" i="3"/>
  <c r="BA554" i="3"/>
  <c r="BA542" i="3"/>
  <c r="BA520" i="3"/>
  <c r="AZ520" i="3" s="1"/>
  <c r="BA508" i="3"/>
  <c r="BA496" i="3"/>
  <c r="BA583" i="3"/>
  <c r="BA581" i="3"/>
  <c r="BA579" i="3"/>
  <c r="BA577" i="3"/>
  <c r="BA575" i="3"/>
  <c r="BA573" i="3"/>
  <c r="BA571" i="3"/>
  <c r="BA569" i="3"/>
  <c r="BA567" i="3"/>
  <c r="BA565" i="3"/>
  <c r="BA563" i="3"/>
  <c r="BA561" i="3"/>
  <c r="BA559" i="3"/>
  <c r="BA547" i="3"/>
  <c r="BA531" i="3"/>
  <c r="BA513" i="3"/>
  <c r="BA495" i="3"/>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c r="BQ577" i="3"/>
  <c r="BL577" i="3" s="1"/>
  <c r="AZ577" i="3" s="1"/>
  <c r="BQ575" i="3"/>
  <c r="BL575" i="3" s="1"/>
  <c r="BQ573" i="3"/>
  <c r="BL573" i="3" s="1"/>
  <c r="BQ571" i="3"/>
  <c r="BL571" i="3"/>
  <c r="BQ569" i="3"/>
  <c r="BL569" i="3" s="1"/>
  <c r="BQ567" i="3"/>
  <c r="BL567" i="3"/>
  <c r="BQ565" i="3"/>
  <c r="BL565" i="3" s="1"/>
  <c r="BQ563" i="3"/>
  <c r="BL563" i="3"/>
  <c r="AZ563" i="3" s="1"/>
  <c r="BQ561" i="3"/>
  <c r="BL561" i="3" s="1"/>
  <c r="AZ561" i="3" s="1"/>
  <c r="BQ559" i="3"/>
  <c r="BL559" i="3" s="1"/>
  <c r="AZ559" i="3"/>
  <c r="G559" i="3"/>
  <c r="G555" i="3"/>
  <c r="G553" i="3"/>
  <c r="G549" i="3"/>
  <c r="G545" i="3"/>
  <c r="G543" i="3"/>
  <c r="G541" i="3"/>
  <c r="G537" i="3"/>
  <c r="BQ555" i="3"/>
  <c r="BL555" i="3"/>
  <c r="BQ553" i="3"/>
  <c r="BQ551" i="3"/>
  <c r="BQ549" i="3"/>
  <c r="BQ547" i="3"/>
  <c r="BQ545" i="3"/>
  <c r="BQ543" i="3"/>
  <c r="BL543" i="3" s="1"/>
  <c r="BQ541" i="3"/>
  <c r="BQ539" i="3"/>
  <c r="BQ537" i="3"/>
  <c r="BQ535" i="3"/>
  <c r="BQ533" i="3"/>
  <c r="BQ531" i="3"/>
  <c r="BQ529" i="3"/>
  <c r="BQ527" i="3"/>
  <c r="BQ525" i="3"/>
  <c r="BL525" i="3"/>
  <c r="BQ523" i="3"/>
  <c r="AC521" i="3"/>
  <c r="G521" i="3"/>
  <c r="BQ521" i="3"/>
  <c r="G515" i="3"/>
  <c r="G513" i="3"/>
  <c r="BQ519" i="3"/>
  <c r="BQ517" i="3"/>
  <c r="BQ515" i="3"/>
  <c r="BQ513" i="3"/>
  <c r="BQ511" i="3"/>
  <c r="AC509" i="3"/>
  <c r="BQ509" i="3"/>
  <c r="G507" i="3"/>
  <c r="G505" i="3"/>
  <c r="G501" i="3"/>
  <c r="G499" i="3"/>
  <c r="BQ507" i="3"/>
  <c r="BQ505" i="3"/>
  <c r="BQ503" i="3"/>
  <c r="BQ501" i="3"/>
  <c r="BQ499" i="3"/>
  <c r="BQ497" i="3"/>
  <c r="BL497" i="3"/>
  <c r="BQ495" i="3"/>
  <c r="BQ493" i="3"/>
  <c r="AZ584" i="3"/>
  <c r="O27" i="31"/>
  <c r="O28" i="31"/>
  <c r="O26" i="31"/>
  <c r="I26" i="31"/>
  <c r="I25" i="31"/>
  <c r="Q26" i="31"/>
  <c r="K26" i="31"/>
  <c r="I27" i="31"/>
  <c r="Q27" i="31"/>
  <c r="K27" i="31"/>
  <c r="I28" i="31"/>
  <c r="Q28" i="31"/>
  <c r="K28" i="31"/>
  <c r="S21" i="40"/>
  <c r="H25" i="21"/>
  <c r="U25" i="21" s="1"/>
  <c r="F25" i="21"/>
  <c r="S25" i="21" s="1"/>
  <c r="J25" i="21"/>
  <c r="AC25" i="21" s="1"/>
  <c r="H43" i="33"/>
  <c r="H17" i="37"/>
  <c r="U17" i="37" s="1"/>
  <c r="AB27" i="37"/>
  <c r="AA36" i="39"/>
  <c r="F39" i="33"/>
  <c r="S39" i="33" s="1"/>
  <c r="F14" i="36"/>
  <c r="AA14" i="36" s="1"/>
  <c r="F22" i="36"/>
  <c r="S22" i="36" s="1"/>
  <c r="F26" i="36"/>
  <c r="S26" i="36" s="1"/>
  <c r="H27" i="34"/>
  <c r="AB27" i="34" s="1"/>
  <c r="H35" i="34"/>
  <c r="U35" i="34" s="1"/>
  <c r="F41" i="34"/>
  <c r="H41" i="34"/>
  <c r="U41" i="34" s="1"/>
  <c r="J41" i="34"/>
  <c r="AC41" i="34" s="1"/>
  <c r="F10" i="35"/>
  <c r="S10" i="35" s="1"/>
  <c r="F24" i="35"/>
  <c r="AA24" i="35" s="1"/>
  <c r="H23" i="37"/>
  <c r="AB23" i="37"/>
  <c r="J32" i="37"/>
  <c r="AC32" i="37"/>
  <c r="F36" i="37"/>
  <c r="AA36" i="37"/>
  <c r="F37" i="37"/>
  <c r="AA37" i="37"/>
  <c r="F31" i="40"/>
  <c r="AA31" i="40"/>
  <c r="H31" i="40"/>
  <c r="U31" i="40"/>
  <c r="F32" i="40"/>
  <c r="S32" i="40"/>
  <c r="H32" i="40"/>
  <c r="AB32" i="40"/>
  <c r="J36" i="40"/>
  <c r="W36" i="40"/>
  <c r="H19" i="37"/>
  <c r="AB19" i="37" s="1"/>
  <c r="J43" i="33"/>
  <c r="AC43" i="33" s="1"/>
  <c r="W23" i="35"/>
  <c r="U39" i="37"/>
  <c r="U26" i="37"/>
  <c r="AA13" i="33"/>
  <c r="U11" i="33"/>
  <c r="U19" i="21"/>
  <c r="AB38" i="21"/>
  <c r="F43" i="33"/>
  <c r="AA43" i="33" s="1"/>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s="1"/>
  <c r="F11" i="39"/>
  <c r="G4" i="4"/>
  <c r="I4" i="4"/>
  <c r="F61" i="43"/>
  <c r="H64" i="43" s="1"/>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AZ116" i="3" s="1"/>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AZ179" i="3" s="1"/>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67" i="3"/>
  <c r="AZ97" i="3"/>
  <c r="AZ120" i="3"/>
  <c r="G534" i="3"/>
  <c r="G530" i="3"/>
  <c r="G512" i="3"/>
  <c r="G506" i="3"/>
  <c r="G498" i="3"/>
  <c r="G16" i="3"/>
  <c r="G15" i="3"/>
  <c r="BA304" i="3"/>
  <c r="AZ304" i="3" s="1"/>
  <c r="BA305" i="3"/>
  <c r="AZ305" i="3" s="1"/>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BL342" i="3"/>
  <c r="AZ342" i="3" s="1"/>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86" i="3"/>
  <c r="AZ194"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G342" i="3"/>
  <c r="BL345" i="3"/>
  <c r="G346" i="3"/>
  <c r="BL349" i="3"/>
  <c r="AZ349" i="3" s="1"/>
  <c r="BL352" i="3"/>
  <c r="G353" i="3"/>
  <c r="BA357" i="3"/>
  <c r="AZ357" i="3" s="1"/>
  <c r="BL358" i="3"/>
  <c r="AZ358" i="3" s="1"/>
  <c r="G359" i="3"/>
  <c r="BA361" i="3"/>
  <c r="AZ361" i="3"/>
  <c r="BL362" i="3"/>
  <c r="AZ362" i="3" s="1"/>
  <c r="G363" i="3"/>
  <c r="BA365" i="3"/>
  <c r="AZ365" i="3"/>
  <c r="BL366" i="3"/>
  <c r="G367" i="3"/>
  <c r="BA369" i="3"/>
  <c r="AZ369" i="3"/>
  <c r="BL370" i="3"/>
  <c r="G371" i="3"/>
  <c r="BA373" i="3"/>
  <c r="AZ373" i="3"/>
  <c r="BL374" i="3"/>
  <c r="AZ374" i="3" s="1"/>
  <c r="G375" i="3"/>
  <c r="BA377" i="3"/>
  <c r="AZ377" i="3"/>
  <c r="AZ229" i="3"/>
  <c r="AZ233" i="3"/>
  <c r="AZ269" i="3"/>
  <c r="BA379" i="3"/>
  <c r="BL380" i="3"/>
  <c r="G381" i="3"/>
  <c r="BA383" i="3"/>
  <c r="AZ383" i="3" s="1"/>
  <c r="BL384" i="3"/>
  <c r="G385" i="3"/>
  <c r="BA387" i="3"/>
  <c r="AZ387" i="3" s="1"/>
  <c r="BL388" i="3"/>
  <c r="G389" i="3"/>
  <c r="BA391" i="3"/>
  <c r="AZ391" i="3" s="1"/>
  <c r="BL392" i="3"/>
  <c r="G393" i="3"/>
  <c r="BO5" i="3"/>
  <c r="BF5" i="3"/>
  <c r="AZ341" i="3"/>
  <c r="AC5" i="3"/>
  <c r="G538" i="3"/>
  <c r="G520" i="3"/>
  <c r="BP5" i="3"/>
  <c r="BG5" i="3"/>
  <c r="G17" i="3"/>
  <c r="BA17" i="3"/>
  <c r="AZ17" i="3" s="1"/>
  <c r="AZ368" i="3"/>
  <c r="AZ380" i="3"/>
  <c r="AZ392" i="3"/>
  <c r="G509" i="3"/>
  <c r="U36" i="40"/>
  <c r="F83" i="43"/>
  <c r="H85" i="43" s="1"/>
  <c r="F50" i="43"/>
  <c r="H54" i="43" s="1"/>
  <c r="F72" i="43"/>
  <c r="H75" i="43" s="1"/>
  <c r="U17" i="39"/>
  <c r="S14" i="35"/>
  <c r="U43" i="21"/>
  <c r="U35" i="21"/>
  <c r="AC35" i="21"/>
  <c r="W37" i="37"/>
  <c r="W44" i="34"/>
  <c r="AC44" i="34"/>
  <c r="S15" i="37"/>
  <c r="U13" i="37"/>
  <c r="U12" i="40"/>
  <c r="AA12" i="40"/>
  <c r="J37" i="33"/>
  <c r="AC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7" i="3"/>
  <c r="AZ235" i="3"/>
  <c r="AZ248" i="3"/>
  <c r="AZ259" i="3"/>
  <c r="AZ271" i="3"/>
  <c r="AZ133" i="3"/>
  <c r="AZ110" i="3"/>
  <c r="F23" i="39"/>
  <c r="AA23" i="39" s="1"/>
  <c r="H27" i="36"/>
  <c r="U27" i="36" s="1"/>
  <c r="F27" i="36"/>
  <c r="AA27" i="36" s="1"/>
  <c r="H33" i="34"/>
  <c r="U33" i="34" s="1"/>
  <c r="F32" i="37"/>
  <c r="S32" i="37" s="1"/>
  <c r="AA32" i="37"/>
  <c r="G96" i="37"/>
  <c r="H96" i="37" s="1"/>
  <c r="I96" i="37" s="1"/>
  <c r="J96" i="37" s="1"/>
  <c r="K96" i="37" s="1"/>
  <c r="L96" i="37" s="1"/>
  <c r="M96" i="37" s="1"/>
  <c r="F20" i="36"/>
  <c r="AA20" i="36" s="1"/>
  <c r="J33" i="34"/>
  <c r="AC33" i="34" s="1"/>
  <c r="H23" i="39"/>
  <c r="U23" i="39" s="1"/>
  <c r="D48" i="9"/>
  <c r="M52" i="9" s="1"/>
  <c r="K9" i="1"/>
  <c r="M9" i="1" s="1"/>
  <c r="D93" i="9"/>
  <c r="W27" i="34"/>
  <c r="AC27" i="34"/>
  <c r="AB34" i="36"/>
  <c r="U34" i="36"/>
  <c r="AB33" i="36"/>
  <c r="U33" i="36"/>
  <c r="AC12" i="39"/>
  <c r="W12" i="39"/>
  <c r="AA32" i="36"/>
  <c r="S32" i="36"/>
  <c r="AZ473" i="3"/>
  <c r="BL14" i="3"/>
  <c r="AC13" i="34"/>
  <c r="AA47" i="34"/>
  <c r="W28" i="37"/>
  <c r="S19" i="39"/>
  <c r="H12" i="39"/>
  <c r="AB12" i="39" s="1"/>
  <c r="F39" i="40"/>
  <c r="BA14" i="3"/>
  <c r="AZ250" i="3"/>
  <c r="AZ286" i="3"/>
  <c r="AZ157" i="3"/>
  <c r="AZ173" i="3"/>
  <c r="AZ181"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AA19" i="40"/>
  <c r="S28" i="40"/>
  <c r="U21" i="40"/>
  <c r="AB19" i="40"/>
  <c r="U37" i="39"/>
  <c r="S43" i="39"/>
  <c r="U35" i="39"/>
  <c r="F32" i="39"/>
  <c r="F106" i="39"/>
  <c r="G106" i="39" s="1"/>
  <c r="H106" i="39" s="1"/>
  <c r="I106" i="39" s="1"/>
  <c r="J106" i="39" s="1"/>
  <c r="K106" i="39" s="1"/>
  <c r="L106" i="39" s="1"/>
  <c r="M106" i="39" s="1"/>
  <c r="U25" i="39"/>
  <c r="AB27" i="39"/>
  <c r="J21" i="39"/>
  <c r="W21" i="39" s="1"/>
  <c r="F21" i="39"/>
  <c r="G94" i="39"/>
  <c r="H21" i="39"/>
  <c r="AB21" i="39" s="1"/>
  <c r="W19" i="39"/>
  <c r="U19" i="39"/>
  <c r="S17" i="39"/>
  <c r="S15" i="39"/>
  <c r="AA12" i="39"/>
  <c r="S9" i="39"/>
  <c r="U14" i="39"/>
  <c r="S23" i="36"/>
  <c r="U13" i="36"/>
  <c r="U26" i="36"/>
  <c r="AA26" i="36"/>
  <c r="AA34" i="36"/>
  <c r="AC26" i="36"/>
  <c r="W14" i="36"/>
  <c r="AB14" i="36"/>
  <c r="U22" i="36"/>
  <c r="S16" i="36"/>
  <c r="AA25" i="36"/>
  <c r="S24" i="36"/>
  <c r="U24" i="36"/>
  <c r="AB20" i="36"/>
  <c r="U16" i="36"/>
  <c r="S14" i="36"/>
  <c r="AA25" i="35"/>
  <c r="S23" i="35"/>
  <c r="U29" i="35"/>
  <c r="U28" i="35"/>
  <c r="AB27" i="35"/>
  <c r="U36" i="35"/>
  <c r="U32" i="35"/>
  <c r="AC30" i="35"/>
  <c r="S32" i="35"/>
  <c r="AA36" i="35"/>
  <c r="S28" i="35"/>
  <c r="AB16" i="35"/>
  <c r="U22" i="35"/>
  <c r="AC20" i="35"/>
  <c r="S22" i="35"/>
  <c r="U14" i="35"/>
  <c r="AA11" i="35"/>
  <c r="AC9" i="35"/>
  <c r="W9" i="35"/>
  <c r="AC12" i="35"/>
  <c r="F9" i="35"/>
  <c r="S9" i="35" s="1"/>
  <c r="H9" i="35"/>
  <c r="U9" i="35" s="1"/>
  <c r="AB40" i="37"/>
  <c r="S25" i="37"/>
  <c r="AC29" i="37"/>
  <c r="U29"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B41" i="34"/>
  <c r="AA25" i="34"/>
  <c r="S17" i="34"/>
  <c r="AA29" i="34"/>
  <c r="U27" i="34"/>
  <c r="S23" i="34"/>
  <c r="U15" i="34"/>
  <c r="S13" i="34"/>
  <c r="H10" i="34"/>
  <c r="AB10" i="34" s="1"/>
  <c r="F11" i="34"/>
  <c r="S11" i="34" s="1"/>
  <c r="F70" i="34"/>
  <c r="G70" i="34" s="1"/>
  <c r="H70" i="34" s="1"/>
  <c r="I70" i="34" s="1"/>
  <c r="J70" i="34" s="1"/>
  <c r="K70" i="34" s="1"/>
  <c r="L70" i="34" s="1"/>
  <c r="M70" i="34" s="1"/>
  <c r="AA29" i="33"/>
  <c r="AB29" i="33"/>
  <c r="H41" i="33"/>
  <c r="U41" i="33" s="1"/>
  <c r="F121" i="33"/>
  <c r="G121" i="33" s="1"/>
  <c r="H121" i="33" s="1"/>
  <c r="I121" i="33" s="1"/>
  <c r="J121" i="33" s="1"/>
  <c r="K121" i="33" s="1"/>
  <c r="L121" i="33" s="1"/>
  <c r="M121" i="33" s="1"/>
  <c r="F36" i="33"/>
  <c r="AA36" i="33" s="1"/>
  <c r="G108" i="33"/>
  <c r="H108" i="33" s="1"/>
  <c r="I108" i="33" s="1"/>
  <c r="J108" i="33" s="1"/>
  <c r="K108" i="33" s="1"/>
  <c r="L108" i="33" s="1"/>
  <c r="M108" i="33" s="1"/>
  <c r="J35" i="33"/>
  <c r="J32" i="33"/>
  <c r="W32" i="33" s="1"/>
  <c r="F91" i="33"/>
  <c r="G91" i="33" s="1"/>
  <c r="H91" i="33" s="1"/>
  <c r="I91" i="33" s="1"/>
  <c r="J91" i="33" s="1"/>
  <c r="K91" i="33" s="1"/>
  <c r="L91" i="33" s="1"/>
  <c r="M91" i="33" s="1"/>
  <c r="H27" i="33"/>
  <c r="AB27" i="33" s="1"/>
  <c r="F87" i="33"/>
  <c r="H25" i="33"/>
  <c r="U25" i="33" s="1"/>
  <c r="F25" i="33"/>
  <c r="S25" i="33" s="1"/>
  <c r="J23" i="33"/>
  <c r="AC23" i="33" s="1"/>
  <c r="H23" i="33"/>
  <c r="AB23" i="33" s="1"/>
  <c r="F81" i="33"/>
  <c r="G81" i="33" s="1"/>
  <c r="F19" i="33"/>
  <c r="S19" i="33" s="1"/>
  <c r="J17" i="33"/>
  <c r="W17" i="33" s="1"/>
  <c r="S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C18" i="9"/>
  <c r="D18" i="9" s="1"/>
  <c r="F34" i="67"/>
  <c r="F62" i="67" s="1"/>
  <c r="M20" i="67"/>
  <c r="F34" i="15"/>
  <c r="F62" i="15" s="1"/>
  <c r="BL17" i="3"/>
  <c r="BL13" i="3"/>
  <c r="J56" i="9"/>
  <c r="J57" i="9" s="1"/>
  <c r="J59" i="9" s="1"/>
  <c r="J61" i="9" s="1"/>
  <c r="A24" i="51"/>
  <c r="B18" i="72" s="1"/>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G1" i="69"/>
  <c r="W23" i="40"/>
  <c r="U32" i="40"/>
  <c r="AB31" i="40"/>
  <c r="S37" i="40"/>
  <c r="W28" i="40"/>
  <c r="W34" i="40"/>
  <c r="W19" i="40"/>
  <c r="W27" i="40"/>
  <c r="S36" i="40"/>
  <c r="W37" i="40"/>
  <c r="S33" i="40"/>
  <c r="AA15" i="40"/>
  <c r="S31" i="40"/>
  <c r="U15" i="40"/>
  <c r="AB17" i="40"/>
  <c r="U8" i="40"/>
  <c r="S8" i="40"/>
  <c r="AC41" i="39"/>
  <c r="U42" i="39"/>
  <c r="U41" i="39"/>
  <c r="W25" i="39"/>
  <c r="AC25" i="39"/>
  <c r="U13" i="39"/>
  <c r="AB13" i="39"/>
  <c r="AA13" i="39"/>
  <c r="S13" i="39"/>
  <c r="AA14" i="39"/>
  <c r="U43" i="39"/>
  <c r="AB43" i="39"/>
  <c r="AB11" i="39"/>
  <c r="U11" i="39"/>
  <c r="AA27" i="39"/>
  <c r="S27" i="39"/>
  <c r="W17" i="39"/>
  <c r="AC17" i="39"/>
  <c r="AA45" i="39"/>
  <c r="AB39" i="39"/>
  <c r="W34" i="39"/>
  <c r="U38" i="39"/>
  <c r="S8" i="39"/>
  <c r="S20" i="36"/>
  <c r="U32" i="36"/>
  <c r="W29" i="36"/>
  <c r="U25" i="36"/>
  <c r="AB28" i="36"/>
  <c r="AA13" i="36"/>
  <c r="W9" i="36"/>
  <c r="W22" i="36"/>
  <c r="AB20" i="35"/>
  <c r="AC25" i="35"/>
  <c r="U25" i="35"/>
  <c r="S35" i="35"/>
  <c r="W35" i="35"/>
  <c r="AA16" i="35"/>
  <c r="AA35" i="37"/>
  <c r="W36" i="37"/>
  <c r="S27" i="37"/>
  <c r="S28" i="37"/>
  <c r="W32" i="37"/>
  <c r="U36" i="37"/>
  <c r="U38" i="37"/>
  <c r="AB37" i="37"/>
  <c r="AC34" i="37"/>
  <c r="AA31" i="37"/>
  <c r="U19" i="37"/>
  <c r="AA29" i="37"/>
  <c r="U8" i="37"/>
  <c r="AB40" i="34"/>
  <c r="U19" i="34"/>
  <c r="W19" i="34"/>
  <c r="AA31" i="34"/>
  <c r="AA30" i="34"/>
  <c r="AB47" i="34"/>
  <c r="U25" i="34"/>
  <c r="AB36" i="34"/>
  <c r="AC14" i="34"/>
  <c r="AC32"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14" i="33"/>
  <c r="W14" i="33"/>
  <c r="S31" i="33"/>
  <c r="AA31" i="33"/>
  <c r="W13" i="33"/>
  <c r="AC13" i="33"/>
  <c r="S11"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W9" i="21" s="1"/>
  <c r="J32" i="21"/>
  <c r="W32" i="21" s="1"/>
  <c r="F32" i="21"/>
  <c r="AA31" i="21"/>
  <c r="U17" i="21"/>
  <c r="S19" i="21"/>
  <c r="S9" i="21"/>
  <c r="AA9" i="21"/>
  <c r="K141" i="21"/>
  <c r="K144" i="21"/>
  <c r="K143" i="21"/>
  <c r="U27" i="21"/>
  <c r="AB25" i="21"/>
  <c r="AA30" i="21"/>
  <c r="W13" i="21"/>
  <c r="W42" i="21"/>
  <c r="AC45" i="21"/>
  <c r="F10" i="21"/>
  <c r="AA10" i="21" s="1"/>
  <c r="K145" i="21"/>
  <c r="W25" i="21"/>
  <c r="W31" i="21"/>
  <c r="S27" i="21"/>
  <c r="S17" i="21"/>
  <c r="AA15" i="21"/>
  <c r="AC27" i="21"/>
  <c r="AC26" i="21"/>
  <c r="AB29" i="21"/>
  <c r="S28" i="21"/>
  <c r="AC34" i="21"/>
  <c r="AB36" i="21"/>
  <c r="W30" i="40"/>
  <c r="C15" i="40"/>
  <c r="C17" i="40"/>
  <c r="C23" i="40"/>
  <c r="C21" i="40"/>
  <c r="U30" i="40"/>
  <c r="B56" i="43"/>
  <c r="B67" i="43"/>
  <c r="B51" i="43"/>
  <c r="B54" i="43"/>
  <c r="B58" i="43"/>
  <c r="B62" i="43"/>
  <c r="B65" i="43"/>
  <c r="B69" i="43"/>
  <c r="D23" i="15"/>
  <c r="D22" i="15"/>
  <c r="E4" i="4"/>
  <c r="B5" i="62" s="1"/>
  <c r="B73" i="72" s="1"/>
  <c r="C4" i="4"/>
  <c r="AA39" i="40"/>
  <c r="S39" i="40"/>
  <c r="J32" i="39"/>
  <c r="H32" i="39"/>
  <c r="AB32" i="39" s="1"/>
  <c r="AA32" i="39"/>
  <c r="S32" i="39"/>
  <c r="AA21" i="39"/>
  <c r="S21" i="39"/>
  <c r="AC17" i="37"/>
  <c r="J19" i="37"/>
  <c r="W19" i="37" s="1"/>
  <c r="G75" i="37"/>
  <c r="AA23" i="37"/>
  <c r="J23" i="37"/>
  <c r="W23" i="37" s="1"/>
  <c r="G79" i="37"/>
  <c r="J10" i="37"/>
  <c r="W10" i="37" s="1"/>
  <c r="H11" i="37"/>
  <c r="AB11" i="37" s="1"/>
  <c r="H11" i="34"/>
  <c r="U11" i="34" s="1"/>
  <c r="J10" i="34"/>
  <c r="AC10" i="34" s="1"/>
  <c r="AB41" i="33"/>
  <c r="W35" i="33"/>
  <c r="AC35" i="33"/>
  <c r="J36" i="33"/>
  <c r="W36" i="33" s="1"/>
  <c r="H36" i="33"/>
  <c r="U36" i="33" s="1"/>
  <c r="J27" i="33"/>
  <c r="W27" i="33" s="1"/>
  <c r="G87" i="33"/>
  <c r="H87" i="33" s="1"/>
  <c r="I87" i="33" s="1"/>
  <c r="J87" i="33" s="1"/>
  <c r="K87" i="33" s="1"/>
  <c r="L87" i="33" s="1"/>
  <c r="M87" i="33" s="1"/>
  <c r="J25" i="33"/>
  <c r="AC25" i="33" s="1"/>
  <c r="F23" i="33"/>
  <c r="H19" i="33"/>
  <c r="U19" i="33" s="1"/>
  <c r="H17" i="33"/>
  <c r="U17" i="33" s="1"/>
  <c r="F17" i="33"/>
  <c r="S17" i="33" s="1"/>
  <c r="S37" i="21"/>
  <c r="AA23" i="21"/>
  <c r="AB15" i="21"/>
  <c r="J23" i="21"/>
  <c r="AC23" i="21" s="1"/>
  <c r="F85" i="21"/>
  <c r="G85" i="21" s="1"/>
  <c r="H23" i="21"/>
  <c r="AB23" i="21" s="1"/>
  <c r="AP7" i="1"/>
  <c r="AB45" i="21"/>
  <c r="AA32" i="21"/>
  <c r="S32" i="21"/>
  <c r="AB32" i="21"/>
  <c r="U32" i="21"/>
  <c r="U32" i="39"/>
  <c r="AC32" i="39"/>
  <c r="W32" i="39"/>
  <c r="J11" i="37"/>
  <c r="AC11" i="37" s="1"/>
  <c r="J11" i="34"/>
  <c r="W11" i="34" s="1"/>
  <c r="U23" i="21"/>
  <c r="W23" i="21"/>
  <c r="H109" i="9"/>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7" i="73"/>
  <c r="AO13" i="1"/>
  <c r="D6" i="73"/>
  <c r="E10" i="76"/>
  <c r="F5" i="73"/>
  <c r="F6" i="73"/>
  <c r="B11" i="76"/>
  <c r="F3" i="73"/>
  <c r="B9" i="76"/>
  <c r="B10" i="76"/>
  <c r="E13" i="76"/>
  <c r="E12" i="76"/>
  <c r="E9" i="76"/>
  <c r="F20" i="31"/>
  <c r="B8" i="76"/>
  <c r="E7" i="76"/>
  <c r="E8" i="76"/>
  <c r="B13" i="76"/>
  <c r="E2" i="68"/>
  <c r="B12" i="76"/>
  <c r="E11" i="76"/>
  <c r="B7" i="76"/>
  <c r="E2" i="69"/>
  <c r="F4" i="73"/>
  <c r="AB45" i="33" l="1"/>
  <c r="B13" i="31"/>
  <c r="J44" i="33"/>
  <c r="AC44" i="33" s="1"/>
  <c r="AB44" i="33"/>
  <c r="F123" i="33"/>
  <c r="G123" i="33" s="1"/>
  <c r="H123" i="33" s="1"/>
  <c r="I123" i="33" s="1"/>
  <c r="J123" i="33" s="1"/>
  <c r="K123" i="33" s="1"/>
  <c r="L123" i="33" s="1"/>
  <c r="M123" i="33" s="1"/>
  <c r="F42" i="33"/>
  <c r="AA42" i="33" s="1"/>
  <c r="J42" i="33"/>
  <c r="AC42" i="33" s="1"/>
  <c r="H42" i="33"/>
  <c r="AB42" i="33" s="1"/>
  <c r="G123" i="31"/>
  <c r="G119" i="31"/>
  <c r="G115" i="31"/>
  <c r="G111" i="31"/>
  <c r="G107" i="31"/>
  <c r="G103" i="31"/>
  <c r="G99" i="31"/>
  <c r="G95" i="31"/>
  <c r="G91" i="31"/>
  <c r="G87" i="31"/>
  <c r="G83" i="31"/>
  <c r="G79" i="31"/>
  <c r="G75" i="31"/>
  <c r="G71" i="31"/>
  <c r="G67" i="31"/>
  <c r="G63" i="31"/>
  <c r="G59" i="31"/>
  <c r="G55" i="31"/>
  <c r="G51" i="31"/>
  <c r="G47" i="31"/>
  <c r="G43" i="31"/>
  <c r="G39" i="31"/>
  <c r="G35" i="31"/>
  <c r="G31" i="31"/>
  <c r="G150" i="31"/>
  <c r="G146" i="31"/>
  <c r="G142" i="31"/>
  <c r="G138" i="31"/>
  <c r="G134" i="31"/>
  <c r="G130" i="31"/>
  <c r="G126" i="31"/>
  <c r="G122" i="31"/>
  <c r="G118" i="31"/>
  <c r="G114" i="31"/>
  <c r="G110" i="31"/>
  <c r="G106" i="31"/>
  <c r="G102" i="31"/>
  <c r="G98" i="31"/>
  <c r="G94" i="31"/>
  <c r="G90" i="31"/>
  <c r="G86" i="31"/>
  <c r="G82" i="31"/>
  <c r="G78" i="31"/>
  <c r="G74" i="31"/>
  <c r="G70" i="31"/>
  <c r="G66" i="31"/>
  <c r="G62" i="31"/>
  <c r="G58" i="31"/>
  <c r="G54" i="31"/>
  <c r="G50" i="31"/>
  <c r="G46" i="31"/>
  <c r="G42" i="31"/>
  <c r="G38" i="31"/>
  <c r="G34" i="31"/>
  <c r="G30" i="31"/>
  <c r="U39" i="33"/>
  <c r="W39" i="33"/>
  <c r="AC21" i="33"/>
  <c r="U15" i="33"/>
  <c r="S43" i="33"/>
  <c r="W43" i="33"/>
  <c r="AA39" i="33"/>
  <c r="U38" i="33"/>
  <c r="AB36" i="33"/>
  <c r="AC34" i="33"/>
  <c r="S21" i="33"/>
  <c r="AB19" i="33"/>
  <c r="AC19" i="33"/>
  <c r="AA19" i="33"/>
  <c r="AA17" i="33"/>
  <c r="W15" i="33"/>
  <c r="S28" i="33"/>
  <c r="AA44" i="33"/>
  <c r="W42" i="33"/>
  <c r="S42" i="33"/>
  <c r="W38" i="33"/>
  <c r="U37" i="33"/>
  <c r="W37" i="33"/>
  <c r="S37" i="33"/>
  <c r="U32" i="33"/>
  <c r="AC32" i="33"/>
  <c r="S32" i="33"/>
  <c r="U27" i="33"/>
  <c r="S27" i="33"/>
  <c r="W26" i="33"/>
  <c r="S26" i="33"/>
  <c r="AB26" i="33"/>
  <c r="AA25" i="33"/>
  <c r="W25" i="33"/>
  <c r="U9" i="33"/>
  <c r="W9" i="33"/>
  <c r="W8" i="33"/>
  <c r="E19" i="6"/>
  <c r="B14" i="74" s="1"/>
  <c r="F6" i="1"/>
  <c r="G6" i="1" s="1"/>
  <c r="D51" i="43"/>
  <c r="D55" i="43"/>
  <c r="D54" i="43"/>
  <c r="D53" i="43"/>
  <c r="F30" i="69"/>
  <c r="F48" i="69" s="1"/>
  <c r="F31" i="12"/>
  <c r="F32" i="67"/>
  <c r="F60" i="67" s="1"/>
  <c r="F54" i="9"/>
  <c r="F28" i="15"/>
  <c r="F28" i="67"/>
  <c r="M18" i="67"/>
  <c r="D68" i="9"/>
  <c r="M18" i="15"/>
  <c r="F30" i="11"/>
  <c r="C48" i="11" s="1"/>
  <c r="F32" i="15"/>
  <c r="F60" i="15" s="1"/>
  <c r="F52" i="9"/>
  <c r="F30" i="68"/>
  <c r="F48" i="68" s="1"/>
  <c r="C21" i="68"/>
  <c r="G1" i="15"/>
  <c r="B6" i="1"/>
  <c r="E6" i="1" s="1"/>
  <c r="K1" i="12"/>
  <c r="G1" i="68"/>
  <c r="G1" i="67"/>
  <c r="G29" i="6"/>
  <c r="A15" i="62"/>
  <c r="B61" i="72" s="1"/>
  <c r="A2" i="9"/>
  <c r="A4" i="52"/>
  <c r="B41" i="72" s="1"/>
  <c r="A118" i="9"/>
  <c r="W46" i="33"/>
  <c r="AC46" i="33"/>
  <c r="AZ546" i="3"/>
  <c r="AZ526" i="3"/>
  <c r="AZ501" i="3"/>
  <c r="AZ542" i="3"/>
  <c r="AZ528" i="3"/>
  <c r="AZ512" i="3"/>
  <c r="AZ554" i="3"/>
  <c r="S12" i="33"/>
  <c r="AA12" i="33"/>
  <c r="AZ529" i="3"/>
  <c r="AZ494" i="3"/>
  <c r="AZ16" i="3"/>
  <c r="S14" i="34"/>
  <c r="AA14" i="34"/>
  <c r="J44" i="21"/>
  <c r="F44" i="21"/>
  <c r="H13" i="35"/>
  <c r="F13" i="35"/>
  <c r="BA540" i="3"/>
  <c r="AZ540" i="3" s="1"/>
  <c r="BL530" i="3"/>
  <c r="BA530" i="3"/>
  <c r="AZ530" i="3" s="1"/>
  <c r="BA516" i="3"/>
  <c r="AZ516" i="3" s="1"/>
  <c r="BA515" i="3"/>
  <c r="BA514" i="3"/>
  <c r="AZ514" i="3" s="1"/>
  <c r="BL512" i="3"/>
  <c r="BL510" i="3"/>
  <c r="BA510" i="3"/>
  <c r="BA509" i="3"/>
  <c r="AZ509" i="3" s="1"/>
  <c r="BL508" i="3"/>
  <c r="AZ508" i="3" s="1"/>
  <c r="BA507" i="3"/>
  <c r="BL506" i="3"/>
  <c r="AZ506" i="3" s="1"/>
  <c r="BA505" i="3"/>
  <c r="AZ505" i="3" s="1"/>
  <c r="BL504" i="3"/>
  <c r="BL499" i="3"/>
  <c r="BA499" i="3"/>
  <c r="BA498" i="3"/>
  <c r="AZ498" i="3" s="1"/>
  <c r="BA497" i="3"/>
  <c r="AZ497" i="3" s="1"/>
  <c r="BL495" i="3"/>
  <c r="AZ495" i="3" s="1"/>
  <c r="BL494" i="3"/>
  <c r="H5" i="3"/>
  <c r="AZ513" i="3"/>
  <c r="AA44" i="34"/>
  <c r="S44" i="34"/>
  <c r="BA553" i="3"/>
  <c r="BA552" i="3"/>
  <c r="AZ552" i="3" s="1"/>
  <c r="BA551" i="3"/>
  <c r="AZ551" i="3" s="1"/>
  <c r="BA550" i="3"/>
  <c r="BL549" i="3"/>
  <c r="BA549" i="3"/>
  <c r="BL546" i="3"/>
  <c r="BL532" i="3"/>
  <c r="AZ532" i="3" s="1"/>
  <c r="BL526" i="3"/>
  <c r="BA525" i="3"/>
  <c r="AZ525" i="3" s="1"/>
  <c r="BA522" i="3"/>
  <c r="AZ522" i="3" s="1"/>
  <c r="BA521" i="3"/>
  <c r="AZ521" i="3" s="1"/>
  <c r="AC27" i="33"/>
  <c r="AC23" i="37"/>
  <c r="AC9" i="21"/>
  <c r="U9" i="21"/>
  <c r="S36" i="33"/>
  <c r="S17" i="37"/>
  <c r="U21" i="39"/>
  <c r="C19" i="39"/>
  <c r="W33" i="34"/>
  <c r="AB33" i="34"/>
  <c r="AA40" i="34"/>
  <c r="S24" i="35"/>
  <c r="S23" i="39"/>
  <c r="AB28" i="40"/>
  <c r="S43" i="34"/>
  <c r="AB31" i="37"/>
  <c r="W27" i="37"/>
  <c r="AA33" i="35"/>
  <c r="S30" i="40"/>
  <c r="AZ14" i="3"/>
  <c r="AZ199" i="3"/>
  <c r="AZ378" i="3"/>
  <c r="AZ375" i="3"/>
  <c r="BL511" i="3"/>
  <c r="AZ511" i="3" s="1"/>
  <c r="BL539" i="3"/>
  <c r="AZ539" i="3" s="1"/>
  <c r="AZ565" i="3"/>
  <c r="BA500" i="3"/>
  <c r="AZ500" i="3" s="1"/>
  <c r="AA14" i="33"/>
  <c r="H29" i="34"/>
  <c r="H44" i="21"/>
  <c r="U30" i="21"/>
  <c r="AB30" i="21"/>
  <c r="AA41" i="33"/>
  <c r="S41" i="33"/>
  <c r="BA587" i="3"/>
  <c r="BL585" i="3"/>
  <c r="F9" i="34"/>
  <c r="AA9" i="34" s="1"/>
  <c r="J9" i="34"/>
  <c r="H9" i="34"/>
  <c r="F28" i="34"/>
  <c r="J28" i="34"/>
  <c r="H28" i="34"/>
  <c r="AZ328" i="3"/>
  <c r="W45" i="33"/>
  <c r="AC45" i="33"/>
  <c r="W36" i="34"/>
  <c r="AC36" i="34"/>
  <c r="AA40" i="21"/>
  <c r="S40" i="21"/>
  <c r="J12" i="33"/>
  <c r="H12" i="33"/>
  <c r="U12" i="33" s="1"/>
  <c r="F30" i="33"/>
  <c r="J30" i="33"/>
  <c r="F46" i="33"/>
  <c r="H46" i="33"/>
  <c r="H45" i="34"/>
  <c r="J45" i="34"/>
  <c r="BL548" i="3"/>
  <c r="AZ548" i="3" s="1"/>
  <c r="BA544" i="3"/>
  <c r="AZ544" i="3" s="1"/>
  <c r="BA543" i="3"/>
  <c r="AZ543" i="3" s="1"/>
  <c r="BL542" i="3"/>
  <c r="BA541" i="3"/>
  <c r="AZ541" i="3" s="1"/>
  <c r="BA538" i="3"/>
  <c r="AZ538" i="3" s="1"/>
  <c r="BA535" i="3"/>
  <c r="BL533" i="3"/>
  <c r="AZ533" i="3" s="1"/>
  <c r="BL524" i="3"/>
  <c r="BA524" i="3"/>
  <c r="AZ524" i="3" s="1"/>
  <c r="BA517" i="3"/>
  <c r="AZ504" i="3"/>
  <c r="AC17" i="33"/>
  <c r="S13" i="21"/>
  <c r="U23" i="33"/>
  <c r="AB25" i="33"/>
  <c r="AA19" i="37"/>
  <c r="W17" i="21"/>
  <c r="W29" i="21"/>
  <c r="AB34" i="33"/>
  <c r="AB35" i="37"/>
  <c r="S40" i="37"/>
  <c r="AC25" i="36"/>
  <c r="U11" i="40"/>
  <c r="AC14" i="40"/>
  <c r="D120" i="9"/>
  <c r="AA35" i="33"/>
  <c r="S20" i="35"/>
  <c r="AA22" i="36"/>
  <c r="U12" i="39"/>
  <c r="AA27" i="40"/>
  <c r="AB27" i="40"/>
  <c r="AA34" i="33"/>
  <c r="BB5" i="3"/>
  <c r="E8" i="6" s="1"/>
  <c r="F27" i="6" s="1"/>
  <c r="BK5" i="3"/>
  <c r="AZ390" i="3"/>
  <c r="AZ351" i="3"/>
  <c r="G494" i="3"/>
  <c r="AZ306" i="3"/>
  <c r="S11" i="39"/>
  <c r="AA11" i="39"/>
  <c r="AC31" i="33"/>
  <c r="AZ575" i="3"/>
  <c r="AZ572" i="3"/>
  <c r="BL496" i="3"/>
  <c r="AZ496" i="3" s="1"/>
  <c r="AZ585" i="3"/>
  <c r="J13" i="35"/>
  <c r="J29" i="34"/>
  <c r="H30" i="33"/>
  <c r="S29" i="35"/>
  <c r="AA29" i="35"/>
  <c r="H13" i="40"/>
  <c r="F13" i="40"/>
  <c r="AC41" i="33"/>
  <c r="W41" i="33"/>
  <c r="AC20" i="36"/>
  <c r="AA39" i="39"/>
  <c r="AC13" i="37"/>
  <c r="AC13" i="39"/>
  <c r="AC11" i="39"/>
  <c r="BD5" i="3"/>
  <c r="BM5" i="3"/>
  <c r="F29" i="6" s="1"/>
  <c r="AZ379" i="3"/>
  <c r="AZ318" i="3"/>
  <c r="BL535" i="3"/>
  <c r="AZ535" i="3" s="1"/>
  <c r="BL553" i="3"/>
  <c r="AC47" i="34"/>
  <c r="W47" i="34"/>
  <c r="F45" i="34"/>
  <c r="W15" i="34"/>
  <c r="AC15" i="34"/>
  <c r="J24" i="35"/>
  <c r="H24" i="35"/>
  <c r="BL519" i="3"/>
  <c r="AZ519" i="3" s="1"/>
  <c r="BL531" i="3"/>
  <c r="AZ531" i="3" s="1"/>
  <c r="AZ573" i="3"/>
  <c r="AZ583" i="3"/>
  <c r="AZ576" i="3"/>
  <c r="J12" i="34"/>
  <c r="H12" i="34"/>
  <c r="F12" i="34"/>
  <c r="S12" i="34" s="1"/>
  <c r="H23" i="36"/>
  <c r="J23" i="36"/>
  <c r="J33" i="36"/>
  <c r="AC33" i="36" s="1"/>
  <c r="F33" i="36"/>
  <c r="AB9" i="39"/>
  <c r="U9" i="39"/>
  <c r="AA34" i="40"/>
  <c r="S34" i="40"/>
  <c r="J39" i="40"/>
  <c r="H39" i="40"/>
  <c r="AZ451" i="3"/>
  <c r="AZ345" i="3"/>
  <c r="AZ334" i="3"/>
  <c r="AZ303" i="3"/>
  <c r="AZ372" i="3"/>
  <c r="AZ347" i="3"/>
  <c r="AZ337" i="3"/>
  <c r="AZ200" i="3"/>
  <c r="AZ376" i="3"/>
  <c r="AZ309" i="3"/>
  <c r="AC12" i="37"/>
  <c r="BL503" i="3"/>
  <c r="AZ503" i="3" s="1"/>
  <c r="BL515" i="3"/>
  <c r="AZ515" i="3" s="1"/>
  <c r="BL523" i="3"/>
  <c r="AZ523" i="3" s="1"/>
  <c r="BL527" i="3"/>
  <c r="AZ527" i="3" s="1"/>
  <c r="BL547" i="3"/>
  <c r="AZ547" i="3" s="1"/>
  <c r="AZ569" i="3"/>
  <c r="AZ571" i="3"/>
  <c r="AZ579" i="3"/>
  <c r="W44" i="39"/>
  <c r="AC28" i="21"/>
  <c r="U17" i="34"/>
  <c r="AB17" i="34"/>
  <c r="AC40" i="33"/>
  <c r="W40" i="33"/>
  <c r="AC8" i="34"/>
  <c r="W8" i="34"/>
  <c r="AC40" i="39"/>
  <c r="W40" i="39"/>
  <c r="H31" i="39"/>
  <c r="J31" i="39"/>
  <c r="J37" i="39"/>
  <c r="F37" i="39"/>
  <c r="AB34" i="40"/>
  <c r="U34" i="40"/>
  <c r="G566" i="3"/>
  <c r="G558" i="3"/>
  <c r="H28" i="33"/>
  <c r="J28" i="33"/>
  <c r="AA27" i="35"/>
  <c r="S27" i="35"/>
  <c r="S38" i="34"/>
  <c r="AA38" i="34"/>
  <c r="AZ400" i="3"/>
  <c r="AZ402" i="3"/>
  <c r="AZ406" i="3"/>
  <c r="BA417" i="3"/>
  <c r="AZ417" i="3" s="1"/>
  <c r="BL421" i="3"/>
  <c r="BL422" i="3"/>
  <c r="BL425" i="3"/>
  <c r="BL426" i="3"/>
  <c r="BA428" i="3"/>
  <c r="BA429" i="3"/>
  <c r="BA430" i="3"/>
  <c r="AZ430" i="3" s="1"/>
  <c r="BA432" i="3"/>
  <c r="AZ432" i="3" s="1"/>
  <c r="BA434" i="3"/>
  <c r="BA436" i="3"/>
  <c r="BA438" i="3"/>
  <c r="G442" i="3"/>
  <c r="G443" i="3"/>
  <c r="BA446" i="3"/>
  <c r="BA450" i="3"/>
  <c r="AZ450" i="3" s="1"/>
  <c r="BA453" i="3"/>
  <c r="BA455" i="3"/>
  <c r="AZ455" i="3" s="1"/>
  <c r="BL457" i="3"/>
  <c r="BL460" i="3"/>
  <c r="BL461" i="3"/>
  <c r="BL463" i="3"/>
  <c r="G465" i="3"/>
  <c r="BA471" i="3"/>
  <c r="AZ487" i="3"/>
  <c r="BA388" i="3"/>
  <c r="AZ388" i="3" s="1"/>
  <c r="B79" i="43"/>
  <c r="H23" i="35"/>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BA426" i="3"/>
  <c r="BA427" i="3"/>
  <c r="AZ427" i="3" s="1"/>
  <c r="BA433" i="3"/>
  <c r="AZ433" i="3" s="1"/>
  <c r="BA435" i="3"/>
  <c r="BL437" i="3"/>
  <c r="AZ437" i="3" s="1"/>
  <c r="G439" i="3"/>
  <c r="BL441" i="3"/>
  <c r="AZ441" i="3" s="1"/>
  <c r="BL442" i="3"/>
  <c r="BL444" i="3"/>
  <c r="AZ444" i="3" s="1"/>
  <c r="G446" i="3"/>
  <c r="BL448" i="3"/>
  <c r="G450" i="3"/>
  <c r="BA454" i="3"/>
  <c r="AZ454" i="3" s="1"/>
  <c r="BA457" i="3"/>
  <c r="AZ457" i="3" s="1"/>
  <c r="BA459" i="3"/>
  <c r="AZ459" i="3" s="1"/>
  <c r="BA460" i="3"/>
  <c r="BA461" i="3"/>
  <c r="AZ461" i="3" s="1"/>
  <c r="BL464" i="3"/>
  <c r="BL466" i="3"/>
  <c r="G468" i="3"/>
  <c r="G469" i="3"/>
  <c r="BL476" i="3"/>
  <c r="AZ476" i="3" s="1"/>
  <c r="BL477" i="3"/>
  <c r="BL478" i="3"/>
  <c r="BL480" i="3"/>
  <c r="AZ480" i="3" s="1"/>
  <c r="BA483" i="3"/>
  <c r="BL483" i="3"/>
  <c r="BA486" i="3"/>
  <c r="BL489" i="3"/>
  <c r="AZ489" i="3" s="1"/>
  <c r="BL491" i="3"/>
  <c r="BL492" i="3"/>
  <c r="BA315" i="3"/>
  <c r="AZ315" i="3" s="1"/>
  <c r="BA333" i="3"/>
  <c r="BL346" i="3"/>
  <c r="AZ346" i="3" s="1"/>
  <c r="G349" i="3"/>
  <c r="G374" i="3"/>
  <c r="BA397" i="3"/>
  <c r="AZ397" i="3" s="1"/>
  <c r="BL397" i="3"/>
  <c r="G585" i="3"/>
  <c r="BL587" i="3"/>
  <c r="BL586" i="3"/>
  <c r="AZ586" i="3" s="1"/>
  <c r="G574" i="3"/>
  <c r="BL16" i="3"/>
  <c r="BA401" i="3"/>
  <c r="AZ401" i="3" s="1"/>
  <c r="BA403" i="3"/>
  <c r="AZ403" i="3" s="1"/>
  <c r="BA404" i="3"/>
  <c r="AZ404" i="3" s="1"/>
  <c r="BA405" i="3"/>
  <c r="BL410" i="3"/>
  <c r="AZ410" i="3" s="1"/>
  <c r="AZ419" i="3"/>
  <c r="AZ422" i="3"/>
  <c r="AZ448" i="3"/>
  <c r="AZ464" i="3"/>
  <c r="AZ466" i="3"/>
  <c r="BA482" i="3"/>
  <c r="BA484" i="3"/>
  <c r="AZ484" i="3" s="1"/>
  <c r="G491" i="3"/>
  <c r="BA303" i="3"/>
  <c r="BA307" i="3"/>
  <c r="AZ307" i="3" s="1"/>
  <c r="G311" i="3"/>
  <c r="BL314" i="3"/>
  <c r="AZ314" i="3" s="1"/>
  <c r="G315" i="3"/>
  <c r="BA332" i="3"/>
  <c r="BL332" i="3"/>
  <c r="G339" i="3"/>
  <c r="G364" i="3"/>
  <c r="BA367" i="3"/>
  <c r="AZ367" i="3" s="1"/>
  <c r="BA370" i="3"/>
  <c r="AZ370" i="3" s="1"/>
  <c r="BA210" i="3"/>
  <c r="AZ228" i="3"/>
  <c r="G398" i="3"/>
  <c r="G399" i="3"/>
  <c r="BL400" i="3"/>
  <c r="BL408" i="3"/>
  <c r="AZ408" i="3" s="1"/>
  <c r="BL411" i="3"/>
  <c r="AZ411" i="3" s="1"/>
  <c r="BL413" i="3"/>
  <c r="AZ413" i="3" s="1"/>
  <c r="G415" i="3"/>
  <c r="G416" i="3"/>
  <c r="BL417" i="3"/>
  <c r="BL418" i="3"/>
  <c r="BL420" i="3"/>
  <c r="G423" i="3"/>
  <c r="BL424" i="3"/>
  <c r="G427" i="3"/>
  <c r="BL428" i="3"/>
  <c r="BL429" i="3"/>
  <c r="BL432" i="3"/>
  <c r="BL435" i="3"/>
  <c r="BL436" i="3"/>
  <c r="BA439" i="3"/>
  <c r="BA440" i="3"/>
  <c r="AZ440" i="3" s="1"/>
  <c r="BA442" i="3"/>
  <c r="AZ442" i="3" s="1"/>
  <c r="BA445" i="3"/>
  <c r="BA447" i="3"/>
  <c r="AZ447" i="3" s="1"/>
  <c r="BA449" i="3"/>
  <c r="BL453" i="3"/>
  <c r="BL454" i="3"/>
  <c r="G458" i="3"/>
  <c r="BL459" i="3"/>
  <c r="G462" i="3"/>
  <c r="BA465" i="3"/>
  <c r="AZ465" i="3" s="1"/>
  <c r="BA467" i="3"/>
  <c r="BA468" i="3"/>
  <c r="BL471" i="3"/>
  <c r="BL475" i="3"/>
  <c r="BA477" i="3"/>
  <c r="BA478" i="3"/>
  <c r="BA481" i="3"/>
  <c r="G484" i="3"/>
  <c r="BA488" i="3"/>
  <c r="AZ488" i="3" s="1"/>
  <c r="BA491" i="3"/>
  <c r="BL324" i="3"/>
  <c r="AZ324" i="3" s="1"/>
  <c r="BL328" i="3"/>
  <c r="G329" i="3"/>
  <c r="BA335" i="3"/>
  <c r="AZ335" i="3" s="1"/>
  <c r="BA339" i="3"/>
  <c r="AZ339" i="3" s="1"/>
  <c r="G343" i="3"/>
  <c r="G347" i="3"/>
  <c r="BA348" i="3"/>
  <c r="BA350" i="3"/>
  <c r="AZ350" i="3" s="1"/>
  <c r="BA354" i="3"/>
  <c r="BA366" i="3"/>
  <c r="AZ366" i="3" s="1"/>
  <c r="BL375" i="3"/>
  <c r="BA209" i="3"/>
  <c r="G212" i="3"/>
  <c r="G397" i="3"/>
  <c r="G210" i="3"/>
  <c r="BA216" i="3"/>
  <c r="AZ216" i="3" s="1"/>
  <c r="BA218" i="3"/>
  <c r="BL218" i="3"/>
  <c r="BL220" i="3"/>
  <c r="BL221" i="3"/>
  <c r="G222" i="3"/>
  <c r="BL223" i="3"/>
  <c r="AZ223" i="3" s="1"/>
  <c r="G224" i="3"/>
  <c r="BL243" i="3"/>
  <c r="AZ243" i="3" s="1"/>
  <c r="BA247" i="3"/>
  <c r="BL247" i="3"/>
  <c r="BA249" i="3"/>
  <c r="AZ249" i="3" s="1"/>
  <c r="BL249" i="3"/>
  <c r="BA251" i="3"/>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BA144" i="3"/>
  <c r="AZ144" i="3" s="1"/>
  <c r="BA153" i="3"/>
  <c r="BL155" i="3"/>
  <c r="AZ155" i="3" s="1"/>
  <c r="BL210" i="3"/>
  <c r="BL212" i="3"/>
  <c r="G214" i="3"/>
  <c r="BL214" i="3"/>
  <c r="AZ214" i="3" s="1"/>
  <c r="G216" i="3"/>
  <c r="BL225" i="3"/>
  <c r="BL226" i="3"/>
  <c r="G227" i="3"/>
  <c r="BA239" i="3"/>
  <c r="AZ239" i="3" s="1"/>
  <c r="BL239" i="3"/>
  <c r="BA241" i="3"/>
  <c r="AZ241" i="3" s="1"/>
  <c r="BL241" i="3"/>
  <c r="BA244" i="3"/>
  <c r="AZ244" i="3" s="1"/>
  <c r="BL244" i="3"/>
  <c r="BA246" i="3"/>
  <c r="BA252" i="3"/>
  <c r="AZ252" i="3" s="1"/>
  <c r="BA254" i="3"/>
  <c r="AZ254" i="3" s="1"/>
  <c r="BA256" i="3"/>
  <c r="AZ256" i="3" s="1"/>
  <c r="BL256" i="3"/>
  <c r="BA258" i="3"/>
  <c r="BL264" i="3"/>
  <c r="BL266" i="3"/>
  <c r="BA268" i="3"/>
  <c r="BL273" i="3"/>
  <c r="G274" i="3"/>
  <c r="BA277" i="3"/>
  <c r="AZ277" i="3" s="1"/>
  <c r="BL277" i="3"/>
  <c r="BA282" i="3"/>
  <c r="BL282" i="3"/>
  <c r="BA284" i="3"/>
  <c r="BL290" i="3"/>
  <c r="BL291" i="3"/>
  <c r="AZ291" i="3" s="1"/>
  <c r="BL293" i="3"/>
  <c r="AZ293" i="3" s="1"/>
  <c r="BL294" i="3"/>
  <c r="BA297" i="3"/>
  <c r="AZ297" i="3" s="1"/>
  <c r="BL297" i="3"/>
  <c r="BL300" i="3"/>
  <c r="BA302" i="3"/>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A174" i="3"/>
  <c r="BL177" i="3"/>
  <c r="BL217" i="3"/>
  <c r="AZ217" i="3" s="1"/>
  <c r="BA219" i="3"/>
  <c r="AZ219" i="3" s="1"/>
  <c r="BA221" i="3"/>
  <c r="BL228" i="3"/>
  <c r="BA230" i="3"/>
  <c r="AZ230" i="3" s="1"/>
  <c r="BL232" i="3"/>
  <c r="BL234" i="3"/>
  <c r="BA236" i="3"/>
  <c r="BA238" i="3"/>
  <c r="AZ238" i="3" s="1"/>
  <c r="BA190" i="3"/>
  <c r="BA197" i="3"/>
  <c r="BL205"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AZ301" i="3" s="1"/>
  <c r="BL302" i="3"/>
  <c r="BA114" i="3"/>
  <c r="BL123" i="3"/>
  <c r="AZ123" i="3" s="1"/>
  <c r="BA128" i="3"/>
  <c r="AZ128" i="3" s="1"/>
  <c r="BL134" i="3"/>
  <c r="AZ134" i="3" s="1"/>
  <c r="BL137" i="3"/>
  <c r="G143" i="3"/>
  <c r="BA146" i="3"/>
  <c r="AZ146" i="3" s="1"/>
  <c r="BA150" i="3"/>
  <c r="AZ150" i="3" s="1"/>
  <c r="G159" i="3"/>
  <c r="BL169" i="3"/>
  <c r="BL170" i="3"/>
  <c r="G171" i="3"/>
  <c r="BA177" i="3"/>
  <c r="AZ177" i="3" s="1"/>
  <c r="BA182" i="3"/>
  <c r="BL185" i="3"/>
  <c r="G186" i="3"/>
  <c r="BL198" i="3"/>
  <c r="AZ198" i="3" s="1"/>
  <c r="BA201" i="3"/>
  <c r="AZ201" i="3" s="1"/>
  <c r="G204" i="3"/>
  <c r="T32" i="71"/>
  <c r="D32" i="71"/>
  <c r="C47" i="71"/>
  <c r="D47" i="71" s="1"/>
  <c r="D46" i="71"/>
  <c r="C67" i="71"/>
  <c r="T68" i="71"/>
  <c r="O68" i="71"/>
  <c r="T76" i="71"/>
  <c r="D76" i="71"/>
  <c r="C75" i="71"/>
  <c r="Y27" i="71"/>
  <c r="Z27" i="71" s="1"/>
  <c r="Y26" i="71"/>
  <c r="Z26" i="71" s="1"/>
  <c r="AA3" i="71"/>
  <c r="BA18" i="3"/>
  <c r="BL21" i="3"/>
  <c r="G23" i="3"/>
  <c r="BL29" i="3"/>
  <c r="G33" i="3"/>
  <c r="G34" i="3"/>
  <c r="BA37" i="3"/>
  <c r="BL39" i="3"/>
  <c r="G43" i="3"/>
  <c r="G44" i="3"/>
  <c r="BA45" i="3"/>
  <c r="AZ45" i="3" s="1"/>
  <c r="BA46" i="3"/>
  <c r="AZ52" i="3"/>
  <c r="G67" i="3"/>
  <c r="BL68" i="3"/>
  <c r="BA69" i="3"/>
  <c r="BA73" i="3"/>
  <c r="BA89" i="3"/>
  <c r="F40" i="69"/>
  <c r="C40" i="69"/>
  <c r="D43" i="71"/>
  <c r="C86" i="71"/>
  <c r="D86" i="71" s="1"/>
  <c r="D87"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4" i="71" s="1"/>
  <c r="D63" i="71"/>
  <c r="C23" i="71"/>
  <c r="B22" i="71"/>
  <c r="B21" i="71" s="1"/>
  <c r="B20" i="71" s="1"/>
  <c r="BL167" i="3"/>
  <c r="AZ167" i="3" s="1"/>
  <c r="G175" i="3"/>
  <c r="G176" i="3"/>
  <c r="BL178" i="3"/>
  <c r="BA180" i="3"/>
  <c r="AZ180" i="3" s="1"/>
  <c r="BL182" i="3"/>
  <c r="G183" i="3"/>
  <c r="BA185" i="3"/>
  <c r="BL191" i="3"/>
  <c r="AZ191" i="3" s="1"/>
  <c r="BA193" i="3"/>
  <c r="BA196" i="3"/>
  <c r="AZ196" i="3" s="1"/>
  <c r="G203" i="3"/>
  <c r="BA205" i="3"/>
  <c r="AZ205" i="3" s="1"/>
  <c r="BL20" i="3"/>
  <c r="BA21" i="3"/>
  <c r="BA25" i="3"/>
  <c r="BA26" i="3"/>
  <c r="BL28" i="3"/>
  <c r="BA29" i="3"/>
  <c r="AZ29" i="3" s="1"/>
  <c r="BA36" i="3"/>
  <c r="BL38" i="3"/>
  <c r="AZ38" i="3" s="1"/>
  <c r="BA39" i="3"/>
  <c r="AZ39" i="3" s="1"/>
  <c r="BL47" i="3"/>
  <c r="AZ47" i="3" s="1"/>
  <c r="BL54" i="3"/>
  <c r="BL55" i="3"/>
  <c r="AZ55" i="3" s="1"/>
  <c r="G58" i="3"/>
  <c r="BA59" i="3"/>
  <c r="AZ59" i="3" s="1"/>
  <c r="BL61" i="3"/>
  <c r="G64" i="3"/>
  <c r="BA64" i="3"/>
  <c r="AZ64" i="3" s="1"/>
  <c r="BA68" i="3"/>
  <c r="BL74" i="3"/>
  <c r="AZ74" i="3" s="1"/>
  <c r="BL75" i="3"/>
  <c r="BA77" i="3"/>
  <c r="AB21" i="37"/>
  <c r="U21" i="37"/>
  <c r="T44" i="71"/>
  <c r="P65" i="71"/>
  <c r="P66" i="71"/>
  <c r="AA28" i="71"/>
  <c r="Y25" i="71"/>
  <c r="Z25" i="71" s="1"/>
  <c r="C36" i="71"/>
  <c r="D35" i="71"/>
  <c r="AB32" i="71"/>
  <c r="Y35" i="71"/>
  <c r="Z35" i="71" s="1"/>
  <c r="S80" i="71"/>
  <c r="B79" i="71"/>
  <c r="B78" i="71"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BA200" i="3"/>
  <c r="BA202" i="3"/>
  <c r="BL207" i="3"/>
  <c r="AZ207" i="3" s="1"/>
  <c r="BL18" i="3"/>
  <c r="G19" i="3"/>
  <c r="BL19" i="3"/>
  <c r="AZ19" i="3" s="1"/>
  <c r="BA20" i="3"/>
  <c r="AZ20" i="3" s="1"/>
  <c r="BL25" i="3"/>
  <c r="BL27" i="3"/>
  <c r="AZ27" i="3" s="1"/>
  <c r="BA28" i="3"/>
  <c r="BA31" i="3"/>
  <c r="AZ31" i="3" s="1"/>
  <c r="BA32" i="3"/>
  <c r="G38" i="3"/>
  <c r="BA38" i="3"/>
  <c r="BA41" i="3"/>
  <c r="AZ41" i="3" s="1"/>
  <c r="BA42" i="3"/>
  <c r="G46" i="3"/>
  <c r="BL48" i="3"/>
  <c r="BA51" i="3"/>
  <c r="AZ51" i="3" s="1"/>
  <c r="BL56" i="3"/>
  <c r="BA58" i="3"/>
  <c r="AZ58" i="3" s="1"/>
  <c r="BL59" i="3"/>
  <c r="BL60" i="3"/>
  <c r="BA61" i="3"/>
  <c r="AZ61" i="3" s="1"/>
  <c r="BL69" i="3"/>
  <c r="G70" i="3"/>
  <c r="BL70" i="3"/>
  <c r="AZ70" i="3" s="1"/>
  <c r="BL71" i="3"/>
  <c r="BL72" i="3"/>
  <c r="AZ72" i="3" s="1"/>
  <c r="G74" i="3"/>
  <c r="BA75" i="3"/>
  <c r="AZ75" i="3" s="1"/>
  <c r="BL79" i="3"/>
  <c r="G80" i="3"/>
  <c r="G85" i="3"/>
  <c r="BL85" i="3"/>
  <c r="BA86" i="3"/>
  <c r="AZ86" i="3" s="1"/>
  <c r="G89" i="3"/>
  <c r="BA92" i="3"/>
  <c r="BA98" i="3"/>
  <c r="W21" i="21"/>
  <c r="AC25" i="40"/>
  <c r="U21" i="33"/>
  <c r="AB21" i="33"/>
  <c r="AB27" i="71"/>
  <c r="C51" i="71"/>
  <c r="E39" i="71"/>
  <c r="E40" i="71" s="1"/>
  <c r="U40" i="71" s="1"/>
  <c r="Y37" i="71"/>
  <c r="Z37" i="71" s="1"/>
  <c r="F66" i="71"/>
  <c r="Q67" i="71"/>
  <c r="X25" i="71"/>
  <c r="V24" i="71"/>
  <c r="E23" i="71"/>
  <c r="E22" i="71" s="1"/>
  <c r="E21" i="71" s="1"/>
  <c r="E20" i="71" s="1"/>
  <c r="G103" i="3"/>
  <c r="BA103" i="3"/>
  <c r="AZ103" i="3" s="1"/>
  <c r="BA104" i="3"/>
  <c r="AZ104" i="3" s="1"/>
  <c r="BA106" i="3"/>
  <c r="BL108" i="3"/>
  <c r="AZ108" i="3" s="1"/>
  <c r="BL111" i="3"/>
  <c r="AA27" i="71"/>
  <c r="S28" i="71"/>
  <c r="C83" i="71"/>
  <c r="C79" i="71"/>
  <c r="C71" i="71"/>
  <c r="C39" i="71"/>
  <c r="Y28" i="71"/>
  <c r="Z28" i="71" s="1"/>
  <c r="Y30" i="71"/>
  <c r="Z30" i="71" s="1"/>
  <c r="X28" i="71"/>
  <c r="X32" i="71"/>
  <c r="AB38" i="71"/>
  <c r="F75" i="71"/>
  <c r="F74" i="71" s="1"/>
  <c r="BL49" i="3"/>
  <c r="AZ49" i="3" s="1"/>
  <c r="BL50" i="3"/>
  <c r="AZ50" i="3" s="1"/>
  <c r="BL51" i="3"/>
  <c r="G53" i="3"/>
  <c r="BL53" i="3"/>
  <c r="AZ53" i="3" s="1"/>
  <c r="BA56" i="3"/>
  <c r="BA57" i="3"/>
  <c r="AZ57" i="3" s="1"/>
  <c r="BL58" i="3"/>
  <c r="G60" i="3"/>
  <c r="BA60" i="3"/>
  <c r="BA63" i="3"/>
  <c r="AZ63" i="3" s="1"/>
  <c r="BA66" i="3"/>
  <c r="AZ66" i="3" s="1"/>
  <c r="BA71" i="3"/>
  <c r="AZ71" i="3" s="1"/>
  <c r="G76" i="3"/>
  <c r="BL77" i="3"/>
  <c r="BA79" i="3"/>
  <c r="G82" i="3"/>
  <c r="G83" i="3"/>
  <c r="BA84" i="3"/>
  <c r="AZ84" i="3" s="1"/>
  <c r="BL88" i="3"/>
  <c r="AZ88" i="3" s="1"/>
  <c r="G90" i="3"/>
  <c r="BL90" i="3"/>
  <c r="BL92" i="3"/>
  <c r="G101" i="3"/>
  <c r="BA101" i="3"/>
  <c r="AZ101" i="3" s="1"/>
  <c r="G108" i="3"/>
  <c r="G109" i="3"/>
  <c r="BL112" i="3"/>
  <c r="S21" i="34"/>
  <c r="B88" i="43"/>
  <c r="F35" i="71"/>
  <c r="F36" i="71" s="1"/>
  <c r="V36" i="71" s="1"/>
  <c r="AA34" i="71"/>
  <c r="G79" i="3"/>
  <c r="BL81" i="3"/>
  <c r="BA82" i="3"/>
  <c r="AZ82" i="3" s="1"/>
  <c r="BL83" i="3"/>
  <c r="G86" i="3"/>
  <c r="G87" i="3"/>
  <c r="BA90" i="3"/>
  <c r="BL94" i="3"/>
  <c r="AZ94" i="3" s="1"/>
  <c r="BA100" i="3"/>
  <c r="AZ100" i="3" s="1"/>
  <c r="BA102" i="3"/>
  <c r="AZ102" i="3" s="1"/>
  <c r="BL105" i="3"/>
  <c r="AZ105" i="3" s="1"/>
  <c r="G107" i="3"/>
  <c r="BL107" i="3"/>
  <c r="BA111" i="3"/>
  <c r="AZ111" i="3" s="1"/>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BQ5" i="3"/>
  <c r="F28" i="6" s="1"/>
  <c r="AB35" i="35"/>
  <c r="U35" i="35"/>
  <c r="S13" i="35"/>
  <c r="AA13" i="35"/>
  <c r="AB31" i="34"/>
  <c r="U31" i="34"/>
  <c r="S12" i="21"/>
  <c r="AA12" i="21"/>
  <c r="S12" i="35"/>
  <c r="AA12" i="35"/>
  <c r="AC45" i="39"/>
  <c r="S34" i="21"/>
  <c r="J34" i="35"/>
  <c r="F34" i="35"/>
  <c r="J26" i="37"/>
  <c r="F26" i="37"/>
  <c r="F40" i="40"/>
  <c r="G578" i="3"/>
  <c r="AZ431" i="3"/>
  <c r="AZ439" i="3"/>
  <c r="AZ445" i="3"/>
  <c r="AZ449" i="3"/>
  <c r="AZ452" i="3"/>
  <c r="AZ456" i="3"/>
  <c r="AZ467" i="3"/>
  <c r="AZ468" i="3"/>
  <c r="AZ470" i="3"/>
  <c r="W35" i="39"/>
  <c r="F27" i="34"/>
  <c r="C21" i="39"/>
  <c r="U9" i="36"/>
  <c r="U14" i="37"/>
  <c r="H12" i="21"/>
  <c r="G526" i="3"/>
  <c r="AZ420" i="3"/>
  <c r="AZ424" i="3"/>
  <c r="AZ434" i="3"/>
  <c r="AZ436" i="3"/>
  <c r="AZ438" i="3"/>
  <c r="AZ446" i="3"/>
  <c r="G28" i="6"/>
  <c r="G30" i="6" s="1"/>
  <c r="G31" i="6" s="1"/>
  <c r="U26" i="21"/>
  <c r="W36" i="39"/>
  <c r="U23" i="40"/>
  <c r="AA39" i="37"/>
  <c r="AC16" i="36"/>
  <c r="C27" i="39"/>
  <c r="U40" i="40"/>
  <c r="AC9" i="40"/>
  <c r="W36" i="35"/>
  <c r="J12" i="21"/>
  <c r="B73" i="43"/>
  <c r="B76" i="43"/>
  <c r="F9" i="36"/>
  <c r="J40" i="40"/>
  <c r="G562" i="3"/>
  <c r="AZ426" i="3"/>
  <c r="AZ463" i="3"/>
  <c r="AZ385" i="3"/>
  <c r="AZ212" i="3"/>
  <c r="AZ220" i="3"/>
  <c r="AZ231" i="3"/>
  <c r="AZ255"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BA266" i="3"/>
  <c r="AZ266" i="3" s="1"/>
  <c r="G272" i="3"/>
  <c r="G275" i="3"/>
  <c r="BL276" i="3"/>
  <c r="AZ276" i="3" s="1"/>
  <c r="BL279" i="3"/>
  <c r="AZ279" i="3" s="1"/>
  <c r="BL281" i="3"/>
  <c r="AZ281" i="3" s="1"/>
  <c r="BA285" i="3"/>
  <c r="BA287" i="3"/>
  <c r="AZ287" i="3" s="1"/>
  <c r="AZ290" i="3"/>
  <c r="AZ153"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BL109" i="3"/>
  <c r="AZ109" i="3" s="1"/>
  <c r="AB21" i="21"/>
  <c r="D36" i="71"/>
  <c r="T36" i="71"/>
  <c r="AZ78" i="3"/>
  <c r="G77" i="3"/>
  <c r="G5" i="3" s="1"/>
  <c r="B3" i="3" s="1"/>
  <c r="BA81" i="3"/>
  <c r="AZ81" i="3" s="1"/>
  <c r="BA85" i="3"/>
  <c r="BL89" i="3"/>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I4" i="6"/>
  <c r="G3" i="43" s="1"/>
  <c r="G26" i="43" s="1"/>
  <c r="E29" i="6"/>
  <c r="K15" i="1" s="1"/>
  <c r="F30" i="6"/>
  <c r="L19" i="6"/>
  <c r="L27" i="6"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8"/>
  <c r="F6" i="67"/>
  <c r="D5" i="73"/>
  <c r="F26" i="15"/>
  <c r="M6" i="67"/>
  <c r="M23" i="67"/>
  <c r="F8" i="15"/>
  <c r="M28" i="15"/>
  <c r="M28" i="67"/>
  <c r="F13" i="15"/>
  <c r="F42" i="15"/>
  <c r="C76" i="67"/>
  <c r="F40" i="67"/>
  <c r="F38" i="15"/>
  <c r="F37" i="15"/>
  <c r="M6" i="15"/>
  <c r="M29" i="15"/>
  <c r="F16" i="15"/>
  <c r="M9" i="67"/>
  <c r="L47" i="15"/>
  <c r="F13" i="67"/>
  <c r="F36" i="67"/>
  <c r="F9" i="15"/>
  <c r="L48" i="67"/>
  <c r="D3" i="73"/>
  <c r="M22" i="15"/>
  <c r="F9" i="67"/>
  <c r="F36" i="15"/>
  <c r="C36" i="69"/>
  <c r="M8" i="67"/>
  <c r="M22" i="67"/>
  <c r="M26" i="15"/>
  <c r="L47" i="67"/>
  <c r="J15" i="67"/>
  <c r="D7" i="73"/>
  <c r="F7" i="15"/>
  <c r="F8" i="67"/>
  <c r="M8" i="15"/>
  <c r="C76" i="15"/>
  <c r="M23" i="15"/>
  <c r="M24" i="67"/>
  <c r="F43" i="15"/>
  <c r="F38" i="67"/>
  <c r="M9" i="15"/>
  <c r="J15" i="15"/>
  <c r="F42" i="67"/>
  <c r="F37" i="67"/>
  <c r="D4" i="73"/>
  <c r="D9" i="69"/>
  <c r="F16" i="67"/>
  <c r="F6" i="15"/>
  <c r="F40" i="15"/>
  <c r="F26" i="67"/>
  <c r="M26" i="67"/>
  <c r="L48" i="15"/>
  <c r="M24" i="15"/>
  <c r="E10" i="6" l="1"/>
  <c r="I24" i="43"/>
  <c r="C24" i="43" s="1"/>
  <c r="W44" i="33"/>
  <c r="M30" i="31"/>
  <c r="M34" i="31"/>
  <c r="M38" i="31"/>
  <c r="M42" i="31"/>
  <c r="M46" i="31"/>
  <c r="M50" i="31"/>
  <c r="M54" i="31"/>
  <c r="M58" i="31"/>
  <c r="M62" i="31"/>
  <c r="M66" i="31"/>
  <c r="M70" i="31"/>
  <c r="M74" i="31"/>
  <c r="M78" i="31"/>
  <c r="M82" i="31"/>
  <c r="M86" i="31"/>
  <c r="M90" i="31"/>
  <c r="M94" i="31"/>
  <c r="M98" i="31"/>
  <c r="M102" i="31"/>
  <c r="M106" i="31"/>
  <c r="M110" i="31"/>
  <c r="M114" i="31"/>
  <c r="M118" i="31"/>
  <c r="M122" i="31"/>
  <c r="M126" i="31"/>
  <c r="M130" i="31"/>
  <c r="M134" i="31"/>
  <c r="M138" i="31"/>
  <c r="M142" i="31"/>
  <c r="M146" i="31"/>
  <c r="M150" i="31"/>
  <c r="M154" i="31"/>
  <c r="M158" i="31"/>
  <c r="M162" i="31"/>
  <c r="M166" i="31"/>
  <c r="M170" i="31"/>
  <c r="M174" i="31"/>
  <c r="M178" i="31"/>
  <c r="M182" i="31"/>
  <c r="M186" i="31"/>
  <c r="M190" i="31"/>
  <c r="M194" i="31"/>
  <c r="M198" i="31"/>
  <c r="M202" i="31"/>
  <c r="M206" i="31"/>
  <c r="M210" i="31"/>
  <c r="M214" i="31"/>
  <c r="M218" i="31"/>
  <c r="M222" i="31"/>
  <c r="M226" i="31"/>
  <c r="M230" i="31"/>
  <c r="M234" i="31"/>
  <c r="M238" i="31"/>
  <c r="M242" i="31"/>
  <c r="M246" i="31"/>
  <c r="M250" i="31"/>
  <c r="M254" i="31"/>
  <c r="M258" i="31"/>
  <c r="M262" i="31"/>
  <c r="M266" i="31"/>
  <c r="M270" i="31"/>
  <c r="M274" i="31"/>
  <c r="M278" i="31"/>
  <c r="M282" i="31"/>
  <c r="M286" i="31"/>
  <c r="M290" i="31"/>
  <c r="M294" i="31"/>
  <c r="M298" i="31"/>
  <c r="M302" i="31"/>
  <c r="M306" i="31"/>
  <c r="M310" i="31"/>
  <c r="M314" i="31"/>
  <c r="M318" i="31"/>
  <c r="M322" i="31"/>
  <c r="M326" i="31"/>
  <c r="M330" i="31"/>
  <c r="M334" i="31"/>
  <c r="M338" i="31"/>
  <c r="M342" i="31"/>
  <c r="M346" i="31"/>
  <c r="M350" i="31"/>
  <c r="M354" i="31"/>
  <c r="M358" i="31"/>
  <c r="M362" i="31"/>
  <c r="M366" i="31"/>
  <c r="M31" i="31"/>
  <c r="M35" i="31"/>
  <c r="M39" i="31"/>
  <c r="M43" i="31"/>
  <c r="M47" i="31"/>
  <c r="M51" i="31"/>
  <c r="M55" i="31"/>
  <c r="M59" i="31"/>
  <c r="M63" i="31"/>
  <c r="M67" i="31"/>
  <c r="M71" i="31"/>
  <c r="M75" i="31"/>
  <c r="M79" i="31"/>
  <c r="M83" i="31"/>
  <c r="M87" i="31"/>
  <c r="M91" i="31"/>
  <c r="M95" i="31"/>
  <c r="M99" i="31"/>
  <c r="M103" i="31"/>
  <c r="M107" i="31"/>
  <c r="M111" i="31"/>
  <c r="M115" i="31"/>
  <c r="M119" i="31"/>
  <c r="M123" i="31"/>
  <c r="M127" i="31"/>
  <c r="M131" i="31"/>
  <c r="M135" i="31"/>
  <c r="M139" i="31"/>
  <c r="M143" i="31"/>
  <c r="M147" i="31"/>
  <c r="M151" i="31"/>
  <c r="M155" i="31"/>
  <c r="M159" i="31"/>
  <c r="M163" i="31"/>
  <c r="M167" i="31"/>
  <c r="M171" i="31"/>
  <c r="M175" i="31"/>
  <c r="M179" i="31"/>
  <c r="M183" i="31"/>
  <c r="M187" i="31"/>
  <c r="M191" i="31"/>
  <c r="M195" i="31"/>
  <c r="M199" i="31"/>
  <c r="M203" i="31"/>
  <c r="M207" i="31"/>
  <c r="M211" i="31"/>
  <c r="M215" i="31"/>
  <c r="M219" i="31"/>
  <c r="M223" i="31"/>
  <c r="M227" i="31"/>
  <c r="M231" i="31"/>
  <c r="M235" i="31"/>
  <c r="M239" i="31"/>
  <c r="M243" i="31"/>
  <c r="M247" i="31"/>
  <c r="M251" i="31"/>
  <c r="M255" i="31"/>
  <c r="M259" i="31"/>
  <c r="M32" i="31"/>
  <c r="M40" i="31"/>
  <c r="M48" i="31"/>
  <c r="M56" i="31"/>
  <c r="M64" i="31"/>
  <c r="M72" i="31"/>
  <c r="M80" i="31"/>
  <c r="M88" i="31"/>
  <c r="M96" i="31"/>
  <c r="M104" i="31"/>
  <c r="M112" i="31"/>
  <c r="M120" i="31"/>
  <c r="M128" i="31"/>
  <c r="M136" i="31"/>
  <c r="M144" i="31"/>
  <c r="M152" i="31"/>
  <c r="M160" i="31"/>
  <c r="M168" i="31"/>
  <c r="M176" i="31"/>
  <c r="M184" i="31"/>
  <c r="M192" i="31"/>
  <c r="M200" i="31"/>
  <c r="M208" i="31"/>
  <c r="M216" i="31"/>
  <c r="M224" i="31"/>
  <c r="M232" i="31"/>
  <c r="M240" i="31"/>
  <c r="M248" i="31"/>
  <c r="M256" i="31"/>
  <c r="M263" i="31"/>
  <c r="M268" i="31"/>
  <c r="M273" i="31"/>
  <c r="M279" i="31"/>
  <c r="M284" i="31"/>
  <c r="M289" i="31"/>
  <c r="M295" i="31"/>
  <c r="M300" i="31"/>
  <c r="M305" i="31"/>
  <c r="M311" i="31"/>
  <c r="M316" i="31"/>
  <c r="M321" i="31"/>
  <c r="M327" i="31"/>
  <c r="M332" i="31"/>
  <c r="M337" i="31"/>
  <c r="M343" i="31"/>
  <c r="M348" i="31"/>
  <c r="M353" i="31"/>
  <c r="M359" i="31"/>
  <c r="M364" i="31"/>
  <c r="M369" i="31"/>
  <c r="M373" i="31"/>
  <c r="M377" i="31"/>
  <c r="M381" i="31"/>
  <c r="M385" i="31"/>
  <c r="M389" i="31"/>
  <c r="M393" i="31"/>
  <c r="M397" i="31"/>
  <c r="M401" i="31"/>
  <c r="M405" i="31"/>
  <c r="M409" i="31"/>
  <c r="M413" i="31"/>
  <c r="M417" i="31"/>
  <c r="M421" i="31"/>
  <c r="M425" i="31"/>
  <c r="M429" i="31"/>
  <c r="M433" i="31"/>
  <c r="M437" i="31"/>
  <c r="M441" i="31"/>
  <c r="M445" i="31"/>
  <c r="M449" i="31"/>
  <c r="M453" i="31"/>
  <c r="M457" i="31"/>
  <c r="M461" i="31"/>
  <c r="M465" i="31"/>
  <c r="M469" i="31"/>
  <c r="M473" i="31"/>
  <c r="M477" i="31"/>
  <c r="M481" i="31"/>
  <c r="M485" i="31"/>
  <c r="M489" i="31"/>
  <c r="M493" i="31"/>
  <c r="M497" i="31"/>
  <c r="M501" i="31"/>
  <c r="M505" i="31"/>
  <c r="M509" i="31"/>
  <c r="M513" i="31"/>
  <c r="M517" i="31"/>
  <c r="M521" i="31"/>
  <c r="M27" i="31"/>
  <c r="M36" i="31"/>
  <c r="M44" i="31"/>
  <c r="M52" i="31"/>
  <c r="M60" i="31"/>
  <c r="M68" i="31"/>
  <c r="M76" i="31"/>
  <c r="M84" i="31"/>
  <c r="M92" i="31"/>
  <c r="M100" i="31"/>
  <c r="M108" i="31"/>
  <c r="M116" i="31"/>
  <c r="M124" i="31"/>
  <c r="M132" i="31"/>
  <c r="M140" i="31"/>
  <c r="M148" i="31"/>
  <c r="M156" i="31"/>
  <c r="M164" i="31"/>
  <c r="M172" i="31"/>
  <c r="M180" i="31"/>
  <c r="M188" i="31"/>
  <c r="M196" i="31"/>
  <c r="M204" i="31"/>
  <c r="M212" i="31"/>
  <c r="M220" i="31"/>
  <c r="M228" i="31"/>
  <c r="M236" i="31"/>
  <c r="M244" i="31"/>
  <c r="M252" i="31"/>
  <c r="M260" i="31"/>
  <c r="M265" i="31"/>
  <c r="M271" i="31"/>
  <c r="M276" i="31"/>
  <c r="M281" i="31"/>
  <c r="M287" i="31"/>
  <c r="M292" i="31"/>
  <c r="M297" i="31"/>
  <c r="M303" i="31"/>
  <c r="M308" i="31"/>
  <c r="M313" i="31"/>
  <c r="M319" i="31"/>
  <c r="M324" i="31"/>
  <c r="M329" i="31"/>
  <c r="M335" i="31"/>
  <c r="M340" i="31"/>
  <c r="M345" i="31"/>
  <c r="M351" i="31"/>
  <c r="M356" i="31"/>
  <c r="M361" i="31"/>
  <c r="M367" i="31"/>
  <c r="M371" i="31"/>
  <c r="M375" i="31"/>
  <c r="M379" i="31"/>
  <c r="M383" i="31"/>
  <c r="M387" i="31"/>
  <c r="M391" i="31"/>
  <c r="M395" i="31"/>
  <c r="M399" i="31"/>
  <c r="M403" i="31"/>
  <c r="M407" i="31"/>
  <c r="M411" i="31"/>
  <c r="M415" i="31"/>
  <c r="M419" i="31"/>
  <c r="M423" i="31"/>
  <c r="M427" i="31"/>
  <c r="M431" i="31"/>
  <c r="M435" i="31"/>
  <c r="M439" i="31"/>
  <c r="M443" i="31"/>
  <c r="M447" i="31"/>
  <c r="M451" i="31"/>
  <c r="M455" i="31"/>
  <c r="M459" i="31"/>
  <c r="M463" i="31"/>
  <c r="M467" i="31"/>
  <c r="M471" i="31"/>
  <c r="M475" i="31"/>
  <c r="M479" i="31"/>
  <c r="M483" i="31"/>
  <c r="M487" i="31"/>
  <c r="M491" i="31"/>
  <c r="M495" i="31"/>
  <c r="M499" i="31"/>
  <c r="M503" i="31"/>
  <c r="M507" i="31"/>
  <c r="M511" i="31"/>
  <c r="M33" i="31"/>
  <c r="M49" i="31"/>
  <c r="M65" i="31"/>
  <c r="M81" i="31"/>
  <c r="M97" i="31"/>
  <c r="M113" i="31"/>
  <c r="M129" i="31"/>
  <c r="M145" i="31"/>
  <c r="M161" i="31"/>
  <c r="M177" i="31"/>
  <c r="M193" i="31"/>
  <c r="M209" i="31"/>
  <c r="M225" i="31"/>
  <c r="M241" i="31"/>
  <c r="M257" i="31"/>
  <c r="M269" i="31"/>
  <c r="M280" i="31"/>
  <c r="M291" i="31"/>
  <c r="M301" i="31"/>
  <c r="M312" i="31"/>
  <c r="M323" i="31"/>
  <c r="M333" i="31"/>
  <c r="M344" i="31"/>
  <c r="M355" i="31"/>
  <c r="M365" i="31"/>
  <c r="M374" i="31"/>
  <c r="M382" i="31"/>
  <c r="M390" i="31"/>
  <c r="M398" i="31"/>
  <c r="M406" i="31"/>
  <c r="M414" i="31"/>
  <c r="M422" i="31"/>
  <c r="M430" i="31"/>
  <c r="M438" i="31"/>
  <c r="M446" i="31"/>
  <c r="M454" i="31"/>
  <c r="M462" i="31"/>
  <c r="M470" i="31"/>
  <c r="M478" i="31"/>
  <c r="M486" i="31"/>
  <c r="M494" i="31"/>
  <c r="M502" i="31"/>
  <c r="M510" i="31"/>
  <c r="M516" i="31"/>
  <c r="M522" i="31"/>
  <c r="L23" i="31"/>
  <c r="M29" i="31"/>
  <c r="M93" i="31"/>
  <c r="M141" i="31"/>
  <c r="M173" i="31"/>
  <c r="M205" i="31"/>
  <c r="M237" i="31"/>
  <c r="M277" i="31"/>
  <c r="M299" i="31"/>
  <c r="M320" i="31"/>
  <c r="M341" i="31"/>
  <c r="M363" i="31"/>
  <c r="M380" i="31"/>
  <c r="M396" i="31"/>
  <c r="M412" i="31"/>
  <c r="M428" i="31"/>
  <c r="M444" i="31"/>
  <c r="M460" i="31"/>
  <c r="M476" i="31"/>
  <c r="M492" i="31"/>
  <c r="M515" i="31"/>
  <c r="M26" i="31"/>
  <c r="M37" i="31"/>
  <c r="M53" i="31"/>
  <c r="M69" i="31"/>
  <c r="M85" i="31"/>
  <c r="M101" i="31"/>
  <c r="M117" i="31"/>
  <c r="M133" i="31"/>
  <c r="M149" i="31"/>
  <c r="M165" i="31"/>
  <c r="M181" i="31"/>
  <c r="M197" i="31"/>
  <c r="M213" i="31"/>
  <c r="M229" i="31"/>
  <c r="M245" i="31"/>
  <c r="M261" i="31"/>
  <c r="M272" i="31"/>
  <c r="M283" i="31"/>
  <c r="M293" i="31"/>
  <c r="M304" i="31"/>
  <c r="M315" i="31"/>
  <c r="M325" i="31"/>
  <c r="M336" i="31"/>
  <c r="M347" i="31"/>
  <c r="M357" i="31"/>
  <c r="M368" i="31"/>
  <c r="M376" i="31"/>
  <c r="M384" i="31"/>
  <c r="M392" i="31"/>
  <c r="M400" i="31"/>
  <c r="M408" i="31"/>
  <c r="M416" i="31"/>
  <c r="M424" i="31"/>
  <c r="M432" i="31"/>
  <c r="M440" i="31"/>
  <c r="M448" i="31"/>
  <c r="M456" i="31"/>
  <c r="M464" i="31"/>
  <c r="M472" i="31"/>
  <c r="M480" i="31"/>
  <c r="M488" i="31"/>
  <c r="M496" i="31"/>
  <c r="M504" i="31"/>
  <c r="M512" i="31"/>
  <c r="M518" i="31"/>
  <c r="M523" i="31"/>
  <c r="M28" i="31"/>
  <c r="M45" i="31"/>
  <c r="M61" i="31"/>
  <c r="M77" i="31"/>
  <c r="M109" i="31"/>
  <c r="M125" i="31"/>
  <c r="M157" i="31"/>
  <c r="M189" i="31"/>
  <c r="M221" i="31"/>
  <c r="M253" i="31"/>
  <c r="M267" i="31"/>
  <c r="M288" i="31"/>
  <c r="M309" i="31"/>
  <c r="M331" i="31"/>
  <c r="M352" i="31"/>
  <c r="M372" i="31"/>
  <c r="M388" i="31"/>
  <c r="M404" i="31"/>
  <c r="M420" i="31"/>
  <c r="M436" i="31"/>
  <c r="M452" i="31"/>
  <c r="M468" i="31"/>
  <c r="M484" i="31"/>
  <c r="M500" i="31"/>
  <c r="M508" i="31"/>
  <c r="M520" i="31"/>
  <c r="M41" i="31"/>
  <c r="M57" i="31"/>
  <c r="M73" i="31"/>
  <c r="M89" i="31"/>
  <c r="M105" i="31"/>
  <c r="M121" i="31"/>
  <c r="M137" i="31"/>
  <c r="M153" i="31"/>
  <c r="M169" i="31"/>
  <c r="M185" i="31"/>
  <c r="M201" i="31"/>
  <c r="M217" i="31"/>
  <c r="M233" i="31"/>
  <c r="M249" i="31"/>
  <c r="M264" i="31"/>
  <c r="M275" i="31"/>
  <c r="M285" i="31"/>
  <c r="M296" i="31"/>
  <c r="M307" i="31"/>
  <c r="M317" i="31"/>
  <c r="M328" i="31"/>
  <c r="M339" i="31"/>
  <c r="M349" i="31"/>
  <c r="M360" i="31"/>
  <c r="M370" i="31"/>
  <c r="M378" i="31"/>
  <c r="M386" i="31"/>
  <c r="M394" i="31"/>
  <c r="M402" i="31"/>
  <c r="M410" i="31"/>
  <c r="M418" i="31"/>
  <c r="M426" i="31"/>
  <c r="M434" i="31"/>
  <c r="M442" i="31"/>
  <c r="M450" i="31"/>
  <c r="M458" i="31"/>
  <c r="M466" i="31"/>
  <c r="M474" i="31"/>
  <c r="M482" i="31"/>
  <c r="M490" i="31"/>
  <c r="M498" i="31"/>
  <c r="M506" i="31"/>
  <c r="M514" i="31"/>
  <c r="M519" i="31"/>
  <c r="M524" i="31"/>
  <c r="M25" i="31"/>
  <c r="J26" i="43"/>
  <c r="B24" i="31"/>
  <c r="C25" i="31" s="1"/>
  <c r="C33" i="33"/>
  <c r="U42" i="33"/>
  <c r="K6" i="1"/>
  <c r="M6" i="1" s="1"/>
  <c r="O6" i="1" s="1"/>
  <c r="B22" i="31"/>
  <c r="C30" i="11"/>
  <c r="F68" i="67"/>
  <c r="F64" i="67"/>
  <c r="F65" i="67"/>
  <c r="J57" i="67"/>
  <c r="J55" i="67" s="1"/>
  <c r="J58" i="67" s="1"/>
  <c r="Q50" i="67" s="1"/>
  <c r="L56" i="67"/>
  <c r="I54" i="67"/>
  <c r="J53" i="67"/>
  <c r="Q52" i="67" s="1"/>
  <c r="F51" i="67"/>
  <c r="Q71" i="67"/>
  <c r="C27" i="67"/>
  <c r="F66" i="67"/>
  <c r="M59" i="67"/>
  <c r="N59" i="67"/>
  <c r="L58" i="67"/>
  <c r="Q60" i="67" s="1"/>
  <c r="L59" i="67"/>
  <c r="Q61" i="67" s="1"/>
  <c r="F65" i="15"/>
  <c r="F50" i="15"/>
  <c r="M7" i="15"/>
  <c r="J6" i="15" s="1"/>
  <c r="J18" i="15" s="1"/>
  <c r="N94" i="46"/>
  <c r="N370" i="46"/>
  <c r="F26" i="43"/>
  <c r="E14" i="6"/>
  <c r="E26" i="43"/>
  <c r="H26" i="43"/>
  <c r="E28" i="6"/>
  <c r="K14" i="1" s="1"/>
  <c r="K16" i="1" s="1"/>
  <c r="J7" i="36"/>
  <c r="C27" i="15"/>
  <c r="N59" i="15"/>
  <c r="L58" i="15"/>
  <c r="Q73" i="15" s="1"/>
  <c r="M59" i="15"/>
  <c r="L59" i="15"/>
  <c r="Q74" i="15" s="1"/>
  <c r="F71" i="15"/>
  <c r="Q71" i="15"/>
  <c r="F68" i="15"/>
  <c r="F66" i="15"/>
  <c r="F64" i="15"/>
  <c r="F51" i="15"/>
  <c r="F59" i="15" s="1"/>
  <c r="I54" i="15"/>
  <c r="J53" i="15"/>
  <c r="L56" i="15" s="1"/>
  <c r="J57" i="15"/>
  <c r="J55" i="15" s="1"/>
  <c r="J58" i="15" s="1"/>
  <c r="Q50" i="15" s="1"/>
  <c r="C6" i="15"/>
  <c r="C32" i="15" s="1"/>
  <c r="F31" i="15"/>
  <c r="AZ418" i="3"/>
  <c r="AA37" i="39"/>
  <c r="S37" i="39"/>
  <c r="AA33" i="36"/>
  <c r="S33" i="36"/>
  <c r="AC24" i="35"/>
  <c r="W24" i="35"/>
  <c r="W13" i="35"/>
  <c r="AC13" i="35"/>
  <c r="AB46" i="33"/>
  <c r="U46" i="33"/>
  <c r="AZ587" i="3"/>
  <c r="E11" i="6"/>
  <c r="E60" i="39" s="1"/>
  <c r="AZ107" i="3"/>
  <c r="AZ89" i="3"/>
  <c r="AZ26" i="3"/>
  <c r="AZ300" i="3"/>
  <c r="AZ481" i="3"/>
  <c r="G16" i="1"/>
  <c r="F10" i="39" s="1"/>
  <c r="S10" i="39" s="1"/>
  <c r="AZ79" i="3"/>
  <c r="D79" i="71"/>
  <c r="C78" i="71"/>
  <c r="D78" i="71" s="1"/>
  <c r="AZ28" i="3"/>
  <c r="AZ25" i="3"/>
  <c r="B19" i="71"/>
  <c r="B18" i="71" s="1"/>
  <c r="B17" i="71" s="1"/>
  <c r="B16" i="71" s="1"/>
  <c r="S20" i="71"/>
  <c r="D75" i="71"/>
  <c r="C74" i="71"/>
  <c r="D74" i="71" s="1"/>
  <c r="AZ197" i="3"/>
  <c r="AZ282" i="3"/>
  <c r="AZ251" i="3"/>
  <c r="AZ247" i="3"/>
  <c r="AZ218" i="3"/>
  <c r="AZ491" i="3"/>
  <c r="AZ332" i="3"/>
  <c r="AZ405" i="3"/>
  <c r="AZ460" i="3"/>
  <c r="AZ435" i="3"/>
  <c r="AZ425" i="3"/>
  <c r="AZ429" i="3"/>
  <c r="AC37" i="39"/>
  <c r="W37" i="39"/>
  <c r="U12" i="34"/>
  <c r="AB12" i="34"/>
  <c r="S45" i="34"/>
  <c r="AA45" i="34"/>
  <c r="AA46" i="33"/>
  <c r="S46" i="33"/>
  <c r="W12" i="33"/>
  <c r="AC12" i="33"/>
  <c r="AB28" i="34"/>
  <c r="U28" i="34"/>
  <c r="AC9" i="34"/>
  <c r="W9" i="34"/>
  <c r="AB44" i="21"/>
  <c r="U44" i="21"/>
  <c r="AZ549" i="3"/>
  <c r="AZ553" i="3"/>
  <c r="AC44" i="21"/>
  <c r="W44" i="21"/>
  <c r="E15" i="6"/>
  <c r="E64" i="39" s="1"/>
  <c r="AZ85" i="3"/>
  <c r="AZ299" i="3"/>
  <c r="AZ264" i="3"/>
  <c r="AZ209" i="3"/>
  <c r="AA12" i="34"/>
  <c r="D83" i="71"/>
  <c r="C82" i="71"/>
  <c r="D82" i="71" s="1"/>
  <c r="C52" i="71"/>
  <c r="D51" i="71"/>
  <c r="AZ21" i="3"/>
  <c r="D23" i="71"/>
  <c r="C22" i="71"/>
  <c r="AZ69" i="3"/>
  <c r="D67" i="71"/>
  <c r="C66" i="71"/>
  <c r="O67" i="71"/>
  <c r="AZ182" i="3"/>
  <c r="AZ190" i="3"/>
  <c r="AZ137" i="3"/>
  <c r="AZ483" i="3"/>
  <c r="AZ428" i="3"/>
  <c r="AC28" i="33"/>
  <c r="W28" i="33"/>
  <c r="W31" i="39"/>
  <c r="AC31" i="39"/>
  <c r="U39" i="40"/>
  <c r="AB39" i="40"/>
  <c r="AC23" i="36"/>
  <c r="W23" i="36"/>
  <c r="W12" i="34"/>
  <c r="AC12" i="34"/>
  <c r="AA13" i="40"/>
  <c r="S13" i="40"/>
  <c r="U30" i="33"/>
  <c r="AB30" i="33"/>
  <c r="W45" i="34"/>
  <c r="AC45" i="34"/>
  <c r="AC30" i="33"/>
  <c r="W30" i="33"/>
  <c r="W28" i="34"/>
  <c r="AC28" i="34"/>
  <c r="AB29" i="34"/>
  <c r="U29" i="34"/>
  <c r="AZ550" i="3"/>
  <c r="U13" i="35"/>
  <c r="AB13" i="35"/>
  <c r="C70" i="71"/>
  <c r="D70" i="71" s="1"/>
  <c r="D71" i="71"/>
  <c r="C26" i="71"/>
  <c r="D26" i="71" s="1"/>
  <c r="D27" i="71"/>
  <c r="AZ471" i="3"/>
  <c r="U9" i="34"/>
  <c r="AB9" i="34"/>
  <c r="D17" i="53"/>
  <c r="B36" i="72" s="1"/>
  <c r="E13" i="6"/>
  <c r="E58" i="40" s="1"/>
  <c r="E12" i="6"/>
  <c r="E57" i="40" s="1"/>
  <c r="AZ98" i="3"/>
  <c r="AZ285" i="3"/>
  <c r="AZ333" i="3"/>
  <c r="AB12" i="33"/>
  <c r="AZ507" i="3"/>
  <c r="C40" i="71"/>
  <c r="D39" i="71"/>
  <c r="AZ77" i="3"/>
  <c r="C56" i="71"/>
  <c r="D55" i="71"/>
  <c r="AZ302" i="3"/>
  <c r="AZ284" i="3"/>
  <c r="AZ210" i="3"/>
  <c r="U23" i="35"/>
  <c r="AB23" i="35"/>
  <c r="AZ453" i="3"/>
  <c r="U28" i="33"/>
  <c r="AB28" i="33"/>
  <c r="AB31" i="39"/>
  <c r="U31" i="39"/>
  <c r="AC39" i="40"/>
  <c r="W39" i="40"/>
  <c r="AB23" i="36"/>
  <c r="U23" i="36"/>
  <c r="AB24" i="35"/>
  <c r="U24" i="35"/>
  <c r="U13" i="40"/>
  <c r="AB13" i="40"/>
  <c r="AC29" i="34"/>
  <c r="W29" i="34"/>
  <c r="D121" i="9"/>
  <c r="D7" i="52" s="1"/>
  <c r="D6" i="52"/>
  <c r="U45" i="34"/>
  <c r="AB45" i="34"/>
  <c r="S30" i="33"/>
  <c r="AA30" i="33"/>
  <c r="AA28" i="34"/>
  <c r="S28" i="34"/>
  <c r="AZ499" i="3"/>
  <c r="AZ510" i="3"/>
  <c r="AA44" i="21"/>
  <c r="S44" i="2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C9" i="69"/>
  <c r="C9" i="68"/>
  <c r="E72" i="43"/>
  <c r="B70" i="43" s="1"/>
  <c r="F31" i="6"/>
  <c r="E51" i="40"/>
  <c r="E62" i="39"/>
  <c r="D5" i="43"/>
  <c r="H10" i="40"/>
  <c r="AB10" i="40" s="1"/>
  <c r="C7" i="43"/>
  <c r="C5" i="43" s="1"/>
  <c r="D10" i="52"/>
  <c r="D125" i="9"/>
  <c r="D11" i="52" s="1"/>
  <c r="B7" i="74"/>
  <c r="C7" i="74" s="1"/>
  <c r="F67" i="39"/>
  <c r="F59" i="67"/>
  <c r="H7" i="37"/>
  <c r="AB7" i="37" s="1"/>
  <c r="T42" i="37" s="1"/>
  <c r="G42" i="37" s="1"/>
  <c r="AA10" i="39"/>
  <c r="H7" i="33"/>
  <c r="J7" i="33"/>
  <c r="D65" i="40"/>
  <c r="E63" i="40"/>
  <c r="F48" i="35"/>
  <c r="S7" i="36"/>
  <c r="AA7" i="36"/>
  <c r="R36" i="36" s="1"/>
  <c r="AC7" i="37"/>
  <c r="W7" i="37"/>
  <c r="AB7" i="36"/>
  <c r="T36" i="36" s="1"/>
  <c r="G36" i="36" s="1"/>
  <c r="U7" i="36"/>
  <c r="F7" i="33"/>
  <c r="E58" i="21"/>
  <c r="AC7" i="36"/>
  <c r="V36" i="36" s="1"/>
  <c r="I36" i="36" s="1"/>
  <c r="W7" i="36"/>
  <c r="F7" i="37"/>
  <c r="M17" i="67"/>
  <c r="M17" i="15"/>
  <c r="P28" i="43"/>
  <c r="B66" i="40" s="1"/>
  <c r="P25" i="43"/>
  <c r="P29" i="43"/>
  <c r="P27" i="43"/>
  <c r="B70" i="39" s="1"/>
  <c r="M11" i="67"/>
  <c r="J10" i="67" s="1"/>
  <c r="F11" i="15"/>
  <c r="M11" i="15"/>
  <c r="J10" i="15" s="1"/>
  <c r="F11" i="67"/>
  <c r="AE11" i="1"/>
  <c r="AE9" i="1"/>
  <c r="AE7" i="1"/>
  <c r="AE8" i="1"/>
  <c r="AE12" i="1"/>
  <c r="AE10" i="1"/>
  <c r="C16" i="15"/>
  <c r="F43" i="67"/>
  <c r="F7" i="67"/>
  <c r="G1" i="73"/>
  <c r="M29" i="67"/>
  <c r="F27" i="69"/>
  <c r="F10" i="40" l="1"/>
  <c r="S10" i="40" s="1"/>
  <c r="J10" i="39"/>
  <c r="W10" i="39" s="1"/>
  <c r="J33" i="33"/>
  <c r="H33" i="33"/>
  <c r="F33" i="33"/>
  <c r="E60" i="40"/>
  <c r="E56" i="40"/>
  <c r="E61" i="39"/>
  <c r="H16" i="1"/>
  <c r="Q16" i="1"/>
  <c r="F28" i="12" s="1"/>
  <c r="C29" i="12" s="1"/>
  <c r="D28" i="12" s="1"/>
  <c r="F71" i="67"/>
  <c r="C6" i="67"/>
  <c r="C32" i="67" s="1"/>
  <c r="F50" i="67"/>
  <c r="C49" i="67" s="1"/>
  <c r="M7" i="67"/>
  <c r="J6" i="67" s="1"/>
  <c r="J18" i="67" s="1"/>
  <c r="H6" i="3"/>
  <c r="AP6" i="1"/>
  <c r="AC6" i="3"/>
  <c r="J10" i="40"/>
  <c r="AC10" i="40" s="1"/>
  <c r="F1" i="67"/>
  <c r="C47" i="69"/>
  <c r="D45" i="69" s="1"/>
  <c r="Q73" i="67"/>
  <c r="Q74" i="67"/>
  <c r="P6" i="1"/>
  <c r="C13" i="12" s="1"/>
  <c r="F45" i="69"/>
  <c r="D26" i="43"/>
  <c r="C25" i="43" s="1"/>
  <c r="C33" i="43" s="1"/>
  <c r="F27" i="68"/>
  <c r="F45" i="68" s="1"/>
  <c r="C29" i="69"/>
  <c r="D27" i="69" s="1"/>
  <c r="Q61" i="15"/>
  <c r="F1" i="15"/>
  <c r="H10" i="39"/>
  <c r="U10" i="39" s="1"/>
  <c r="Q52" i="15"/>
  <c r="E16" i="6"/>
  <c r="E59" i="40"/>
  <c r="M14" i="1"/>
  <c r="O14" i="1" s="1"/>
  <c r="O16" i="1" s="1"/>
  <c r="E63" i="39"/>
  <c r="E3" i="6"/>
  <c r="D37" i="11" s="1"/>
  <c r="J5" i="15"/>
  <c r="J24" i="15" s="1"/>
  <c r="C49" i="15"/>
  <c r="Q60" i="15"/>
  <c r="T40" i="71"/>
  <c r="D40" i="71"/>
  <c r="D22" i="71"/>
  <c r="C21" i="71"/>
  <c r="T52" i="71"/>
  <c r="D52" i="71"/>
  <c r="D56" i="71"/>
  <c r="T56" i="71"/>
  <c r="O65" i="71"/>
  <c r="D66" i="71"/>
  <c r="O66" i="71"/>
  <c r="B40" i="1"/>
  <c r="L36" i="43" s="1"/>
  <c r="L37" i="43" s="1"/>
  <c r="V42" i="37"/>
  <c r="I42"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40" i="43"/>
  <c r="C37" i="43"/>
  <c r="C41" i="43"/>
  <c r="K21" i="6"/>
  <c r="S8" i="1" s="1"/>
  <c r="E8" i="70"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AA10" i="40"/>
  <c r="U10" i="40"/>
  <c r="AC10" i="39"/>
  <c r="U7" i="37"/>
  <c r="G67" i="39"/>
  <c r="F69" i="39"/>
  <c r="F58" i="21"/>
  <c r="R37" i="36"/>
  <c r="E36" i="36"/>
  <c r="F63" i="40"/>
  <c r="E65" i="40"/>
  <c r="W7" i="33"/>
  <c r="AC7" i="33"/>
  <c r="AA7" i="37"/>
  <c r="R42" i="37" s="1"/>
  <c r="S7" i="37"/>
  <c r="I40" i="36"/>
  <c r="J40" i="36" s="1"/>
  <c r="S7" i="33"/>
  <c r="AA7" i="33"/>
  <c r="G53" i="34"/>
  <c r="H53" i="34" s="1"/>
  <c r="G54" i="34"/>
  <c r="H54" i="34" s="1"/>
  <c r="G40" i="36"/>
  <c r="H40" i="36" s="1"/>
  <c r="G41" i="36"/>
  <c r="H41" i="36" s="1"/>
  <c r="G46" i="37"/>
  <c r="H46" i="37" s="1"/>
  <c r="G47" i="37"/>
  <c r="H47" i="37" s="1"/>
  <c r="I46" i="37"/>
  <c r="J46" i="37" s="1"/>
  <c r="G48" i="35"/>
  <c r="U7" i="33"/>
  <c r="AB7" i="33"/>
  <c r="C53" i="67"/>
  <c r="C53" i="15"/>
  <c r="C10" i="15"/>
  <c r="C5" i="15" s="1"/>
  <c r="C38" i="15" s="1"/>
  <c r="C16" i="67"/>
  <c r="M27" i="15"/>
  <c r="F41" i="15"/>
  <c r="AE6" i="1"/>
  <c r="M27" i="67"/>
  <c r="E65" i="39" l="1"/>
  <c r="D3" i="34"/>
  <c r="E6" i="3"/>
  <c r="F27" i="11"/>
  <c r="C29" i="11" s="1"/>
  <c r="D27" i="11" s="1"/>
  <c r="AA33" i="33"/>
  <c r="R48" i="33" s="1"/>
  <c r="S33" i="33"/>
  <c r="AB33" i="33"/>
  <c r="T48" i="33" s="1"/>
  <c r="G48" i="33" s="1"/>
  <c r="U33" i="33"/>
  <c r="AC33" i="33"/>
  <c r="V48" i="33" s="1"/>
  <c r="I48" i="33" s="1"/>
  <c r="I52" i="33" s="1"/>
  <c r="J52" i="33" s="1"/>
  <c r="W33" i="33"/>
  <c r="C10" i="67"/>
  <c r="C5" i="67" s="1"/>
  <c r="C38" i="67" s="1"/>
  <c r="W10" i="40"/>
  <c r="M16" i="1"/>
  <c r="L16" i="1" s="1"/>
  <c r="J5" i="67"/>
  <c r="J24" i="67" s="1"/>
  <c r="D14" i="12"/>
  <c r="D17" i="12" s="1"/>
  <c r="C17" i="12" s="1"/>
  <c r="D3" i="33"/>
  <c r="E6" i="6"/>
  <c r="D20" i="12" s="1"/>
  <c r="C20" i="12" s="1"/>
  <c r="C18" i="12" s="1"/>
  <c r="C48" i="67"/>
  <c r="C66" i="67" s="1"/>
  <c r="V2" i="43"/>
  <c r="C34" i="43" s="1"/>
  <c r="E34" i="43" s="1"/>
  <c r="C6" i="69"/>
  <c r="C7" i="69" s="1"/>
  <c r="C29" i="68"/>
  <c r="D27" i="68" s="1"/>
  <c r="C48" i="15"/>
  <c r="C66" i="15" s="1"/>
  <c r="C47" i="68"/>
  <c r="D45" i="68" s="1"/>
  <c r="AB10" i="39"/>
  <c r="C17" i="4"/>
  <c r="B4" i="52" s="1"/>
  <c r="B43" i="72" s="1"/>
  <c r="M18" i="9"/>
  <c r="B118" i="9" s="1"/>
  <c r="B1" i="74" s="1"/>
  <c r="D3" i="21"/>
  <c r="D116" i="43"/>
  <c r="D3" i="37"/>
  <c r="D19" i="11"/>
  <c r="C19" i="11" s="1"/>
  <c r="C20" i="11" s="1"/>
  <c r="F22" i="68"/>
  <c r="C44" i="68" s="1"/>
  <c r="D41" i="68" s="1"/>
  <c r="F25" i="12"/>
  <c r="C26" i="12" s="1"/>
  <c r="D25" i="12" s="1"/>
  <c r="D21" i="71"/>
  <c r="C20" i="71"/>
  <c r="F22" i="11"/>
  <c r="C23" i="11" s="1"/>
  <c r="F24" i="67"/>
  <c r="C24" i="67" s="1"/>
  <c r="F24" i="15"/>
  <c r="C24" i="15" s="1"/>
  <c r="F22" i="69"/>
  <c r="F41" i="69" s="1"/>
  <c r="E49" i="34"/>
  <c r="O36" i="43"/>
  <c r="Q36" i="43"/>
  <c r="N36" i="43"/>
  <c r="M36" i="43"/>
  <c r="P36" i="43"/>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5" i="6"/>
  <c r="D15" i="6"/>
  <c r="D22" i="6"/>
  <c r="D21" i="6"/>
  <c r="D24" i="6"/>
  <c r="D20" i="6"/>
  <c r="D26" i="6"/>
  <c r="D8" i="6"/>
  <c r="D14" i="6"/>
  <c r="D9" i="6"/>
  <c r="D10" i="6"/>
  <c r="D29" i="6"/>
  <c r="H24" i="6"/>
  <c r="D19" i="6"/>
  <c r="M19" i="9" s="1"/>
  <c r="C118" i="9" s="1"/>
  <c r="B2" i="74" s="1"/>
  <c r="C18" i="4"/>
  <c r="D23" i="6"/>
  <c r="D5" i="6"/>
  <c r="D12" i="6"/>
  <c r="D11" i="6"/>
  <c r="D13" i="6"/>
  <c r="D28" i="6"/>
  <c r="E61" i="40"/>
  <c r="H26" i="6"/>
  <c r="P14" i="1"/>
  <c r="P16" i="1" s="1"/>
  <c r="C11" i="12" s="1"/>
  <c r="N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F41" i="67"/>
  <c r="C17" i="67"/>
  <c r="C17" i="15"/>
  <c r="D10" i="69"/>
  <c r="C34" i="69"/>
  <c r="C14" i="67"/>
  <c r="D30" i="6" l="1"/>
  <c r="H22" i="6"/>
  <c r="H21" i="6"/>
  <c r="C28" i="11"/>
  <c r="C27" i="11" s="1"/>
  <c r="C47" i="11"/>
  <c r="D45" i="11" s="1"/>
  <c r="H25" i="6"/>
  <c r="R25" i="6" s="1"/>
  <c r="R12" i="1" s="1"/>
  <c r="D6" i="6"/>
  <c r="D10" i="68"/>
  <c r="D19" i="68" s="1"/>
  <c r="G53" i="33"/>
  <c r="H53" i="33" s="1"/>
  <c r="G52" i="33"/>
  <c r="H52" i="33" s="1"/>
  <c r="R49" i="33"/>
  <c r="C48" i="33" s="1"/>
  <c r="E48" i="33"/>
  <c r="I53" i="33" s="1"/>
  <c r="J53" i="33" s="1"/>
  <c r="C60" i="15"/>
  <c r="C60" i="67"/>
  <c r="F41" i="68"/>
  <c r="F69" i="67"/>
  <c r="C26" i="68"/>
  <c r="D22" i="68" s="1"/>
  <c r="C23" i="68"/>
  <c r="C26" i="11"/>
  <c r="D22" i="11" s="1"/>
  <c r="C44" i="11"/>
  <c r="D41" i="11" s="1"/>
  <c r="D20" i="71"/>
  <c r="U20" i="71" s="1"/>
  <c r="C19" i="71"/>
  <c r="T20" i="7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H69" i="39"/>
  <c r="I67" i="39"/>
  <c r="G65" i="40"/>
  <c r="H63" i="40"/>
  <c r="C43" i="37"/>
  <c r="C42" i="37"/>
  <c r="I48" i="35"/>
  <c r="H58" i="21"/>
  <c r="E47" i="37"/>
  <c r="F47" i="37" s="1"/>
  <c r="E46" i="37"/>
  <c r="F46" i="37" s="1"/>
  <c r="I47" i="37"/>
  <c r="J47" i="37" s="1"/>
  <c r="C33" i="15"/>
  <c r="C33" i="67"/>
  <c r="J19" i="67"/>
  <c r="C34" i="68"/>
  <c r="B6" i="76"/>
  <c r="C14" i="15"/>
  <c r="E6" i="76"/>
  <c r="C10" i="68" l="1"/>
  <c r="E53" i="33"/>
  <c r="F53" i="33" s="1"/>
  <c r="C49" i="33"/>
  <c r="E52" i="33"/>
  <c r="F52" i="33" s="1"/>
  <c r="E2" i="70"/>
  <c r="C18" i="7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67"/>
  <c r="M21" i="15"/>
  <c r="F35" i="15"/>
  <c r="T16" i="71" l="1"/>
  <c r="D16" i="71"/>
  <c r="U16" i="71" s="1"/>
  <c r="C15"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4" i="71" l="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2"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9"/>
  <c r="D2" i="35"/>
  <c r="D2" i="36"/>
  <c r="D2" i="37"/>
  <c r="D2" i="34"/>
  <c r="C19" i="9"/>
  <c r="L51" i="15"/>
  <c r="C102" i="9" l="1"/>
  <c r="C21" i="9"/>
  <c r="B3" i="33"/>
  <c r="D22" i="9"/>
  <c r="D102" i="9"/>
  <c r="G19" i="9"/>
  <c r="G21" i="9" s="1"/>
  <c r="D21" i="9"/>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8" i="1"/>
  <c r="C20" i="9"/>
  <c r="AO7" i="1"/>
  <c r="AO10" i="1"/>
  <c r="AO6" i="1"/>
  <c r="D20" i="9"/>
  <c r="AO11" i="1"/>
  <c r="C103" i="9" l="1"/>
  <c r="G20" i="9"/>
  <c r="C32" i="9" s="1"/>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9" i="71"/>
  <c r="C8" i="71"/>
  <c r="C42" i="40"/>
  <c r="C43" i="40"/>
  <c r="E47" i="40"/>
  <c r="F47" i="40" s="1"/>
  <c r="E46" i="40"/>
  <c r="F46" i="40" s="1"/>
  <c r="I47" i="40"/>
  <c r="J47" i="40" s="1"/>
  <c r="D34" i="9"/>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G118" i="9"/>
  <c r="F118" i="9" s="1"/>
  <c r="I118" i="9"/>
  <c r="H102" i="9" s="1"/>
  <c r="R24" i="31" s="1"/>
  <c r="S24" i="31" l="1"/>
  <c r="R25" i="31"/>
  <c r="S25" i="31" s="1"/>
  <c r="F4" i="52"/>
  <c r="B51" i="72" s="1"/>
  <c r="F119" i="9"/>
  <c r="F5" i="52" s="1"/>
  <c r="B53" i="72" s="1"/>
  <c r="D7" i="53"/>
  <c r="B21" i="72" s="1"/>
  <c r="E118" i="9"/>
  <c r="G4" i="52"/>
  <c r="B52" i="72" s="1"/>
  <c r="I4" i="52"/>
  <c r="C105" i="9"/>
  <c r="H118" i="9"/>
  <c r="S22" i="31" l="1"/>
  <c r="H101" i="9"/>
  <c r="D14" i="74" s="1"/>
  <c r="C104" i="9"/>
  <c r="H119" i="9"/>
  <c r="H5" i="52" s="1"/>
  <c r="H4" i="52"/>
  <c r="E4" i="52"/>
  <c r="B48" i="72" s="1"/>
  <c r="D118" i="9"/>
  <c r="B5" i="74" l="1"/>
  <c r="E14" i="74"/>
  <c r="F14" i="74"/>
  <c r="R22" i="31"/>
  <c r="B20" i="31"/>
  <c r="B21" i="31" s="1"/>
  <c r="D119" i="9"/>
  <c r="D5" i="52" s="1"/>
  <c r="B49" i="72" s="1"/>
  <c r="D4" i="52"/>
  <c r="B47" i="72" s="1"/>
  <c r="D5" i="53"/>
  <c r="M48" i="9"/>
  <c r="H107" i="9"/>
  <c r="G14" i="74" s="1"/>
  <c r="B6" i="74" s="1"/>
  <c r="D6" i="74" s="1"/>
  <c r="D45" i="9"/>
  <c r="D5" i="74" l="1"/>
  <c r="C5" i="74"/>
  <c r="C93" i="9"/>
  <c r="C86" i="9" s="1"/>
  <c r="D53" i="9"/>
  <c r="C64" i="9"/>
  <c r="C63" i="9" s="1"/>
  <c r="C67" i="9" s="1"/>
  <c r="D55" i="9"/>
  <c r="M53" i="9" s="1"/>
  <c r="C85" i="9"/>
  <c r="C72" i="9"/>
  <c r="D52" i="9"/>
  <c r="C78" i="9"/>
  <c r="C73" i="9" s="1"/>
  <c r="B20" i="72"/>
  <c r="D6" i="53"/>
  <c r="B22" i="72" s="1"/>
  <c r="D122" i="9"/>
  <c r="D13" i="53"/>
  <c r="H108" i="9"/>
  <c r="M49" i="9"/>
  <c r="C95" i="9" l="1"/>
  <c r="D14" i="53"/>
  <c r="B32" i="72" s="1"/>
  <c r="B30" i="72"/>
  <c r="D123" i="9"/>
  <c r="D9" i="52" s="1"/>
  <c r="D8" i="52"/>
  <c r="C68" i="9"/>
  <c r="D54" i="9" s="1"/>
  <c r="D59" i="9"/>
  <c r="M55" i="9" s="1"/>
  <c r="C79" i="9"/>
  <c r="L64" i="9"/>
  <c r="M64" i="9" s="1"/>
  <c r="L68" i="9"/>
  <c r="M68" i="9" s="1"/>
  <c r="L66" i="9"/>
  <c r="M66" i="9" s="1"/>
  <c r="L67" i="9"/>
  <c r="M67" i="9" s="1"/>
  <c r="L65" i="9"/>
  <c r="M65" i="9" s="1"/>
  <c r="L63" i="9"/>
  <c r="M63" i="9" s="1"/>
  <c r="C6" i="74"/>
  <c r="D15" i="53"/>
  <c r="B31" i="72" s="1"/>
  <c r="C96" i="9"/>
  <c r="E96" i="9" s="1"/>
  <c r="E97" i="9" s="1"/>
  <c r="C97" i="9" l="1"/>
  <c r="D58" i="9" s="1"/>
  <c r="D56" i="9" s="1"/>
  <c r="M54" i="9" s="1"/>
  <c r="N57" i="9" s="1"/>
  <c r="N58" i="9" s="1"/>
  <c r="M69" i="9"/>
  <c r="N69" i="9" s="1"/>
  <c r="C80" i="9"/>
  <c r="E80" i="9" s="1"/>
  <c r="E81" i="9" s="1"/>
  <c r="P57" i="9" l="1"/>
  <c r="N59" i="9"/>
  <c r="N60" i="9" s="1"/>
  <c r="C81"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<sst xmlns="http://schemas.openxmlformats.org/spreadsheetml/2006/main" count="8261" uniqueCount="3645">
  <si>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</si>
  <si>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</si>
  <si>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</si>
  <si>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</si>
  <si>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</si>
  <si>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</si>
  <si>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</si>
  <si>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</si>
  <si>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</si>
  <si>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</si>
  <si>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</si>
  <si>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</si>
  <si>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</si>
  <si>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</si>
  <si>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</si>
  <si>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</si>
  <si>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</si>
  <si>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</si>
  <si>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</si>
  <si>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</si>
  <si>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</si>
  <si>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</si>
  <si>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</si>
  <si>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</si>
  <si>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</si>
  <si>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</si>
  <si>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</si>
  <si>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</si>
  <si>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</si>
  <si>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</si>
  <si>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</si>
  <si>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</si>
  <si>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</si>
  <si>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</si>
  <si>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</si>
  <si>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</si>
  <si>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</si>
  <si>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</si>
  <si>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</si>
  <si>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</si>
  <si>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</si>
  <si>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</si>
  <si>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</si>
  <si>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</si>
  <si>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</si>
  <si>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</si>
  <si>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</si>
  <si>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</si>
  <si>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</si>
  <si>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</si>
  <si>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</si>
  <si>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</si>
  <si>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</si>
  <si>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</si>
  <si>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</si>
  <si>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</si>
  <si>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</si>
  <si>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</si>
  <si>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</si>
  <si>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</si>
  <si>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</si>
  <si>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</si>
  <si>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</si>
  <si>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</si>
  <si>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</si>
  <si>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</si>
  <si>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</si>
  <si>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</si>
  <si>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</si>
  <si>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</si>
  <si>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</si>
  <si>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</si>
  <si>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</si>
  <si>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</si>
  <si>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</si>
  <si>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</si>
  <si>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</si>
  <si>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</si>
  <si>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</si>
  <si>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</si>
  <si>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</si>
  <si>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</si>
  <si>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</si>
  <si>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</si>
  <si>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</si>
  <si>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</si>
  <si>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</si>
  <si>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</si>
  <si>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</si>
  <si>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</si>
  <si>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</si>
  <si>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</si>
  <si>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</si>
  <si>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</si>
  <si>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</si>
  <si>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</si>
  <si>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</si>
  <si>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</si>
  <si>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</si>
  <si>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</si>
  <si>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</si>
  <si>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</si>
  <si>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</si>
  <si>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</si>
  <si>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</si>
  <si>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</si>
  <si>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</si>
  <si>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</si>
  <si>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</si>
  <si>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</si>
  <si>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</si>
  <si>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</si>
  <si>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</si>
  <si>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</si>
  <si>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</si>
  <si>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</si>
  <si>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</si>
  <si>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</si>
  <si>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</si>
  <si>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</si>
  <si>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</si>
  <si>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</si>
  <si>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</si>
  <si>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</si>
  <si>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</si>
  <si>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</si>
  <si>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</si>
  <si>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</si>
  <si>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</si>
  <si>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</si>
  <si>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</si>
  <si>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</si>
  <si>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</si>
  <si>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</si>
  <si>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</si>
  <si>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</si>
  <si>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</si>
  <si>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</si>
  <si>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</si>
  <si>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</si>
  <si>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</si>
  <si>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</si>
  <si>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</si>
  <si>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</si>
  <si>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</si>
  <si>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</si>
  <si>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</si>
  <si>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</si>
  <si>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</si>
  <si>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</si>
  <si>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</si>
  <si>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</si>
  <si>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</si>
  <si>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</si>
  <si>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</si>
  <si>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</si>
  <si>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</si>
  <si>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</si>
  <si>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</si>
  <si>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</si>
  <si>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</si>
  <si>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</si>
  <si>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</si>
  <si>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</si>
  <si>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</si>
  <si>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</si>
  <si>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</si>
  <si>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</si>
  <si>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</si>
  <si>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</si>
  <si>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</si>
  <si>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</si>
  <si>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</si>
  <si>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</si>
  <si>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</si>
  <si>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</si>
  <si>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</si>
  <si>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</si>
  <si>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</si>
  <si>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</si>
  <si>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</si>
  <si>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</si>
  <si>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</si>
  <si>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</si>
  <si>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</si>
  <si>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</si>
  <si>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</si>
  <si>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</si>
  <si>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</si>
  <si>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</si>
  <si>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</si>
  <si>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</si>
  <si>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</si>
  <si>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</si>
  <si>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</si>
  <si>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</si>
  <si>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</si>
  <si>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</si>
  <si>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</si>
  <si>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</si>
  <si>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</si>
  <si>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</si>
  <si>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</si>
  <si>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</si>
  <si>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</si>
  <si>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</si>
  <si>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</si>
  <si>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</si>
  <si>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</si>
  <si>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</si>
  <si>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</si>
  <si>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</si>
  <si>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</si>
  <si>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</si>
  <si>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</si>
  <si>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</si>
  <si>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</si>
  <si>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</si>
  <si>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</si>
  <si>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</si>
  <si>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</si>
  <si>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</si>
  <si>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</si>
  <si>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</si>
  <si>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</si>
  <si>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</si>
  <si>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</si>
  <si>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</si>
  <si>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</si>
  <si>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</si>
  <si>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</si>
  <si>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</si>
  <si>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</si>
  <si>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</si>
  <si>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</si>
  <si>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</si>
  <si>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</si>
  <si>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</si>
  <si>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</si>
  <si>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</si>
  <si>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</si>
  <si>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</si>
  <si>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</si>
  <si>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</si>
  <si>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</si>
  <si>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</si>
  <si>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</si>
  <si>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</si>
  <si>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</si>
  <si>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</si>
  <si>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</si>
  <si>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</si>
  <si>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</si>
  <si>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</si>
  <si>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</si>
  <si>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</si>
  <si>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</si>
  <si>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</si>
  <si>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</si>
  <si>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</si>
  <si>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</si>
  <si>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</si>
  <si>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</si>
  <si>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</si>
  <si>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</si>
  <si>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</si>
  <si>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</si>
  <si>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</si>
  <si>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</si>
  <si>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</si>
  <si>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</si>
  <si>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</si>
  <si>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</si>
  <si>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</si>
  <si>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</si>
  <si>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</si>
  <si>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</si>
  <si>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</si>
  <si>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</si>
  <si>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</si>
  <si>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</si>
  <si>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</si>
  <si>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</si>
  <si>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</si>
  <si>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</si>
  <si>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</si>
  <si>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</si>
  <si>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</si>
  <si>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</si>
  <si>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</si>
  <si>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</si>
  <si>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</si>
  <si>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</si>
  <si>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</si>
  <si>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</si>
  <si>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</si>
  <si>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</si>
  <si>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</si>
  <si>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</si>
  <si>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</si>
  <si>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</si>
  <si>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</si>
  <si>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</si>
  <si>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</si>
  <si>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</si>
  <si>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</si>
  <si>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</si>
  <si>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</si>
  <si>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</si>
  <si>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</si>
  <si>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</si>
  <si>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</si>
  <si>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</si>
  <si>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</si>
  <si>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</si>
  <si>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</si>
  <si>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</si>
  <si>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</si>
  <si>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</si>
  <si>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</si>
  <si>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</si>
  <si>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</si>
  <si>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</si>
  <si>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</si>
  <si>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</si>
  <si>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</si>
  <si>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</si>
  <si>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</si>
  <si>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</si>
  <si>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</si>
  <si>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</si>
  <si>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</si>
  <si>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</si>
  <si>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</si>
  <si>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</si>
  <si>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</si>
  <si>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</si>
  <si>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</si>
  <si>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</si>
  <si>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</si>
  <si>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</si>
  <si>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</si>
  <si>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</si>
  <si>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</si>
  <si>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</si>
  <si>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</si>
  <si>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</si>
  <si>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</si>
  <si>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</si>
  <si>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</si>
  <si>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</si>
  <si>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</si>
  <si>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</si>
  <si>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</si>
  <si>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</si>
  <si>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</si>
  <si>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</si>
  <si>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</si>
  <si>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</si>
  <si>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</si>
  <si>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</si>
  <si>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</si>
  <si>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</si>
  <si>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</si>
  <si>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</si>
  <si>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</si>
  <si>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</si>
  <si>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</si>
  <si>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</si>
  <si>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</si>
  <si>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</si>
  <si>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</si>
  <si>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</si>
  <si>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</si>
  <si>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</si>
  <si>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</si>
  <si>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</si>
  <si>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</si>
  <si>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</si>
  <si>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</si>
  <si>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</si>
  <si>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</si>
  <si>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</si>
  <si>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</si>
  <si>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</si>
  <si>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</si>
  <si>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</si>
  <si>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</si>
  <si>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</si>
  <si>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</si>
  <si>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</si>
  <si>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</si>
  <si>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</si>
  <si>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</si>
  <si>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</si>
  <si>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</si>
  <si>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</si>
  <si>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</si>
  <si>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</si>
  <si>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</si>
  <si>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</si>
  <si>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</si>
  <si>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</si>
  <si>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</si>
  <si>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</si>
  <si>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</si>
  <si>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</si>
  <si>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</si>
  <si>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</si>
  <si>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</si>
  <si>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</si>
  <si>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</si>
  <si>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</si>
  <si>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</si>
  <si>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</si>
  <si>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</si>
  <si>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</si>
  <si>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</si>
  <si>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</si>
  <si>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</si>
  <si>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</si>
  <si>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</si>
  <si>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</si>
  <si>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</si>
  <si>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</si>
  <si>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</si>
  <si>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</si>
  <si>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</si>
  <si>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</si>
  <si>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</si>
  <si>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</si>
  <si>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</si>
  <si>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</si>
  <si>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</si>
  <si>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</si>
  <si>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</si>
  <si>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</si>
  <si>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</si>
  <si>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</si>
  <si>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</si>
  <si>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</si>
  <si>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</si>
  <si>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</si>
  <si>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</si>
  <si>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</si>
  <si>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</si>
  <si>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</si>
  <si>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</si>
  <si>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</si>
  <si>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</si>
  <si>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</si>
  <si>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</si>
  <si>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</si>
  <si>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</si>
  <si>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</si>
  <si>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</si>
  <si>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</si>
  <si>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</si>
  <si>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</si>
  <si>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</si>
  <si>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</si>
  <si>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</si>
  <si>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</si>
  <si>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</si>
  <si>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</si>
  <si>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</si>
  <si>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</si>
  <si>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</si>
  <si>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</si>
  <si>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</si>
  <si>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</si>
  <si>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</si>
  <si>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</si>
  <si>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</si>
  <si>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</si>
  <si>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</si>
  <si>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</si>
  <si>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</si>
  <si>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</si>
  <si>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</si>
  <si>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</si>
  <si>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</si>
  <si>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</si>
  <si>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</si>
  <si>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</si>
  <si>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</si>
  <si>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</si>
  <si>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</si>
  <si>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</si>
  <si>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</si>
  <si>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</si>
  <si>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</si>
  <si>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</si>
  <si>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</si>
  <si>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</si>
  <si>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</si>
  <si>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</si>
  <si>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</si>
  <si>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</si>
  <si>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</si>
  <si>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</si>
  <si>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</si>
  <si>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</si>
  <si>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</si>
  <si>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</si>
  <si>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</si>
  <si>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</si>
  <si>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</si>
  <si>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</si>
  <si>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</si>
  <si>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</si>
  <si>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</si>
  <si>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</si>
  <si>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</si>
  <si>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</si>
  <si>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</si>
  <si>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</si>
  <si>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</si>
  <si>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</si>
  <si>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</si>
  <si>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</si>
  <si>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</si>
  <si>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</si>
  <si>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</si>
  <si>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</si>
  <si>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</si>
  <si>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</si>
  <si>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</si>
  <si>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</si>
  <si>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</si>
  <si>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</si>
  <si>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</si>
  <si>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</si>
  <si>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</si>
  <si>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</si>
  <si>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</si>
  <si>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</si>
  <si>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</si>
  <si>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</si>
  <si>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</si>
  <si>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</si>
  <si>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</si>
  <si>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</si>
  <si>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</si>
  <si>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</si>
  <si>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</si>
  <si>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</si>
  <si>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</si>
  <si>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</si>
  <si>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</si>
  <si>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</si>
  <si>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</si>
  <si>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</si>
  <si>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</si>
  <si>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</si>
  <si>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</si>
  <si>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</si>
  <si>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</si>
  <si>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</si>
  <si>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</si>
  <si>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</si>
  <si>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</si>
  <si>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</si>
  <si>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</si>
  <si>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</si>
  <si>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</si>
  <si>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</si>
  <si>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</si>
  <si>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</si>
  <si>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</si>
  <si>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</si>
  <si>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</si>
  <si>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</si>
  <si>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</si>
  <si>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</si>
  <si>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</si>
  <si>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</si>
  <si>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</si>
  <si>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</si>
  <si>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</si>
  <si>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</si>
  <si>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</si>
  <si>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</si>
  <si>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</si>
  <si>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</si>
  <si>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</si>
  <si>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</si>
  <si>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</si>
  <si>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</si>
  <si>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</si>
  <si>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</si>
  <si>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</si>
  <si>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</si>
  <si>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</si>
  <si>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</si>
  <si>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</si>
  <si>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</si>
  <si>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</si>
  <si>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</si>
  <si>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</si>
  <si>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</si>
  <si>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</si>
  <si>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</si>
  <si>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</si>
  <si>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</si>
  <si>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</si>
  <si>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</si>
  <si>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</si>
  <si>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</si>
  <si>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</si>
  <si>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</si>
  <si>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</si>
  <si>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</si>
  <si>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</si>
  <si>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</si>
  <si>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</si>
  <si>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</si>
  <si>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</si>
  <si>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</si>
  <si>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</si>
  <si>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</si>
  <si>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</si>
  <si>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</si>
  <si>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</si>
  <si>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</si>
  <si>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</si>
  <si>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</si>
  <si>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</si>
  <si>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</si>
  <si>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</si>
  <si>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</si>
  <si>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</si>
  <si>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</si>
  <si>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</si>
  <si>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</si>
  <si>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</si>
  <si>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</si>
  <si>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</si>
  <si>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</si>
  <si>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</si>
  <si>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</si>
  <si>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</si>
  <si>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</si>
  <si>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</si>
  <si>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</si>
  <si>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</si>
  <si>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</si>
  <si>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</si>
  <si>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</si>
  <si>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</si>
  <si>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</si>
  <si>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</si>
  <si>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</si>
  <si>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</si>
  <si>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</si>
  <si>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</si>
  <si>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</si>
  <si>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</si>
  <si>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</si>
  <si>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</si>
  <si>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</si>
  <si>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</si>
  <si>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</si>
  <si>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</si>
  <si>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</si>
  <si>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</si>
  <si>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</si>
  <si>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</si>
  <si>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</si>
  <si>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</si>
  <si>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</si>
  <si>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</si>
  <si>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</si>
  <si>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</si>
  <si>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</si>
  <si>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</si>
  <si>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</si>
  <si>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</si>
  <si>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</si>
  <si>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</si>
  <si>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</si>
  <si>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</si>
  <si>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</si>
  <si>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</si>
  <si>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</si>
  <si>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</si>
  <si>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</si>
  <si>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</si>
  <si>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</si>
  <si>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</si>
  <si>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</si>
  <si>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</si>
  <si>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</si>
  <si>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</si>
  <si>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</si>
  <si>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</si>
  <si>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</si>
  <si>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</si>
  <si>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</si>
  <si>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</si>
  <si>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</si>
  <si>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</si>
  <si>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</si>
  <si>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</si>
  <si>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</si>
  <si>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</si>
  <si>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</si>
  <si>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</si>
  <si>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</si>
  <si>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</si>
  <si>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</si>
  <si>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</si>
  <si>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</si>
  <si>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</si>
  <si>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</si>
  <si>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</si>
  <si>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</si>
  <si>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</si>
  <si>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</si>
  <si>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</si>
  <si>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</si>
  <si>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</si>
  <si>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</si>
  <si>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</si>
  <si>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</si>
  <si>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</si>
  <si>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</si>
  <si>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</si>
  <si>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</si>
  <si>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</si>
  <si>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</si>
  <si>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</si>
  <si>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</si>
  <si>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</si>
  <si>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</si>
  <si>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</si>
  <si>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</si>
  <si>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</si>
  <si>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</si>
  <si>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</si>
  <si>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</si>
  <si>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</si>
  <si>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</si>
  <si>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</si>
  <si>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</si>
  <si>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</si>
  <si>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</si>
  <si>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</si>
  <si>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</si>
  <si>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</si>
  <si>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</si>
  <si>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</si>
  <si>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</si>
  <si>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</si>
  <si>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</si>
  <si>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</si>
  <si>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</si>
  <si>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</si>
  <si>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</si>
  <si>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</si>
  <si>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</si>
  <si>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</si>
  <si>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</si>
  <si>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</si>
  <si>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</si>
  <si>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</si>
  <si>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</si>
  <si>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</si>
  <si>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</si>
  <si>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</si>
  <si>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</si>
  <si>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</si>
  <si>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</si>
  <si>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</si>
  <si>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</si>
  <si>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</si>
  <si>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</si>
  <si>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</si>
  <si>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</si>
  <si>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</si>
  <si>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</si>
  <si>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</si>
  <si>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</si>
  <si>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</si>
  <si>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</si>
  <si>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</si>
  <si>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</si>
  <si>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</si>
  <si>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</si>
  <si>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</si>
  <si>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</si>
  <si>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</si>
  <si>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</si>
  <si>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</si>
  <si>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</si>
  <si>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</si>
  <si>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</si>
  <si>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</si>
  <si>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</si>
  <si>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</si>
  <si>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</si>
  <si>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</si>
  <si>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</si>
  <si>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</si>
  <si>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</si>
  <si>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</si>
  <si>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</si>
  <si>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</si>
  <si>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</si>
  <si>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</si>
  <si>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</si>
  <si>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</si>
  <si>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</si>
  <si>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</si>
  <si>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</si>
  <si>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</si>
  <si>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</si>
  <si>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</si>
  <si>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</si>
  <si>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</si>
  <si>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</si>
  <si>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</si>
  <si>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</si>
  <si>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</si>
  <si>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</si>
  <si>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</si>
  <si>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</si>
  <si>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</si>
  <si>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</si>
  <si>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</si>
  <si>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</si>
  <si>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</si>
  <si>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</si>
  <si>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</si>
  <si>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</si>
  <si>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</si>
  <si>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</si>
  <si>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</si>
  <si>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</si>
  <si>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</si>
  <si>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</si>
  <si>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</si>
  <si>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</si>
  <si>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</si>
  <si>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</si>
  <si>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</si>
  <si>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</si>
  <si>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</si>
  <si>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</si>
  <si>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</si>
  <si>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</si>
  <si>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</si>
  <si>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</si>
  <si>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</si>
  <si>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</si>
  <si>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</si>
  <si>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</si>
  <si>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</si>
  <si>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</si>
  <si>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</si>
  <si>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</si>
  <si>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</si>
  <si>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</si>
  <si>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</si>
  <si>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</si>
  <si>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</si>
  <si>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</si>
  <si>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</si>
  <si>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</si>
  <si>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</si>
  <si>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</si>
  <si>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</si>
  <si>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</si>
  <si>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</si>
  <si>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</si>
  <si>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</si>
  <si>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</si>
  <si>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</si>
  <si>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</si>
  <si>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</si>
  <si>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</si>
  <si>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</si>
  <si>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</si>
  <si>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</si>
  <si>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</si>
  <si>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</si>
  <si>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</si>
  <si>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</si>
  <si>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</si>
  <si>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</si>
  <si>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</si>
  <si>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</si>
  <si>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</si>
  <si>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</si>
  <si>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</si>
  <si>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</si>
  <si>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</si>
  <si>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</si>
  <si>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</si>
  <si>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</si>
  <si>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</si>
  <si>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</si>
  <si>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</si>
  <si>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</si>
  <si>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</si>
  <si>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</si>
  <si>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</si>
  <si>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</si>
  <si>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</si>
  <si>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</si>
  <si>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</si>
  <si>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</si>
  <si>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</si>
  <si>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</si>
  <si>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</si>
  <si>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</si>
  <si>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</si>
  <si>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</si>
  <si>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</si>
  <si>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</si>
  <si>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</si>
  <si>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</si>
  <si>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</si>
  <si>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</si>
  <si>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</si>
  <si>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</si>
  <si>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</si>
  <si>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</si>
  <si>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</si>
  <si>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</si>
  <si>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</si>
  <si>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</si>
  <si>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</si>
  <si>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</si>
  <si>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</si>
  <si>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</si>
  <si>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</si>
  <si>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</si>
  <si>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</si>
  <si>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</si>
  <si>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</si>
  <si>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</si>
  <si>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</si>
  <si>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</si>
  <si>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</si>
  <si>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</si>
  <si>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</si>
  <si>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</si>
  <si>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</si>
  <si>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</si>
  <si>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</si>
  <si>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</si>
  <si>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</si>
  <si>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</si>
  <si>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</si>
  <si>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</si>
  <si>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</si>
  <si>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</si>
  <si>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</si>
  <si>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</si>
  <si>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</si>
  <si>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</si>
  <si>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</si>
  <si>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</si>
  <si>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</si>
  <si>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</si>
  <si>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</si>
  <si>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</si>
  <si>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</si>
  <si>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</si>
  <si>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</si>
  <si>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</si>
  <si>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</si>
  <si>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</si>
  <si>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</si>
  <si>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</si>
  <si>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</si>
  <si>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</si>
  <si>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</si>
  <si>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</si>
  <si>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</si>
  <si>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</si>
  <si>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</si>
  <si>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</si>
  <si>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</si>
  <si>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</si>
  <si>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</si>
  <si>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</si>
  <si>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</si>
  <si>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</si>
  <si>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</si>
  <si>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</si>
  <si>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</si>
  <si>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</si>
  <si>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</si>
  <si>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</si>
  <si>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</si>
  <si>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</si>
  <si>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</si>
  <si>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</si>
  <si>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</si>
  <si>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</si>
  <si>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</si>
  <si>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</si>
  <si>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</si>
  <si>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</si>
  <si>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</si>
  <si>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</si>
  <si>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</si>
  <si>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</si>
  <si>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</si>
  <si>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</si>
  <si>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</si>
  <si>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</si>
  <si>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</si>
  <si>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</si>
  <si>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</si>
  <si>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</si>
  <si>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</si>
  <si>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</si>
  <si>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</si>
  <si>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</si>
  <si>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</si>
  <si>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</si>
  <si>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</si>
  <si>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</si>
  <si>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</si>
  <si>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</si>
  <si>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</si>
  <si>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</si>
  <si>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</si>
  <si>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</si>
  <si>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</si>
  <si>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</si>
  <si>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</si>
  <si>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</si>
  <si>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</si>
  <si>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</si>
  <si>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</si>
  <si>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</si>
  <si>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</si>
  <si>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</si>
  <si>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</si>
  <si>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</si>
  <si>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</si>
  <si>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</si>
  <si>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</si>
  <si>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</si>
  <si>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</si>
  <si>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</si>
  <si>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</si>
  <si>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</si>
  <si>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</si>
  <si>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</si>
  <si>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</si>
  <si>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</si>
  <si>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</si>
  <si>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</si>
  <si>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</si>
  <si>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</si>
  <si>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</si>
  <si>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</si>
  <si>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</si>
  <si>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</si>
  <si>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</si>
  <si>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</si>
  <si>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</si>
  <si>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</si>
  <si>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</si>
  <si>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</si>
  <si>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</si>
  <si>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</si>
  <si>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</si>
  <si>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</si>
  <si>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</si>
  <si>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</si>
  <si>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</si>
  <si>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</si>
  <si>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</si>
  <si>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</si>
  <si>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</si>
  <si>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</si>
  <si>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</si>
  <si>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</si>
  <si>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</si>
  <si>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</si>
  <si>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</si>
  <si>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</si>
  <si>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</si>
  <si>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</si>
  <si>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</si>
  <si>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</si>
  <si>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</si>
  <si>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</si>
  <si>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</si>
  <si>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</si>
  <si>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</si>
  <si>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</si>
  <si>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</si>
  <si>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</si>
  <si>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</si>
  <si>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</si>
  <si>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</si>
  <si>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</si>
  <si>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</si>
  <si>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</si>
  <si>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</si>
  <si>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</si>
  <si>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</si>
  <si>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</si>
  <si>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</si>
  <si>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</si>
  <si>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</si>
  <si>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</si>
  <si>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</si>
  <si>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</si>
  <si>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</si>
  <si>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</si>
  <si>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</si>
  <si>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</si>
  <si>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</si>
  <si>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</si>
  <si>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</si>
  <si>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</si>
  <si>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</si>
  <si>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</si>
  <si>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</si>
  <si>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</si>
  <si>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</si>
  <si>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</si>
  <si>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</si>
  <si>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</si>
  <si>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</si>
  <si>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</si>
  <si>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</si>
  <si>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</si>
  <si>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</si>
  <si>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</si>
  <si>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</si>
  <si>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</si>
  <si>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</si>
  <si>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</si>
  <si>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</si>
  <si>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</si>
  <si>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</si>
  <si>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</si>
  <si>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</si>
  <si>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</si>
  <si>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</si>
  <si>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</si>
  <si>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</si>
  <si>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</si>
  <si>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</si>
  <si>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</si>
  <si>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</si>
  <si>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</si>
  <si>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</si>
  <si>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</si>
  <si>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</si>
  <si>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</si>
  <si>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</si>
  <si>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</si>
  <si>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</si>
  <si>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</si>
  <si>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</si>
  <si>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</si>
  <si>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</si>
  <si>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</si>
  <si>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</si>
  <si>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</si>
  <si>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</si>
  <si>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</si>
  <si>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</si>
  <si>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</si>
  <si>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</si>
  <si>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</si>
  <si>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</si>
  <si>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</si>
  <si>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</si>
  <si>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</si>
  <si>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</si>
  <si>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</si>
  <si>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</si>
  <si>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</si>
  <si>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</si>
  <si>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</si>
  <si>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</si>
  <si>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</si>
  <si>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</si>
  <si>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</si>
  <si>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</si>
  <si>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</si>
  <si>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</si>
  <si>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</si>
  <si>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</si>
  <si>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</si>
  <si>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</si>
  <si>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</si>
  <si>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</si>
  <si>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</si>
  <si>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</si>
  <si>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</si>
  <si>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</si>
  <si>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</si>
  <si>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</si>
  <si>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</si>
  <si>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</si>
  <si>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</si>
  <si>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</si>
  <si>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</si>
  <si>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</si>
  <si>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</si>
  <si>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</si>
  <si>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</si>
  <si>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</si>
  <si>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</si>
  <si>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</si>
  <si>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</si>
  <si>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</si>
  <si>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</si>
  <si>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</si>
  <si>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</si>
  <si>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</si>
  <si>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</si>
  <si>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</si>
  <si>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</si>
  <si>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</si>
  <si>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</si>
  <si>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</si>
  <si>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</si>
  <si>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</si>
  <si>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</si>
  <si>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</si>
  <si>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</si>
  <si>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</si>
  <si>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</si>
  <si>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</si>
  <si>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</si>
  <si>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</si>
  <si>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</si>
  <si>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</si>
  <si>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</si>
  <si>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</si>
  <si>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</si>
  <si>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</si>
  <si>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</si>
  <si>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</si>
  <si>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</si>
  <si>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</si>
  <si>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</si>
  <si>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</si>
  <si>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</si>
  <si>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</si>
  <si>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</si>
  <si>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</si>
  <si>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</si>
  <si>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</si>
  <si>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</si>
  <si>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</si>
  <si>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</si>
  <si>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</si>
  <si>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</si>
  <si>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</si>
  <si>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</si>
  <si>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</si>
  <si>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</si>
  <si>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</si>
  <si>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</si>
  <si>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</si>
  <si>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</si>
  <si>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</si>
  <si>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</si>
  <si>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</si>
  <si>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</si>
  <si>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</si>
  <si>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</si>
  <si>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</si>
  <si>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</si>
  <si>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</si>
  <si>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</si>
  <si>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</si>
  <si>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</si>
  <si>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</si>
  <si>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</si>
  <si>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</si>
  <si>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</si>
  <si>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</si>
  <si>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</si>
  <si>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</si>
  <si>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</si>
  <si>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</si>
  <si>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</si>
  <si>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</si>
  <si>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</si>
  <si>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</si>
  <si>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</si>
  <si>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</si>
  <si>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</si>
  <si>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</si>
  <si>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</si>
  <si>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</si>
  <si>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</si>
  <si>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</si>
  <si>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</si>
  <si>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</si>
  <si>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</si>
  <si>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</si>
  <si>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</si>
  <si>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</si>
  <si>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</si>
  <si>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</si>
  <si>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</si>
  <si>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</si>
  <si>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</si>
  <si>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</si>
  <si>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</si>
  <si>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</si>
  <si>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</si>
  <si>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</si>
  <si>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</si>
  <si>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</si>
  <si>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</si>
  <si>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</si>
  <si>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</si>
  <si>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</si>
  <si>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</si>
  <si>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</si>
  <si>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</si>
  <si>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</si>
  <si>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</si>
  <si>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</si>
  <si>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</si>
  <si>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</si>
  <si>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</si>
  <si>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</si>
  <si>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</si>
  <si>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</si>
  <si>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</si>
  <si>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</si>
  <si>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</si>
  <si>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</si>
  <si>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</si>
  <si>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</si>
  <si>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</si>
  <si>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</si>
  <si>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</si>
  <si>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</si>
  <si>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</si>
  <si>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</si>
  <si>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</si>
  <si>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</si>
  <si>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</si>
  <si>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</si>
  <si>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</si>
  <si>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</si>
  <si>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</si>
  <si>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</si>
  <si>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</si>
  <si>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</si>
  <si>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</si>
  <si>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</si>
  <si>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</si>
  <si>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</si>
  <si>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</si>
  <si>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</si>
  <si>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</si>
  <si>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</si>
  <si>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</si>
  <si>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</si>
  <si>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</si>
  <si>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</si>
  <si>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</si>
  <si>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</si>
  <si>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</si>
  <si>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</si>
  <si>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</si>
  <si>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</si>
  <si>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</si>
  <si>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</si>
  <si>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</si>
  <si>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</si>
  <si>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</si>
  <si>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</si>
  <si>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</si>
  <si>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</si>
  <si>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</si>
  <si>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</si>
  <si>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</si>
  <si>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</si>
  <si>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</si>
  <si>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</si>
  <si>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</si>
  <si>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</si>
  <si>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</si>
  <si>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</si>
  <si>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</si>
  <si>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</si>
  <si>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</si>
  <si>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</si>
  <si>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</si>
  <si>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</si>
  <si>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</si>
  <si>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</si>
  <si>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</si>
  <si>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</si>
  <si>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</si>
  <si>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</si>
  <si>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</si>
  <si>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</si>
  <si>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</si>
  <si>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</si>
  <si>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</si>
  <si>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</si>
  <si>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</si>
  <si>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</si>
  <si>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</si>
  <si>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</si>
  <si>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</si>
  <si>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</si>
  <si>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</si>
  <si>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</si>
  <si>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</si>
  <si>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</si>
  <si>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</si>
  <si>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</si>
  <si>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</si>
  <si>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</si>
  <si>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</si>
  <si>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</si>
  <si>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</si>
  <si>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</si>
  <si>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</si>
  <si>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</si>
  <si>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</si>
  <si>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</si>
  <si>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</si>
  <si>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</si>
  <si>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</si>
  <si>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</si>
  <si>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</si>
  <si>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</si>
  <si>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</si>
  <si>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</si>
  <si>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</si>
  <si>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</si>
  <si>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</si>
  <si>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</si>
  <si>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</si>
  <si>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</si>
  <si>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</si>
  <si>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</si>
  <si>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</si>
  <si>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</si>
  <si>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</si>
  <si>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</si>
  <si>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</si>
  <si>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</si>
  <si>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</si>
  <si>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</si>
  <si>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</si>
  <si>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</si>
  <si>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</si>
  <si>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</si>
  <si>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</si>
  <si>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</si>
  <si>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</si>
  <si>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</si>
  <si>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</si>
  <si>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</si>
  <si>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</si>
  <si>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</si>
  <si>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</si>
  <si>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</si>
  <si>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</si>
  <si>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</si>
  <si>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</si>
  <si>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</si>
  <si>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</si>
  <si>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</si>
  <si>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</si>
  <si>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</si>
  <si>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</si>
  <si>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</si>
  <si>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</si>
  <si>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</si>
  <si>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</si>
  <si>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</si>
  <si>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</si>
  <si>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</si>
  <si>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</si>
  <si>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</si>
  <si>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</si>
  <si>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</si>
  <si>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</si>
  <si>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</si>
  <si>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</si>
  <si>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</si>
  <si>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</si>
  <si>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</si>
  <si>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</si>
  <si>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</si>
  <si>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</si>
  <si>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</si>
  <si>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</si>
  <si>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</si>
  <si>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</si>
  <si>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</si>
  <si>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</si>
  <si>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</si>
  <si>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</si>
  <si>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</si>
  <si>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</si>
  <si>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</si>
  <si>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</si>
  <si>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</si>
  <si>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</si>
  <si>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</si>
  <si>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</si>
  <si>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</si>
  <si>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</si>
  <si>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</si>
  <si>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</si>
  <si>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</si>
  <si>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</si>
  <si>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</si>
  <si>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</si>
  <si>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</si>
  <si>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</si>
  <si>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</si>
  <si>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</si>
  <si>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</si>
  <si>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</si>
  <si>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</si>
  <si>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</si>
  <si>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</si>
  <si>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</si>
  <si>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</si>
  <si>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</si>
  <si>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</si>
  <si>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</si>
  <si>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</si>
  <si>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</si>
  <si>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</si>
  <si>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</si>
  <si>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</si>
  <si>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</si>
  <si>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</si>
  <si>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</si>
  <si>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</si>
  <si>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</si>
  <si>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</si>
  <si>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</si>
  <si>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</si>
  <si>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</si>
  <si>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</si>
  <si>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</si>
  <si>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</si>
  <si>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</si>
  <si>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</si>
  <si>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</si>
  <si>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</si>
  <si>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</si>
  <si>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</si>
  <si>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</si>
  <si>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</si>
  <si>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</si>
  <si>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</si>
  <si>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</si>
  <si>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</si>
  <si>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</si>
  <si>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</si>
  <si>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</si>
  <si>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</si>
  <si>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</si>
  <si>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</si>
  <si>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</si>
  <si>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</si>
  <si>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</si>
  <si>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</si>
  <si>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</si>
  <si>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</si>
  <si>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</si>
  <si>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</si>
  <si>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</si>
  <si>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</si>
  <si>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</si>
  <si>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</si>
  <si>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</si>
  <si>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</si>
  <si>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</si>
  <si>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</si>
  <si>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</si>
  <si>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</si>
  <si>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</si>
  <si>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</si>
  <si>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</si>
  <si>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</si>
  <si>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</si>
  <si>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</si>
  <si>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</si>
  <si>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</si>
  <si>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</si>
  <si>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</si>
  <si>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</si>
  <si>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</si>
  <si>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</si>
  <si>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</si>
  <si>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</si>
  <si>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</si>
  <si>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</si>
  <si>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</si>
  <si>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</si>
  <si>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</si>
  <si>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</si>
  <si>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</si>
  <si>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</si>
  <si>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</si>
  <si>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</si>
  <si>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</si>
  <si>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</si>
  <si>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</si>
  <si>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</si>
  <si>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</si>
  <si>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</si>
  <si>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</si>
  <si>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</si>
  <si>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</si>
  <si>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</si>
  <si>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</si>
  <si>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</si>
  <si>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</si>
  <si>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</si>
  <si>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</si>
  <si>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</si>
  <si>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</si>
  <si>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</si>
  <si>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</si>
  <si>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</si>
  <si>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</si>
  <si>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</si>
  <si>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</si>
  <si>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</si>
  <si>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</si>
  <si>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</si>
  <si>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</si>
  <si>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</si>
  <si>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</si>
  <si>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</si>
  <si>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</si>
  <si>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</si>
  <si>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</si>
  <si>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</si>
  <si>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</si>
  <si>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</si>
  <si>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</si>
  <si>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</si>
  <si>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</si>
  <si>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</si>
  <si>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</si>
  <si>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</si>
  <si>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</si>
  <si>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</si>
  <si>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</si>
  <si>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</si>
  <si>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</si>
  <si>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</si>
  <si>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</si>
  <si>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</si>
  <si>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</si>
  <si>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</si>
  <si>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</si>
  <si>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</si>
  <si>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</si>
  <si>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</si>
  <si>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</si>
  <si>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</si>
  <si>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</si>
  <si>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</si>
  <si>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</si>
  <si>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</si>
  <si>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</si>
  <si>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</si>
  <si>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</si>
  <si>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</si>
  <si>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</si>
  <si>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</si>
  <si>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</si>
  <si>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</si>
  <si>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</si>
  <si>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</si>
  <si>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</si>
  <si>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</si>
  <si>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</si>
  <si>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</si>
  <si>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</si>
  <si>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</si>
  <si>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</si>
  <si>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</si>
  <si>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</si>
  <si>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</si>
  <si>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</si>
  <si>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</si>
  <si>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</si>
  <si>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</si>
  <si>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</si>
  <si>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</si>
  <si>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</si>
  <si>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</si>
  <si>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</si>
  <si>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</si>
  <si>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</si>
  <si>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</si>
  <si>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</si>
  <si>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</si>
  <si>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</si>
  <si>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</si>
  <si>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</si>
  <si>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</si>
  <si>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</si>
  <si>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</si>
  <si>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</si>
  <si>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</si>
  <si>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</si>
  <si>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</si>
  <si>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</si>
  <si>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</si>
  <si>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</si>
  <si>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</si>
  <si>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</si>
  <si>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</si>
  <si>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</si>
  <si>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</si>
  <si>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</si>
  <si>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</si>
  <si>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</si>
  <si>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</si>
  <si>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</si>
  <si>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</si>
  <si>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</si>
  <si>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</si>
  <si>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</si>
  <si>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</si>
  <si>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</si>
  <si>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</si>
  <si>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</si>
  <si>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</si>
  <si>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</si>
  <si>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</si>
  <si>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</si>
  <si>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</si>
  <si>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</si>
  <si>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</si>
  <si>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</si>
  <si>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</si>
  <si>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</si>
  <si>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</si>
  <si>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</si>
  <si>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</si>
  <si>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</si>
  <si>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</si>
  <si>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</si>
  <si>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</si>
  <si>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</si>
  <si>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</si>
  <si>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</si>
  <si>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</si>
  <si>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</si>
  <si>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</si>
  <si>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</si>
  <si>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</si>
  <si>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</si>
  <si>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</si>
  <si>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</si>
  <si>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</si>
  <si>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</si>
  <si>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</si>
  <si>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</si>
  <si>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</si>
  <si>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</si>
  <si>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</si>
  <si>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</si>
  <si>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</si>
  <si>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</si>
  <si>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</si>
  <si>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</si>
  <si>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</si>
  <si>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</si>
  <si>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</si>
  <si>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</si>
  <si>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</si>
  <si>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</si>
  <si>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</si>
  <si>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</si>
  <si>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</si>
  <si>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</si>
  <si>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</si>
  <si>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</si>
  <si>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</si>
  <si>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</si>
  <si>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</si>
  <si>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</si>
  <si>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</si>
  <si>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</si>
  <si>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</si>
  <si>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</si>
  <si>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</si>
  <si>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</si>
  <si>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</si>
  <si>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</si>
  <si>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</si>
  <si>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</si>
  <si>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</si>
  <si>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</si>
  <si>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</si>
  <si>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</si>
  <si>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</si>
  <si>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</si>
  <si>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</si>
  <si>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</si>
  <si>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</si>
  <si>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</si>
  <si>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</si>
  <si>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</si>
  <si>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</si>
  <si>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</si>
  <si>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</si>
  <si>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</si>
  <si>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</si>
  <si>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</si>
  <si>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</si>
  <si>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</si>
  <si>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</si>
  <si>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</si>
  <si>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</si>
  <si>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</si>
  <si>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</si>
  <si>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</si>
  <si>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</si>
  <si>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</si>
  <si>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</si>
  <si>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</si>
  <si>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</si>
  <si>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</si>
  <si>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</si>
  <si>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</si>
  <si>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</si>
  <si>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</si>
  <si>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</si>
  <si>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</si>
  <si>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</si>
  <si>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</si>
  <si>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</si>
  <si>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</si>
  <si>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</si>
  <si>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</si>
  <si>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</si>
  <si>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</si>
  <si>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</si>
  <si>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</si>
  <si>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</si>
  <si>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</si>
  <si>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</si>
  <si>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</si>
  <si>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</si>
  <si>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</si>
  <si>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</si>
  <si>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</si>
  <si>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</si>
  <si>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</si>
  <si>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</si>
  <si>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</si>
  <si>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</si>
  <si>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</si>
  <si>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</si>
  <si>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</si>
  <si>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</si>
  <si>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</si>
  <si>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</si>
  <si>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</si>
  <si>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</si>
  <si>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</si>
  <si>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</si>
  <si>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</si>
  <si>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</si>
  <si>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</si>
  <si>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</si>
  <si>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</si>
  <si>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</si>
  <si>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</si>
  <si>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</si>
  <si>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</si>
  <si>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</si>
  <si>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</si>
  <si>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</si>
  <si>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</si>
  <si>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</si>
  <si>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</si>
  <si>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</si>
  <si>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</si>
  <si>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</si>
  <si>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</si>
  <si>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</si>
  <si>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</si>
  <si>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</si>
  <si>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</si>
  <si>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</si>
  <si>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</si>
  <si>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</si>
  <si>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</si>
  <si>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</si>
  <si>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</si>
  <si>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</si>
  <si>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</si>
  <si>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</si>
  <si>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</si>
  <si>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</si>
  <si>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</si>
  <si>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</si>
  <si>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</si>
  <si>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</si>
  <si>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</si>
  <si>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</si>
  <si>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</si>
  <si>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</si>
  <si>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</si>
  <si>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</si>
  <si>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</si>
  <si>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</si>
  <si>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</si>
  <si>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</si>
  <si>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</si>
  <si>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</si>
  <si>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</si>
  <si>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</si>
  <si>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</si>
  <si>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</si>
  <si>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</si>
  <si>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</si>
  <si>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</si>
  <si>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</si>
  <si>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</si>
  <si>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</si>
  <si>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</si>
  <si>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</si>
  <si>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</si>
  <si>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</si>
  <si>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</si>
  <si>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</si>
  <si>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</si>
  <si>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</si>
  <si>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</si>
  <si>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</si>
  <si>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</si>
  <si>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</si>
  <si>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</si>
  <si>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</si>
  <si>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</si>
  <si>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</si>
  <si>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</si>
  <si>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</si>
  <si>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</si>
  <si>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</si>
  <si>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</si>
  <si>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</si>
  <si>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</si>
  <si>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</si>
  <si>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</si>
  <si>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</si>
  <si>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</si>
  <si>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</si>
  <si>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</si>
  <si>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</si>
  <si>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</si>
  <si>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</si>
  <si>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</si>
  <si>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</si>
  <si>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</si>
  <si>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</si>
  <si>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</si>
  <si>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</si>
  <si>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</si>
  <si>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</si>
  <si>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</si>
  <si>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</si>
  <si>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</si>
  <si>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</si>
  <si>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</si>
  <si>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</si>
  <si>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</si>
  <si>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</si>
  <si>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</si>
  <si>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</si>
  <si>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</si>
  <si>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</si>
  <si>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</si>
  <si>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</si>
  <si>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</si>
  <si>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</si>
  <si>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</si>
  <si>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</si>
  <si>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</si>
  <si>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</si>
  <si>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</si>
  <si>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</si>
  <si>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</si>
  <si>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</si>
  <si>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</si>
  <si>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</si>
  <si>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</si>
  <si>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</si>
  <si>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</si>
  <si>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</si>
  <si>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</si>
  <si>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</si>
  <si>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</si>
  <si>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</si>
  <si>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</si>
  <si>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</si>
  <si>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</si>
  <si>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</si>
  <si>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</si>
  <si>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</si>
  <si>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</si>
  <si>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</si>
  <si>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</si>
  <si>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</si>
  <si>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</si>
  <si>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</si>
  <si>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</si>
  <si>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</si>
  <si>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</si>
  <si>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</si>
  <si>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</si>
  <si>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</si>
  <si>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</si>
  <si>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</si>
  <si>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</si>
  <si>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</si>
  <si>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</si>
  <si>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</si>
  <si>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</si>
  <si>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</si>
  <si>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</si>
  <si>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</si>
  <si>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</si>
  <si>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</si>
  <si>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</si>
  <si>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</si>
  <si>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</si>
  <si>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</si>
  <si>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</si>
  <si>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</si>
  <si>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</si>
  <si>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</si>
  <si>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</si>
  <si>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</si>
  <si>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</si>
  <si>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</si>
  <si>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</si>
  <si>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</si>
  <si>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</si>
  <si>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</si>
  <si>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</si>
  <si>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</si>
  <si>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</si>
  <si>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</si>
  <si>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</si>
  <si>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</si>
  <si>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</si>
  <si>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</si>
  <si>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</si>
  <si>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</si>
  <si>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</si>
  <si>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</si>
  <si>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</si>
  <si>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</si>
  <si>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</si>
  <si>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</si>
  <si>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</si>
  <si>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</si>
  <si>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</si>
  <si>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</si>
  <si>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</si>
  <si>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</si>
  <si>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</si>
  <si>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</si>
  <si>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</si>
  <si>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</si>
  <si>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</si>
  <si>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</si>
  <si>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</si>
  <si>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</si>
  <si>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</si>
  <si>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</si>
  <si>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</si>
  <si>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</si>
  <si>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</si>
  <si>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</si>
  <si>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</si>
  <si>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</si>
  <si>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</si>
  <si>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</si>
  <si>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</si>
  <si>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</si>
  <si>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</si>
  <si>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</si>
  <si>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</si>
  <si>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</si>
  <si>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</si>
  <si>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</si>
  <si>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</si>
  <si>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</si>
  <si>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</si>
  <si>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</si>
  <si>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</si>
  <si>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</si>
  <si>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</si>
  <si>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</si>
  <si>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</si>
  <si>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</si>
  <si>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</si>
  <si>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</si>
  <si>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</si>
  <si>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</si>
  <si>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</si>
  <si>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</si>
  <si>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</si>
  <si>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</si>
  <si>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</si>
  <si>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</si>
  <si>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</si>
  <si>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</si>
  <si>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</si>
  <si>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</si>
  <si>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</si>
  <si>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</si>
  <si>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</si>
  <si>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</si>
  <si>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</si>
  <si>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</si>
  <si>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</si>
  <si>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</si>
  <si>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</si>
  <si>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</si>
  <si>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</si>
  <si>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</si>
  <si>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</si>
  <si>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</si>
  <si>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</si>
  <si>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</si>
  <si>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</si>
  <si>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</si>
  <si>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</si>
  <si>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</si>
  <si>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</si>
  <si>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</si>
  <si>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</si>
  <si>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</si>
  <si>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</si>
  <si>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</si>
  <si>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</si>
  <si>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</si>
  <si>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</si>
  <si>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</si>
  <si>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</si>
  <si>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</si>
  <si>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</si>
  <si>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</si>
  <si>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</si>
  <si>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</si>
  <si>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</si>
  <si>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</si>
  <si>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</si>
  <si>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</si>
  <si>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</si>
  <si>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</si>
  <si>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</si>
  <si>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</si>
  <si>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</si>
  <si>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</si>
  <si>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</si>
  <si>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</si>
  <si>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</si>
  <si>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</si>
  <si>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</si>
  <si>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</si>
  <si>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</si>
  <si>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</si>
  <si>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</si>
  <si>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</si>
  <si>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</si>
  <si>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</si>
  <si>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</si>
  <si>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</si>
  <si>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</si>
  <si>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</si>
  <si>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</si>
  <si>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</si>
  <si>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</si>
  <si>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</si>
  <si>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</si>
  <si>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</si>
  <si>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</si>
  <si>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</si>
  <si>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</si>
  <si>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</si>
  <si>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</si>
  <si>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</si>
  <si>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</si>
  <si>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</si>
  <si>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</si>
  <si>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</si>
  <si>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</si>
  <si>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</si>
  <si>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</si>
  <si>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</si>
  <si>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</si>
  <si>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</si>
  <si>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</si>
  <si>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</si>
  <si>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</si>
  <si>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</si>
  <si>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</si>
  <si>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</si>
  <si>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</si>
  <si>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</si>
  <si>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</si>
  <si>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</si>
  <si>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</si>
  <si>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</si>
  <si>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</si>
  <si>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</si>
  <si>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</si>
  <si>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</si>
  <si>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</si>
  <si>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</si>
  <si>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</si>
  <si>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</si>
  <si>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</si>
  <si>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</si>
  <si>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</si>
  <si>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</si>
  <si>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</si>
  <si>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</si>
  <si>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</si>
  <si>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</si>
  <si>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</si>
  <si>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</si>
  <si>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</si>
  <si>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</si>
  <si>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</si>
  <si>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</si>
  <si>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</si>
  <si>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</si>
  <si>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</si>
  <si>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</si>
  <si>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</si>
  <si>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</si>
  <si>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</si>
  <si>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</si>
  <si>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</si>
  <si>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</si>
  <si>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</si>
  <si>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</si>
  <si>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</si>
  <si>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</si>
  <si>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</si>
  <si>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</si>
  <si>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</si>
  <si>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</si>
  <si>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</si>
  <si>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</si>
  <si>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</si>
  <si>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</si>
  <si>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</si>
  <si>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</si>
  <si>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</si>
  <si>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</si>
  <si>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</si>
  <si>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</si>
  <si>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</si>
  <si>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</si>
  <si>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</si>
  <si>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</si>
  <si>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</si>
  <si>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</si>
  <si>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</si>
  <si>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</si>
  <si>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</si>
  <si>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</si>
  <si>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</si>
  <si>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</si>
  <si>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</si>
  <si>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</si>
  <si>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</si>
  <si>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</si>
  <si>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</si>
  <si>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</si>
  <si>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</si>
  <si>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</si>
  <si>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</si>
  <si>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</si>
  <si>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</si>
  <si>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</si>
  <si>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</si>
  <si>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</si>
  <si>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</si>
  <si>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</si>
  <si>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</si>
  <si>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</si>
  <si>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</si>
  <si>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</si>
  <si>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</si>
  <si>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</si>
  <si>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</si>
  <si>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</si>
  <si>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</si>
  <si>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</si>
  <si>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</si>
  <si>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</si>
  <si>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</si>
  <si>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</si>
  <si>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</si>
  <si>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</si>
  <si>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</si>
  <si>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</si>
  <si>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</si>
  <si>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</si>
  <si>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</si>
  <si>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</si>
  <si>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</si>
  <si>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</si>
  <si>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</si>
  <si>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</si>
  <si>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</si>
  <si>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</si>
  <si>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</si>
  <si>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</si>
  <si>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</si>
  <si>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</si>
  <si>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</si>
  <si>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</si>
  <si>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</si>
  <si>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</si>
  <si>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</si>
  <si>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</si>
  <si>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</si>
  <si>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</si>
  <si>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</si>
  <si>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</si>
  <si>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</si>
  <si>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</si>
  <si>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</si>
  <si>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</si>
  <si>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</si>
  <si>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</si>
  <si>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</si>
  <si>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</si>
  <si>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</si>
  <si>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</si>
  <si>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</si>
  <si>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</si>
  <si>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</si>
  <si>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</si>
  <si>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</si>
  <si>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</si>
  <si>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</si>
  <si>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</si>
  <si>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</si>
  <si>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</si>
  <si>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</si>
  <si>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</si>
  <si>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</si>
  <si>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</si>
  <si>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</si>
  <si>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</si>
  <si>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</si>
  <si>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</si>
  <si>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</si>
  <si>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</si>
  <si>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</si>
  <si>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</si>
  <si>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</si>
  <si>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</si>
  <si>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</si>
  <si>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</si>
  <si>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</si>
  <si>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</si>
  <si>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</si>
  <si>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</si>
  <si>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</si>
  <si>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</si>
  <si>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</si>
  <si>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</si>
  <si>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</si>
  <si>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</si>
  <si>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</si>
  <si>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</si>
  <si>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</si>
  <si>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</si>
  <si>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</si>
  <si>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</si>
  <si>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</si>
  <si>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</si>
  <si>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</si>
  <si>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</si>
  <si>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</si>
  <si>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</si>
  <si>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</si>
  <si>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</si>
  <si>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</si>
  <si>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</si>
  <si>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</si>
  <si>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</si>
  <si>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</si>
  <si>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</si>
  <si>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</si>
  <si>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</si>
  <si>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</si>
  <si>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</si>
  <si>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</si>
  <si>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</si>
  <si>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</si>
  <si>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</si>
  <si>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</si>
  <si>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</si>
  <si>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</si>
  <si>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</si>
  <si>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</si>
  <si>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</si>
  <si>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</si>
  <si>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</si>
  <si>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</si>
  <si>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</si>
  <si>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</si>
  <si>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</si>
  <si>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</si>
  <si>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</si>
  <si>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</si>
  <si>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</si>
  <si>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</si>
  <si>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</si>
  <si>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</si>
  <si>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</si>
  <si>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</si>
  <si>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</si>
  <si>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</si>
  <si>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</si>
  <si>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</si>
  <si>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</si>
  <si>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</si>
  <si>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</si>
  <si>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</si>
  <si>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</si>
  <si>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</si>
  <si>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</si>
  <si>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</si>
  <si>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</si>
  <si>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</si>
  <si>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</si>
  <si>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</si>
  <si>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</si>
  <si>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</si>
  <si>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</si>
  <si>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</si>
  <si>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</si>
  <si>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</si>
  <si>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</si>
  <si>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</si>
  <si>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</si>
  <si>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</si>
  <si>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</si>
  <si>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</si>
  <si>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</si>
  <si>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</si>
  <si>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</si>
  <si>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</si>
  <si>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</si>
  <si>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</si>
  <si>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</si>
  <si>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</si>
  <si>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</si>
  <si>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</si>
  <si>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</si>
  <si>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</si>
  <si>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</si>
  <si>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</si>
  <si>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</si>
  <si>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</si>
  <si>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</si>
  <si>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</si>
  <si>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</si>
  <si>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</si>
  <si>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</si>
  <si>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</si>
  <si>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</si>
  <si>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</si>
  <si>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</si>
  <si>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</si>
  <si>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</si>
  <si>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</si>
  <si>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</si>
  <si>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</si>
  <si>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</si>
  <si>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</si>
  <si>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</si>
  <si>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</si>
  <si>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</si>
  <si>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</si>
  <si>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</si>
  <si>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</si>
  <si>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</si>
  <si>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</si>
  <si>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</si>
  <si>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</si>
  <si>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</si>
  <si>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</si>
  <si>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</si>
  <si>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</si>
  <si>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</si>
  <si>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</si>
  <si>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</si>
  <si>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</si>
  <si>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</si>
  <si>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</si>
  <si>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</si>
  <si>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</si>
  <si>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</si>
  <si>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</si>
  <si>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</si>
  <si>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</si>
  <si>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</si>
  <si>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</si>
  <si>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</si>
  <si>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</si>
  <si>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</si>
  <si>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</si>
  <si>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</si>
  <si>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</si>
  <si>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</si>
  <si>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</si>
  <si>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</si>
  <si>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</si>
  <si>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</si>
  <si>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</si>
  <si>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</si>
  <si>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</si>
  <si>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</si>
  <si>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</si>
  <si>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</si>
  <si>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</si>
  <si>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</si>
  <si>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</si>
  <si>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</si>
  <si>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</si>
  <si>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</si>
  <si>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</si>
  <si>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</si>
  <si>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</si>
  <si>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</si>
  <si>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</si>
  <si>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</si>
  <si>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</si>
  <si>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</si>
  <si>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</si>
  <si>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</si>
  <si>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</si>
  <si>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</si>
  <si>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</si>
  <si>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</si>
  <si>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</si>
  <si>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</si>
  <si>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</si>
  <si>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</si>
  <si>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</si>
  <si>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</si>
  <si>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</si>
  <si>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</si>
  <si>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</si>
  <si>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</si>
  <si>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</si>
  <si>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</si>
  <si>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</si>
  <si>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</si>
  <si>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</si>
  <si>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</si>
  <si>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</si>
  <si>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</si>
  <si>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</si>
  <si>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</si>
  <si>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</si>
  <si>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</si>
  <si>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</si>
  <si>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</si>
  <si>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</si>
  <si>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</si>
  <si>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</si>
  <si>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</si>
  <si>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</si>
  <si>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</si>
  <si>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</si>
  <si>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</si>
  <si>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</si>
  <si>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</si>
  <si>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</si>
  <si>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</si>
  <si>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</si>
  <si>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</si>
  <si>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</si>
  <si>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</si>
  <si>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</si>
  <si>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</si>
  <si>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</si>
  <si>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</si>
  <si>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</si>
  <si>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</si>
  <si>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</si>
  <si>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</si>
  <si>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</si>
  <si>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</si>
  <si>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</si>
  <si>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</si>
  <si>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</si>
  <si>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</si>
  <si>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</si>
  <si>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</si>
  <si>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</si>
  <si>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</si>
  <si>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</si>
  <si>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</si>
  <si>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</si>
  <si>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</si>
  <si>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</si>
  <si>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</si>
  <si>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</si>
  <si>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</si>
  <si>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</si>
  <si>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</si>
  <si>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</si>
  <si>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</si>
  <si>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</si>
  <si>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</si>
  <si>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</si>
  <si>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</si>
  <si>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</si>
  <si>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</si>
  <si>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</si>
  <si>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</si>
  <si>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</si>
  <si>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</si>
  <si>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</si>
  <si>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</si>
  <si>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</si>
  <si>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</si>
  <si>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</si>
  <si>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</si>
  <si>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</si>
  <si>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</si>
  <si>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</si>
  <si>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</si>
  <si>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</si>
  <si>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</si>
  <si>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</si>
  <si>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</si>
  <si>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</si>
  <si>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</si>
  <si>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</si>
  <si>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</si>
  <si>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</si>
  <si>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</si>
  <si>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</si>
  <si>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</si>
  <si>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</si>
  <si>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</si>
  <si>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</si>
  <si>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</si>
  <si>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</si>
  <si>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</si>
  <si>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</si>
  <si>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</si>
  <si>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</si>
  <si>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</si>
  <si>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</si>
  <si>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</si>
  <si>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</si>
  <si>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</si>
  <si>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</si>
  <si>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</si>
  <si>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</si>
  <si>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</si>
  <si>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</si>
  <si>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</si>
  <si>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</si>
  <si>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</si>
  <si>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</si>
  <si>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</si>
  <si>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</si>
  <si>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</si>
  <si>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</si>
  <si>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</si>
  <si>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</si>
  <si>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</si>
  <si>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</si>
  <si>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</si>
  <si>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</si>
  <si>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</si>
  <si>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</si>
  <si>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</si>
  <si>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</si>
  <si>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</si>
  <si>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</si>
  <si>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</si>
  <si>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</si>
  <si>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</si>
  <si>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</si>
  <si>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</si>
  <si>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</si>
  <si>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</si>
  <si>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</si>
  <si>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</si>
  <si>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</si>
  <si>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</si>
  <si>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</si>
  <si>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</si>
  <si>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</si>
  <si>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</si>
  <si>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</si>
  <si>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</si>
  <si>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</si>
  <si>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</si>
  <si>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</si>
  <si>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</si>
  <si>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</si>
  <si>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</si>
  <si>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</si>
  <si>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</si>
  <si>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</si>
  <si>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</si>
  <si>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</si>
  <si>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</si>
  <si>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</si>
  <si>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</si>
  <si>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</si>
  <si>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</si>
  <si>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</si>
  <si>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</si>
  <si>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</si>
  <si>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</si>
  <si>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</si>
  <si>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</si>
  <si>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</si>
  <si>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</si>
  <si>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</si>
  <si>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</si>
  <si>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</si>
  <si>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</si>
  <si>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</si>
  <si>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</si>
  <si>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</si>
  <si>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</si>
  <si>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</si>
  <si>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</si>
  <si>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</si>
  <si>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</si>
  <si>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</si>
  <si>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</si>
  <si>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</si>
  <si>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</si>
  <si>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</si>
  <si>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</si>
  <si>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</si>
  <si>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</si>
  <si>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</si>
  <si>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</si>
  <si>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</si>
  <si>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</si>
  <si>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</si>
  <si>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</si>
  <si>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</si>
  <si>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</si>
  <si>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</si>
  <si>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</si>
  <si>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</si>
  <si>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</si>
  <si>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</si>
  <si>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</si>
  <si>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</si>
  <si>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</si>
  <si>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</si>
  <si>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</si>
  <si>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</si>
  <si>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</si>
  <si>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</si>
  <si>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</si>
  <si>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</si>
  <si>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</si>
  <si>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</si>
  <si>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</si>
  <si>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</si>
  <si>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</si>
  <si>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</si>
  <si>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</si>
  <si>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</si>
  <si>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</si>
  <si>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</si>
  <si>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</si>
  <si>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</si>
  <si>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</si>
  <si>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</si>
  <si>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</si>
  <si>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</si>
  <si>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</si>
  <si>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</si>
  <si>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</si>
  <si>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</si>
  <si>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</si>
  <si>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</si>
  <si>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</si>
  <si>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</si>
  <si>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</si>
  <si>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</si>
  <si>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</si>
  <si>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</si>
  <si>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</si>
  <si>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</si>
  <si>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</si>
  <si>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</si>
  <si>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</si>
  <si>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</si>
  <si>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</si>
  <si>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</si>
  <si>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</si>
  <si>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</si>
  <si>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</si>
  <si>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</si>
  <si>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</si>
  <si>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</si>
  <si>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</si>
  <si>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</si>
  <si>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</si>
  <si>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</si>
  <si>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</si>
  <si>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</si>
  <si>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</si>
  <si>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</si>
  <si>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</si>
  <si>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</si>
  <si>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</si>
  <si>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</si>
  <si>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</si>
  <si>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</si>
  <si>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</si>
  <si>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</si>
  <si>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</si>
  <si>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</si>
  <si>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</si>
  <si>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</si>
  <si>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</si>
  <si>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</si>
  <si>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</si>
  <si>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</si>
  <si>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</si>
  <si>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</si>
  <si>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</si>
  <si>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</si>
  <si>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</si>
  <si>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</si>
  <si>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</si>
  <si>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</si>
  <si>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</si>
  <si>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</si>
  <si>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</si>
  <si>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</si>
  <si>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</si>
  <si>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</si>
  <si>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</si>
  <si>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</si>
  <si>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</si>
  <si>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</si>
  <si>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</si>
  <si>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</si>
  <si>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</si>
  <si>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</si>
  <si>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</si>
  <si>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</si>
  <si>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</si>
  <si>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</si>
  <si>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</si>
  <si>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</si>
  <si>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</si>
  <si>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</si>
  <si>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</si>
  <si>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</si>
  <si>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</si>
  <si>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</si>
  <si>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</si>
  <si>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</si>
  <si>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</si>
  <si>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</si>
  <si>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</si>
  <si>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</si>
  <si>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</si>
  <si>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</si>
  <si>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</si>
  <si>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</si>
  <si>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</si>
  <si>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</si>
  <si>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</si>
  <si>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</si>
  <si>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</si>
  <si>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</si>
  <si>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</si>
  <si>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</si>
  <si>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</si>
  <si>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</si>
  <si>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</si>
  <si>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</si>
  <si>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</si>
  <si>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</si>
  <si>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</si>
  <si>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</si>
  <si>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</si>
  <si>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</si>
  <si>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</si>
  <si>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</si>
  <si>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</si>
  <si>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</si>
  <si>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</si>
  <si>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</si>
  <si>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</si>
  <si>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</si>
  <si>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</si>
  <si>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</si>
  <si>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</si>
  <si>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</si>
  <si>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</si>
  <si>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</si>
  <si>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</si>
  <si>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</si>
  <si>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</si>
  <si>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</si>
  <si>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</si>
  <si>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</si>
  <si>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</si>
  <si>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</si>
  <si>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</si>
  <si>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</si>
  <si>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</si>
  <si>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</si>
  <si>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</si>
  <si>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</si>
  <si>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</si>
  <si>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</si>
  <si>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</si>
  <si>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</si>
  <si>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</si>
  <si>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</si>
  <si>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</si>
  <si>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</si>
  <si>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</si>
  <si>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</si>
  <si>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</si>
  <si>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</si>
  <si>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</si>
  <si>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</si>
  <si>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</si>
  <si>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</si>
  <si>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</si>
  <si>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</si>
  <si>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</si>
  <si>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</si>
  <si>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</si>
  <si>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</si>
  <si>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</si>
  <si>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</si>
  <si>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</si>
  <si>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</si>
  <si>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</si>
  <si>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</si>
  <si>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</si>
  <si>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</si>
  <si>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</si>
  <si>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</si>
  <si>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</si>
  <si>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</si>
  <si>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</si>
  <si>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</si>
  <si>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</si>
  <si>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</si>
  <si>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</si>
  <si>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</si>
  <si>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</si>
  <si>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</si>
  <si>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</si>
  <si>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</si>
  <si>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</si>
  <si>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</si>
  <si>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</si>
  <si>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</si>
  <si>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</si>
  <si>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</si>
  <si>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</si>
  <si>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</si>
  <si>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</si>
  <si>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</si>
  <si>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</si>
  <si>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</si>
  <si>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</si>
  <si>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</si>
  <si>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</si>
  <si>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</si>
  <si>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</si>
  <si>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</si>
  <si>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</si>
  <si>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</si>
  <si>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</si>
  <si>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</si>
  <si>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</si>
  <si>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</si>
  <si>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</si>
  <si>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</si>
  <si>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</si>
  <si>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</si>
  <si>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</si>
  <si>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</si>
  <si>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</si>
  <si>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</si>
  <si>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</si>
  <si>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</si>
  <si>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</si>
  <si>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</si>
  <si>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</si>
  <si>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</si>
  <si>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</si>
  <si>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</si>
  <si>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</si>
  <si>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</si>
  <si>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</si>
  <si>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</si>
  <si>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</si>
  <si>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</si>
  <si>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</si>
  <si>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</si>
  <si>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</si>
  <si>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</si>
  <si>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</si>
  <si>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</si>
  <si>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</si>
  <si>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</si>
  <si>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</si>
  <si>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</si>
  <si>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</si>
  <si>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</si>
  <si>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</si>
  <si>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</si>
  <si>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</si>
  <si>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</si>
  <si>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</si>
  <si>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</si>
  <si>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</si>
  <si>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</si>
  <si>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</si>
  <si>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</si>
  <si>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</si>
  <si>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</si>
  <si>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</si>
  <si>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</si>
  <si>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</si>
  <si>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</si>
  <si>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</si>
  <si>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</si>
  <si>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</si>
  <si>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</si>
  <si>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</si>
  <si>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</si>
  <si>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</si>
  <si>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</si>
  <si>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</si>
  <si>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</si>
  <si>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</si>
  <si>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</si>
  <si>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</si>
  <si>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</si>
  <si>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</si>
  <si>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</si>
  <si>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</si>
  <si>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</si>
  <si>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</si>
  <si>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</si>
  <si>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</si>
  <si>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</si>
  <si>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</si>
  <si>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</si>
  <si>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</si>
  <si>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</si>
  <si>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</si>
  <si>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</si>
  <si>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</si>
  <si>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</si>
  <si>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</si>
  <si>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</si>
  <si>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</si>
  <si>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</si>
  <si>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</si>
  <si>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</si>
  <si>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</si>
  <si>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</si>
  <si>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</si>
  <si>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</si>
  <si>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</si>
  <si>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</si>
  <si>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</si>
  <si>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</si>
  <si>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</si>
  <si>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</si>
  <si>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</si>
  <si>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</si>
  <si>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</si>
  <si>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</si>
  <si>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</si>
  <si>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</si>
  <si>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</si>
  <si>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</si>
  <si>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</si>
  <si>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</si>
  <si>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</si>
  <si>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</si>
  <si>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</si>
  <si>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</si>
  <si>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</si>
  <si>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</si>
  <si>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</si>
  <si>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</si>
  <si>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</si>
  <si>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</si>
  <si>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</si>
  <si>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</si>
  <si>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</si>
  <si>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</si>
  <si>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</si>
  <si>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</si>
  <si>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</si>
  <si>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</si>
  <si>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</si>
  <si>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</si>
  <si>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</si>
  <si>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</si>
  <si>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</si>
  <si>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</si>
  <si>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</si>
  <si>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</si>
  <si>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</si>
  <si>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</si>
  <si>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</si>
  <si>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</si>
  <si>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</si>
  <si>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</si>
  <si>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</si>
  <si>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</si>
  <si>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</si>
  <si>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</si>
  <si>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</si>
  <si>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</si>
  <si>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</si>
  <si>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</si>
  <si>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</si>
  <si>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</si>
  <si>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</si>
  <si>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</si>
  <si>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</si>
  <si>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</si>
  <si>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</si>
  <si>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</si>
  <si>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</si>
  <si>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</si>
  <si>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</si>
  <si>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</si>
  <si>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</si>
  <si>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</si>
  <si>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</si>
  <si>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</si>
  <si>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</si>
  <si>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</si>
  <si>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</si>
  <si>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</si>
  <si>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</si>
  <si>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</si>
  <si>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</si>
  <si>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</si>
  <si>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</si>
  <si>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</si>
  <si>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</si>
  <si>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</si>
  <si>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</si>
  <si>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</si>
  <si>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</si>
  <si>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</si>
  <si>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</si>
  <si>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</si>
  <si>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</si>
  <si>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</si>
  <si>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</si>
  <si>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</si>
  <si>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</si>
  <si>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</si>
  <si>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</si>
  <si>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</si>
  <si>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</si>
  <si>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</si>
  <si>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</si>
  <si>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</si>
  <si>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</si>
  <si>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</si>
  <si>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</si>
  <si>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</si>
  <si>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</si>
  <si>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</si>
  <si>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</si>
  <si>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</si>
  <si>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</si>
  <si>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</si>
  <si>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</si>
  <si>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</si>
  <si>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</si>
  <si>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</si>
  <si>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</si>
  <si>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</si>
  <si>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</si>
  <si>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</si>
  <si>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</si>
  <si>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</si>
  <si>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</si>
  <si>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</si>
  <si>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</si>
  <si>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</si>
  <si>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</si>
  <si>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</si>
  <si>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</si>
  <si>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</si>
  <si>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</si>
  <si>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</si>
  <si>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</si>
  <si>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</si>
  <si>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</si>
  <si>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</si>
  <si>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</si>
  <si>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</si>
  <si>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</si>
  <si>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</si>
  <si>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</si>
  <si>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</si>
  <si>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</si>
  <si>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</si>
  <si>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</si>
  <si>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</si>
  <si>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</si>
  <si>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</si>
  <si>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</si>
  <si>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</si>
  <si>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</si>
  <si>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</si>
  <si>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</si>
  <si>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</si>
  <si>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</si>
  <si>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</si>
  <si>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</si>
  <si>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</si>
  <si>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</si>
  <si>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</si>
  <si>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</si>
  <si>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</si>
  <si>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</si>
  <si>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</si>
  <si>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</si>
  <si>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</si>
  <si>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</si>
  <si>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</si>
  <si>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</si>
  <si>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</si>
  <si>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</si>
  <si>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</si>
  <si>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</si>
  <si>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</si>
  <si>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</si>
  <si>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</si>
  <si>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</si>
  <si>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</si>
  <si>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</si>
  <si>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</si>
  <si>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</si>
  <si>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</si>
  <si>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</si>
  <si>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</si>
  <si>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</si>
  <si>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</si>
  <si>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</si>
  <si>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</si>
  <si>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</si>
  <si>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</si>
  <si>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</si>
  <si>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</si>
  <si>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</si>
  <si>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</si>
  <si>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</si>
  <si>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</si>
  <si>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</si>
  <si>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</si>
  <si>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</si>
  <si>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</si>
  <si>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</si>
  <si>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</si>
  <si>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</si>
  <si>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</si>
  <si>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</si>
  <si>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</si>
  <si>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</si>
  <si>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</si>
  <si>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</si>
  <si>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</si>
  <si>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</si>
  <si>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</si>
  <si>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</si>
  <si>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</si>
  <si>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</si>
  <si>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</si>
  <si>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</si>
  <si>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</si>
  <si>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</si>
  <si>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</si>
  <si>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</si>
  <si>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</si>
  <si>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</si>
  <si>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</si>
  <si>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</si>
  <si>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</si>
  <si>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</si>
  <si>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</si>
  <si>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</si>
  <si>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</si>
  <si>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</si>
  <si>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</si>
  <si>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</si>
  <si>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</si>
  <si>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</si>
  <si>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</si>
  <si>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</si>
  <si>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</si>
  <si>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</si>
  <si>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</si>
  <si>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</si>
  <si>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</si>
  <si>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</si>
  <si>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</si>
  <si>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</si>
  <si>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</si>
  <si>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</si>
  <si>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</si>
  <si>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</si>
  <si>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</si>
  <si>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</si>
  <si>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</si>
  <si>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</si>
  <si>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</si>
  <si>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</si>
  <si>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</si>
  <si>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</si>
  <si>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</si>
  <si>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</si>
  <si>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</si>
  <si>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</si>
  <si>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</si>
  <si>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</si>
  <si>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</si>
  <si>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</si>
  <si>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</si>
  <si>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</si>
  <si>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</si>
  <si>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</si>
  <si>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</si>
  <si>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</si>
  <si>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</si>
  <si>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</si>
  <si>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</si>
  <si>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</si>
  <si>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</si>
  <si>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</si>
  <si>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</si>
  <si>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</si>
  <si>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</si>
  <si>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</si>
  <si>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</si>
  <si>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</si>
  <si>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</si>
  <si>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</si>
  <si>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</si>
  <si>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</si>
  <si>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</si>
  <si>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</si>
  <si>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</si>
  <si>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</si>
  <si>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</si>
  <si>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</si>
  <si>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</si>
  <si>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</si>
  <si>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</si>
  <si>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</si>
  <si>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郑燚</t>
  </si>
  <si>
    <t>吴薇</t>
  </si>
  <si>
    <t>抵押</t>
  </si>
  <si>
    <t>房地产抵押价值</t>
  </si>
  <si>
    <t>北京市</t>
  </si>
  <si>
    <t>企业</t>
  </si>
  <si>
    <r>
      <rPr>
        <sz val="10"/>
        <color theme="9" tint="-0.249977111117893"/>
        <rFont val="宋体"/>
        <family val="3"/>
        <charset val="134"/>
      </rPr>
      <t>石景山区古城西路</t>
    </r>
    <r>
      <rPr>
        <sz val="10"/>
        <color theme="9" tint="-0.249977111117893"/>
        <rFont val="Arial"/>
        <family val="2"/>
      </rPr>
      <t>68</t>
    </r>
    <r>
      <rPr>
        <sz val="10"/>
        <color theme="9" tint="-0.249977111117893"/>
        <rFont val="宋体"/>
        <family val="3"/>
        <charset val="134"/>
      </rPr>
      <t>号院</t>
    </r>
    <r>
      <rPr>
        <sz val="10"/>
        <color theme="9" tint="-0.249977111117893"/>
        <rFont val="Arial"/>
        <family val="2"/>
      </rPr>
      <t>3</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102</t>
    </r>
    <r>
      <rPr>
        <sz val="10"/>
        <color theme="9" tint="-0.249977111117893"/>
        <rFont val="宋体"/>
        <family val="3"/>
        <charset val="134"/>
      </rPr>
      <t>、105</t>
    </r>
    <phoneticPr fontId="6" type="noConversion"/>
  </si>
  <si>
    <r>
      <t>京（2</t>
    </r>
    <r>
      <rPr>
        <sz val="11"/>
        <color theme="1"/>
        <rFont val="宋体"/>
        <family val="3"/>
        <charset val="134"/>
        <scheme val="minor"/>
      </rPr>
      <t>024）石不动产权第0022781号</t>
    </r>
    <phoneticPr fontId="134" type="noConversion"/>
  </si>
  <si>
    <t>北京哲韵渠影科技有限公司</t>
    <phoneticPr fontId="134" type="noConversion"/>
  </si>
  <si>
    <r>
      <t>石景山区古城西路6</t>
    </r>
    <r>
      <rPr>
        <sz val="11"/>
        <color theme="1"/>
        <rFont val="宋体"/>
        <family val="3"/>
        <charset val="134"/>
        <scheme val="minor"/>
      </rPr>
      <t>8号院3号楼1至2层102</t>
    </r>
    <phoneticPr fontId="134" type="noConversion"/>
  </si>
  <si>
    <t>商务金融用地/商业服务</t>
    <phoneticPr fontId="134" type="noConversion"/>
  </si>
  <si>
    <t>钢混</t>
  </si>
  <si>
    <t>钢混</t>
    <phoneticPr fontId="134" type="noConversion"/>
  </si>
  <si>
    <t>证号</t>
    <phoneticPr fontId="134" type="noConversion"/>
  </si>
  <si>
    <t>权利人</t>
    <phoneticPr fontId="134" type="noConversion"/>
  </si>
  <si>
    <t>坐落</t>
    <phoneticPr fontId="134" type="noConversion"/>
  </si>
  <si>
    <t>土地期限</t>
    <phoneticPr fontId="134" type="noConversion"/>
  </si>
  <si>
    <t>结构</t>
    <phoneticPr fontId="134" type="noConversion"/>
  </si>
  <si>
    <t>竣工时间</t>
    <phoneticPr fontId="134" type="noConversion"/>
  </si>
  <si>
    <t>总楼层</t>
    <phoneticPr fontId="134" type="noConversion"/>
  </si>
  <si>
    <r>
      <t>2</t>
    </r>
    <r>
      <rPr>
        <sz val="11"/>
        <color theme="1"/>
        <rFont val="宋体"/>
        <family val="3"/>
        <charset val="134"/>
        <scheme val="minor"/>
      </rPr>
      <t>0（-02）</t>
    </r>
    <phoneticPr fontId="134" type="noConversion"/>
  </si>
  <si>
    <r>
      <t>1</t>
    </r>
    <r>
      <rPr>
        <sz val="11"/>
        <color theme="1"/>
        <rFont val="宋体"/>
        <family val="3"/>
        <charset val="134"/>
        <scheme val="minor"/>
      </rPr>
      <t>-2</t>
    </r>
    <phoneticPr fontId="134" type="noConversion"/>
  </si>
  <si>
    <t>部位及房号</t>
    <phoneticPr fontId="134" type="noConversion"/>
  </si>
  <si>
    <t>京（2024）石不动产权第0022782号</t>
    <phoneticPr fontId="134" type="noConversion"/>
  </si>
  <si>
    <t>北京翰予晟翔科技有限公司</t>
    <phoneticPr fontId="134" type="noConversion"/>
  </si>
  <si>
    <t>石景山区古城西路68号院3号楼1至2层105</t>
    <phoneticPr fontId="134" type="noConversion"/>
  </si>
  <si>
    <t>所在层数</t>
    <phoneticPr fontId="134" type="noConversion"/>
  </si>
  <si>
    <t>是</t>
  </si>
  <si>
    <t>否</t>
  </si>
  <si>
    <t>商业项目</t>
  </si>
  <si>
    <t>现房</t>
  </si>
  <si>
    <t>地上</t>
  </si>
  <si>
    <t>古城街道</t>
    <phoneticPr fontId="3" type="noConversion"/>
  </si>
  <si>
    <t>成新度</t>
  </si>
  <si>
    <t>竣工时间</t>
    <phoneticPr fontId="3" type="noConversion"/>
  </si>
  <si>
    <t>证载</t>
    <phoneticPr fontId="3" type="noConversion"/>
  </si>
  <si>
    <t>证载</t>
    <phoneticPr fontId="6" type="noConversion"/>
  </si>
  <si>
    <t>直线</t>
    <phoneticPr fontId="3" type="noConversion"/>
  </si>
  <si>
    <t>收益法 (元)</t>
  </si>
  <si>
    <t>不临65条商业街</t>
  </si>
  <si>
    <t>与级别开发程度一致</t>
  </si>
  <si>
    <t>楼层修正</t>
  </si>
  <si>
    <t>一般</t>
  </si>
  <si>
    <t>较好</t>
  </si>
  <si>
    <t>较差</t>
  </si>
  <si>
    <t>好</t>
  </si>
  <si>
    <t>未包含在土地购买价格中</t>
  </si>
  <si>
    <t>已包含在土地取得成本中</t>
  </si>
  <si>
    <t>押一</t>
  </si>
  <si>
    <t>非生产用房</t>
  </si>
  <si>
    <t>68-3-102-02</t>
    <phoneticPr fontId="134" type="noConversion"/>
  </si>
  <si>
    <t>建筑面积</t>
    <phoneticPr fontId="134" type="noConversion"/>
  </si>
  <si>
    <t>房号</t>
    <phoneticPr fontId="134" type="noConversion"/>
  </si>
  <si>
    <t>承租方</t>
    <phoneticPr fontId="134" type="noConversion"/>
  </si>
  <si>
    <t>刘玉辉</t>
    <phoneticPr fontId="134" type="noConversion"/>
  </si>
  <si>
    <t>租赁期限</t>
    <phoneticPr fontId="134" type="noConversion"/>
  </si>
  <si>
    <t>免租期</t>
    <phoneticPr fontId="134" type="noConversion"/>
  </si>
  <si>
    <t>免租期天数</t>
    <phoneticPr fontId="134" type="noConversion"/>
  </si>
  <si>
    <t>租金不含税</t>
    <phoneticPr fontId="134" type="noConversion"/>
  </si>
  <si>
    <t>本期租金支付日</t>
    <phoneticPr fontId="134" type="noConversion"/>
  </si>
  <si>
    <t>起始日期</t>
    <phoneticPr fontId="134" type="noConversion"/>
  </si>
  <si>
    <t>截止日期</t>
    <phoneticPr fontId="134" type="noConversion"/>
  </si>
  <si>
    <t>本期租金金额</t>
    <phoneticPr fontId="134" type="noConversion"/>
  </si>
  <si>
    <r>
      <t>每两年递增6</t>
    </r>
    <r>
      <rPr>
        <sz val="11"/>
        <color theme="1"/>
        <rFont val="宋体"/>
        <family val="3"/>
        <charset val="134"/>
        <scheme val="minor"/>
      </rPr>
      <t>%</t>
    </r>
    <phoneticPr fontId="134" type="noConversion"/>
  </si>
  <si>
    <t>68-3-105-02</t>
    <phoneticPr fontId="134" type="noConversion"/>
  </si>
  <si>
    <t>赵锦良</t>
    <phoneticPr fontId="134" type="noConversion"/>
  </si>
  <si>
    <t>租金含税</t>
    <phoneticPr fontId="134" type="noConversion"/>
  </si>
  <si>
    <t>租赁保证金</t>
    <phoneticPr fontId="134" type="noConversion"/>
  </si>
  <si>
    <t>押一付三</t>
    <phoneticPr fontId="134" type="noConversion"/>
  </si>
  <si>
    <t>日租金</t>
    <phoneticPr fontId="134" type="noConversion"/>
  </si>
  <si>
    <t>租赁天数</t>
    <phoneticPr fontId="134" type="noConversion"/>
  </si>
  <si>
    <t>每两年递增5%</t>
    <phoneticPr fontId="134" type="noConversion"/>
  </si>
  <si>
    <t>日平均租金</t>
    <phoneticPr fontId="134" type="noConversion"/>
  </si>
  <si>
    <t>租赁总天数</t>
    <phoneticPr fontId="134" type="noConversion"/>
  </si>
  <si>
    <t>押二付三</t>
    <phoneticPr fontId="134" type="noConversion"/>
  </si>
  <si>
    <t>税费</t>
    <phoneticPr fontId="134" type="noConversion"/>
  </si>
  <si>
    <t>68-3-105-03</t>
    <phoneticPr fontId="134" type="noConversion"/>
  </si>
  <si>
    <t>党慧</t>
    <phoneticPr fontId="134" type="noConversion"/>
  </si>
  <si>
    <t>单价（元/平方米/天）</t>
    <phoneticPr fontId="134" type="noConversion"/>
  </si>
  <si>
    <t>本期租金（元）</t>
    <phoneticPr fontId="134" type="noConversion"/>
  </si>
  <si>
    <r>
      <t>2</t>
    </r>
    <r>
      <rPr>
        <sz val="11"/>
        <color theme="1"/>
        <rFont val="宋体"/>
        <family val="3"/>
        <charset val="134"/>
        <scheme val="minor"/>
      </rPr>
      <t>024-12-25至2025-1-24为免租期</t>
    </r>
    <phoneticPr fontId="134" type="noConversion"/>
  </si>
  <si>
    <t>已分割为3户</t>
    <phoneticPr fontId="134" type="noConversion"/>
  </si>
  <si>
    <t>已分割为4户</t>
    <phoneticPr fontId="134" type="noConversion"/>
  </si>
  <si>
    <r>
      <t>1</t>
    </r>
    <r>
      <rPr>
        <sz val="11"/>
        <color theme="1"/>
        <rFont val="宋体"/>
        <family val="3"/>
        <charset val="134"/>
        <scheme val="minor"/>
      </rPr>
      <t>02-01</t>
    </r>
    <phoneticPr fontId="134" type="noConversion"/>
  </si>
  <si>
    <t>1层</t>
    <phoneticPr fontId="134" type="noConversion"/>
  </si>
  <si>
    <t>房号</t>
    <phoneticPr fontId="134" type="noConversion"/>
  </si>
  <si>
    <t>所在层数</t>
    <phoneticPr fontId="134" type="noConversion"/>
  </si>
  <si>
    <t>层高</t>
    <phoneticPr fontId="134" type="noConversion"/>
  </si>
  <si>
    <t>面宽</t>
    <phoneticPr fontId="134" type="noConversion"/>
  </si>
  <si>
    <t>进深</t>
    <phoneticPr fontId="134" type="noConversion"/>
  </si>
  <si>
    <t>面积</t>
    <phoneticPr fontId="134" type="noConversion"/>
  </si>
  <si>
    <t>约90</t>
    <phoneticPr fontId="134" type="noConversion"/>
  </si>
  <si>
    <t>102-02</t>
    <phoneticPr fontId="134" type="noConversion"/>
  </si>
  <si>
    <t>约10.4</t>
    <phoneticPr fontId="134" type="noConversion"/>
  </si>
  <si>
    <t>租户</t>
    <phoneticPr fontId="134" type="noConversion"/>
  </si>
  <si>
    <t>米罗造型美发</t>
    <phoneticPr fontId="134" type="noConversion"/>
  </si>
  <si>
    <t>102-03</t>
    <phoneticPr fontId="134" type="noConversion"/>
  </si>
  <si>
    <t>1层楼梯间、1层分割出的2层、房本2层</t>
    <phoneticPr fontId="134" type="noConversion"/>
  </si>
  <si>
    <t>空置</t>
    <phoneticPr fontId="134" type="noConversion"/>
  </si>
  <si>
    <t>慢芽酸奶</t>
    <phoneticPr fontId="134" type="noConversion"/>
  </si>
  <si>
    <r>
      <t>约1</t>
    </r>
    <r>
      <rPr>
        <sz val="11"/>
        <color theme="1"/>
        <rFont val="宋体"/>
        <family val="3"/>
        <charset val="134"/>
        <scheme val="minor"/>
      </rPr>
      <t>0.4</t>
    </r>
    <phoneticPr fontId="134" type="noConversion"/>
  </si>
  <si>
    <t>遨游旅行</t>
    <phoneticPr fontId="134" type="noConversion"/>
  </si>
  <si>
    <r>
      <t>分割2层</t>
    </r>
    <r>
      <rPr>
        <sz val="11"/>
        <color theme="1"/>
        <rFont val="宋体"/>
        <family val="3"/>
        <charset val="134"/>
        <scheme val="minor"/>
      </rPr>
      <t>2.287、房本2层3.18</t>
    </r>
    <phoneticPr fontId="134" type="noConversion"/>
  </si>
  <si>
    <t>105-04</t>
    <phoneticPr fontId="134" type="noConversion"/>
  </si>
  <si>
    <t>105-03</t>
    <phoneticPr fontId="134" type="noConversion"/>
  </si>
  <si>
    <t>105-02</t>
    <phoneticPr fontId="134" type="noConversion"/>
  </si>
  <si>
    <t>105-01</t>
    <phoneticPr fontId="134" type="noConversion"/>
  </si>
  <si>
    <t>1层层高</t>
    <phoneticPr fontId="134" type="noConversion"/>
  </si>
  <si>
    <t>约5米</t>
    <phoneticPr fontId="134" type="noConversion"/>
  </si>
  <si>
    <t>2层层高</t>
    <phoneticPr fontId="134" type="noConversion"/>
  </si>
  <si>
    <t>约3米</t>
    <phoneticPr fontId="134" type="noConversion"/>
  </si>
  <si>
    <t>现场市调</t>
    <phoneticPr fontId="134" type="noConversion"/>
  </si>
  <si>
    <r>
      <t>1层烟酒店租金</t>
    </r>
    <r>
      <rPr>
        <sz val="11"/>
        <color theme="1"/>
        <rFont val="宋体"/>
        <family val="3"/>
        <charset val="134"/>
        <scheme val="minor"/>
      </rPr>
      <t>10块多</t>
    </r>
    <phoneticPr fontId="134" type="noConversion"/>
  </si>
  <si>
    <r>
      <t>分割2层与房本</t>
    </r>
    <r>
      <rPr>
        <sz val="11"/>
        <color theme="1"/>
        <rFont val="宋体"/>
        <family val="3"/>
        <charset val="134"/>
        <scheme val="minor"/>
      </rPr>
      <t>2层租金无差异</t>
    </r>
    <phoneticPr fontId="134" type="noConversion"/>
  </si>
  <si>
    <t>单套模式</t>
  </si>
  <si>
    <t>售价</t>
  </si>
  <si>
    <t>正常</t>
  </si>
  <si>
    <t>商业</t>
    <phoneticPr fontId="30" type="noConversion"/>
  </si>
  <si>
    <t>挂牌价</t>
  </si>
  <si>
    <t>挂牌价</t>
    <phoneticPr fontId="30" type="noConversion"/>
  </si>
  <si>
    <r>
      <t>20-30</t>
    </r>
    <r>
      <rPr>
        <sz val="11"/>
        <color indexed="8"/>
        <rFont val="宋体"/>
        <family val="3"/>
        <charset val="134"/>
      </rPr>
      <t>（含）</t>
    </r>
    <phoneticPr fontId="30" type="noConversion"/>
  </si>
  <si>
    <r>
      <t>0-10</t>
    </r>
    <r>
      <rPr>
        <sz val="11"/>
        <rFont val="宋体"/>
        <family val="3"/>
        <charset val="134"/>
      </rPr>
      <t>（含）</t>
    </r>
    <phoneticPr fontId="30" type="noConversion"/>
  </si>
  <si>
    <r>
      <t>10-20</t>
    </r>
    <r>
      <rPr>
        <sz val="11"/>
        <rFont val="宋体"/>
        <family val="3"/>
        <charset val="134"/>
      </rPr>
      <t>（含）</t>
    </r>
    <phoneticPr fontId="30" type="noConversion"/>
  </si>
  <si>
    <r>
      <t>20-30</t>
    </r>
    <r>
      <rPr>
        <sz val="11"/>
        <rFont val="宋体"/>
        <family val="3"/>
        <charset val="134"/>
      </rPr>
      <t>（含）</t>
    </r>
    <phoneticPr fontId="30" type="noConversion"/>
  </si>
  <si>
    <r>
      <t>30-40</t>
    </r>
    <r>
      <rPr>
        <sz val="11"/>
        <rFont val="宋体"/>
        <family val="3"/>
        <charset val="134"/>
      </rPr>
      <t>（含）</t>
    </r>
    <phoneticPr fontId="30" type="noConversion"/>
  </si>
  <si>
    <t>双面临街</t>
  </si>
  <si>
    <t>双面临街</t>
    <phoneticPr fontId="30" type="noConversion"/>
  </si>
  <si>
    <t>单面临街</t>
  </si>
  <si>
    <t>单面临街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</si>
  <si>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</si>
  <si>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</si>
  <si>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</si>
  <si>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</si>
  <si>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</si>
  <si>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</si>
  <si>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</si>
  <si>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较小</t>
    <phoneticPr fontId="30" type="noConversion"/>
  </si>
  <si>
    <t>小</t>
    <phoneticPr fontId="30" type="noConversion"/>
  </si>
  <si>
    <t>配套商业</t>
  </si>
  <si>
    <t>配套商业</t>
    <phoneticPr fontId="30" type="noConversion"/>
  </si>
  <si>
    <t>钢混</t>
    <phoneticPr fontId="30" type="noConversion"/>
  </si>
  <si>
    <t>七通</t>
  </si>
  <si>
    <t>七通</t>
    <phoneticPr fontId="30" type="noConversion"/>
  </si>
  <si>
    <t>六通</t>
  </si>
  <si>
    <t>六通</t>
    <phoneticPr fontId="30" type="noConversion"/>
  </si>
  <si>
    <t>五通</t>
    <phoneticPr fontId="30" type="noConversion"/>
  </si>
  <si>
    <t>可餐饮</t>
    <phoneticPr fontId="30" type="noConversion"/>
  </si>
  <si>
    <t>不可餐饮</t>
  </si>
  <si>
    <t>不可餐饮</t>
    <phoneticPr fontId="30" type="noConversion"/>
  </si>
  <si>
    <t>精装修</t>
    <phoneticPr fontId="30" type="noConversion"/>
  </si>
  <si>
    <t>普通装修</t>
    <phoneticPr fontId="30" type="noConversion"/>
  </si>
  <si>
    <t>简单装修</t>
  </si>
  <si>
    <t>简单装修</t>
    <phoneticPr fontId="30" type="noConversion"/>
  </si>
  <si>
    <t>毛坯</t>
    <phoneticPr fontId="30" type="noConversion"/>
  </si>
  <si>
    <r>
      <t>1-2</t>
    </r>
    <r>
      <rPr>
        <sz val="11"/>
        <color indexed="8"/>
        <rFont val="宋体"/>
        <family val="3"/>
        <charset val="134"/>
      </rPr>
      <t>层</t>
    </r>
    <phoneticPr fontId="30" type="noConversion"/>
  </si>
  <si>
    <t>2层</t>
    <phoneticPr fontId="134" type="noConversion"/>
  </si>
  <si>
    <r>
      <t>1</t>
    </r>
    <r>
      <rPr>
        <sz val="11"/>
        <color theme="1"/>
        <rFont val="宋体"/>
        <family val="3"/>
        <charset val="134"/>
        <scheme val="minor"/>
      </rPr>
      <t>-2层</t>
    </r>
    <phoneticPr fontId="134" type="noConversion"/>
  </si>
  <si>
    <t>层高约5米</t>
    <phoneticPr fontId="134" type="noConversion"/>
  </si>
  <si>
    <t>古城现代嘉园的底商均为同一家公司；1层分割为两层使用，1层分割为两层，分割后1层租金约8-12元；2层租金约3-5元</t>
    <phoneticPr fontId="134" type="noConversion"/>
  </si>
  <si>
    <t>2层从外观上不可见</t>
    <phoneticPr fontId="134" type="noConversion"/>
  </si>
  <si>
    <t>根据户型图估算每层面积</t>
    <phoneticPr fontId="134" type="noConversion"/>
  </si>
  <si>
    <t>占比</t>
    <phoneticPr fontId="134" type="noConversion"/>
  </si>
  <si>
    <t>观察</t>
    <phoneticPr fontId="3" type="noConversion"/>
  </si>
  <si>
    <t>综合</t>
    <phoneticPr fontId="3" type="noConversion"/>
  </si>
  <si>
    <t>比较法-商业</t>
  </si>
  <si>
    <t>古城现代嘉园</t>
    <phoneticPr fontId="30" type="noConversion"/>
  </si>
  <si>
    <t>1-2层</t>
  </si>
  <si>
    <t>1层约5米</t>
  </si>
  <si>
    <t>1层约5米</t>
    <phoneticPr fontId="30" type="noConversion"/>
  </si>
  <si>
    <t>截图案例不真</t>
    <phoneticPr fontId="134" type="noConversion"/>
  </si>
  <si>
    <t>电话询问中介人员-谢志强</t>
    <phoneticPr fontId="134" type="noConversion"/>
  </si>
  <si>
    <t>古城现代嘉园</t>
    <phoneticPr fontId="134" type="noConversion"/>
  </si>
  <si>
    <t>售价</t>
    <phoneticPr fontId="134" type="noConversion"/>
  </si>
  <si>
    <t>楼面单价</t>
  </si>
  <si>
    <t>自定义</t>
  </si>
  <si>
    <t>部分简单装修、部分毛坯</t>
  </si>
  <si>
    <t>部分简单装修、部分毛坯</t>
    <phoneticPr fontId="30" type="noConversion"/>
  </si>
  <si>
    <t>楼层</t>
    <phoneticPr fontId="134" type="noConversion"/>
  </si>
  <si>
    <r>
      <t>1</t>
    </r>
    <r>
      <rPr>
        <sz val="11"/>
        <color theme="1"/>
        <rFont val="宋体"/>
        <family val="3"/>
        <charset val="134"/>
        <scheme val="minor"/>
      </rPr>
      <t>-2层</t>
    </r>
    <phoneticPr fontId="134" type="noConversion"/>
  </si>
  <si>
    <t>现状</t>
    <phoneticPr fontId="134" type="noConversion"/>
  </si>
  <si>
    <t>意向租户艾灸店、中医理疗</t>
    <phoneticPr fontId="134" type="noConversion"/>
  </si>
  <si>
    <t>空置</t>
    <phoneticPr fontId="134" type="noConversion"/>
  </si>
  <si>
    <r>
      <t>面宽约1</t>
    </r>
    <r>
      <rPr>
        <sz val="11"/>
        <color theme="1"/>
        <rFont val="宋体"/>
        <family val="3"/>
        <charset val="134"/>
        <scheme val="minor"/>
      </rPr>
      <t>2米</t>
    </r>
    <phoneticPr fontId="134" type="noConversion"/>
  </si>
  <si>
    <t>业态</t>
    <phoneticPr fontId="134" type="noConversion"/>
  </si>
  <si>
    <t>不可餐饮</t>
    <phoneticPr fontId="134" type="noConversion"/>
  </si>
  <si>
    <t>1层层高约5.2米，2层约4米；1层租金约8-10元</t>
    <phoneticPr fontId="134" type="noConversion"/>
  </si>
  <si>
    <t>系数</t>
    <phoneticPr fontId="134" type="noConversion"/>
  </si>
  <si>
    <t>目前出租为干洗店、小酒馆、黄金店，剩余约90平米未租，已出租面积年租金约77万</t>
    <phoneticPr fontId="134" type="noConversion"/>
  </si>
  <si>
    <t>1层面积较小</t>
  </si>
  <si>
    <t>1层面积较大</t>
  </si>
  <si>
    <t>京（2024）石不动产权第0022012号</t>
    <phoneticPr fontId="134" type="noConversion"/>
  </si>
  <si>
    <t>北京汉森瑞博商业管理有限公司</t>
    <phoneticPr fontId="134" type="noConversion"/>
  </si>
  <si>
    <t>石景山区古城西路66号院1号楼1至2层103</t>
    <phoneticPr fontId="134" type="noConversion"/>
  </si>
  <si>
    <t>21（-01）</t>
    <phoneticPr fontId="134" type="noConversion"/>
  </si>
  <si>
    <t>1-2</t>
    <phoneticPr fontId="134" type="noConversion"/>
  </si>
  <si>
    <t>钢混</t>
    <phoneticPr fontId="134" type="noConversion"/>
  </si>
  <si>
    <t>占比</t>
    <phoneticPr fontId="134" type="noConversion"/>
  </si>
  <si>
    <r>
      <t>1</t>
    </r>
    <r>
      <rPr>
        <sz val="11"/>
        <color indexed="8"/>
        <rFont val="宋体"/>
        <family val="3"/>
        <charset val="134"/>
      </rPr>
      <t>层面积占比</t>
    </r>
    <phoneticPr fontId="30" type="noConversion"/>
  </si>
  <si>
    <t>1层面积</t>
    <phoneticPr fontId="134" type="noConversion"/>
  </si>
  <si>
    <t>2层面积</t>
    <phoneticPr fontId="134" type="noConversion"/>
  </si>
  <si>
    <t>68-3-102</t>
    <phoneticPr fontId="3" type="noConversion"/>
  </si>
  <si>
    <t>68-3-105</t>
    <phoneticPr fontId="3" type="noConversion"/>
  </si>
  <si>
    <t>66-1-103</t>
    <phoneticPr fontId="3" type="noConversion"/>
  </si>
  <si>
    <t>1层二层面积大致相同，无详细各层面积信息</t>
    <phoneticPr fontId="134" type="noConversion"/>
  </si>
  <si>
    <t>北京汇聚堂医药有限公司</t>
    <phoneticPr fontId="134" type="noConversion"/>
  </si>
  <si>
    <t>66-1-103-01</t>
    <phoneticPr fontId="134" type="noConversion"/>
  </si>
  <si>
    <t>2025-4-17至2025-6-16为免租期</t>
    <phoneticPr fontId="134" type="noConversion"/>
  </si>
  <si>
    <t>每三年递增5%</t>
    <phoneticPr fontId="134" type="noConversion"/>
  </si>
  <si>
    <t>66-1-103-02</t>
    <phoneticPr fontId="134" type="noConversion"/>
  </si>
  <si>
    <t>牛思文</t>
    <phoneticPr fontId="134" type="noConversion"/>
  </si>
  <si>
    <t>押2.5个月付三</t>
    <phoneticPr fontId="134" type="noConversion"/>
  </si>
  <si>
    <t>2024-12-15至2025-2-14为免租期</t>
    <phoneticPr fontId="134" type="noConversion"/>
  </si>
  <si>
    <t>每两年递增6%</t>
    <phoneticPr fontId="134" type="noConversion"/>
  </si>
  <si>
    <t>天数</t>
    <phoneticPr fontId="134" type="noConversion"/>
  </si>
  <si>
    <t>还未看现场</t>
    <phoneticPr fontId="134" type="noConversion"/>
  </si>
  <si>
    <r>
      <t>0-20%</t>
    </r>
    <r>
      <rPr>
        <sz val="11"/>
        <color indexed="10"/>
        <rFont val="宋体"/>
        <family val="3"/>
        <charset val="134"/>
      </rPr>
      <t>（含）</t>
    </r>
    <phoneticPr fontId="30" type="noConversion"/>
  </si>
  <si>
    <r>
      <t>20-40%</t>
    </r>
    <r>
      <rPr>
        <sz val="11"/>
        <rFont val="宋体"/>
        <family val="3"/>
        <charset val="134"/>
      </rPr>
      <t>（含）</t>
    </r>
    <phoneticPr fontId="30" type="noConversion"/>
  </si>
  <si>
    <r>
      <t>40-60%</t>
    </r>
    <r>
      <rPr>
        <sz val="11"/>
        <color indexed="8"/>
        <rFont val="宋体"/>
        <family val="3"/>
        <charset val="134"/>
      </rPr>
      <t>（含）</t>
    </r>
    <phoneticPr fontId="30" type="noConversion"/>
  </si>
  <si>
    <r>
      <t>60-80%</t>
    </r>
    <r>
      <rPr>
        <sz val="11"/>
        <color indexed="8"/>
        <rFont val="宋体"/>
        <family val="3"/>
        <charset val="134"/>
      </rPr>
      <t>（含）</t>
    </r>
    <phoneticPr fontId="30" type="noConversion"/>
  </si>
  <si>
    <r>
      <t>80-100%</t>
    </r>
    <r>
      <rPr>
        <sz val="11"/>
        <color indexed="8"/>
        <rFont val="宋体"/>
        <family val="3"/>
        <charset val="134"/>
      </rPr>
      <t>（含）</t>
    </r>
    <phoneticPr fontId="30" type="noConversion"/>
  </si>
  <si>
    <r>
      <t>40-60%</t>
    </r>
    <r>
      <rPr>
        <sz val="11"/>
        <rFont val="宋体"/>
        <family val="3"/>
        <charset val="134"/>
      </rPr>
      <t>（含）</t>
    </r>
    <phoneticPr fontId="30" type="noConversion"/>
  </si>
  <si>
    <t>华茗控股集团有限公司</t>
    <phoneticPr fontId="6" type="noConversion"/>
  </si>
  <si>
    <t>1层剩余未出租面积</t>
    <phoneticPr fontId="134" type="noConversion"/>
  </si>
  <si>
    <t>含税日租金</t>
    <phoneticPr fontId="134" type="noConversion"/>
  </si>
  <si>
    <t>租约整理</t>
    <phoneticPr fontId="134" type="noConversion"/>
  </si>
  <si>
    <t>房号</t>
    <phoneticPr fontId="134" type="noConversion"/>
  </si>
  <si>
    <t>所在层数</t>
    <phoneticPr fontId="134" type="noConversion"/>
  </si>
  <si>
    <t>1层</t>
    <phoneticPr fontId="134" type="noConversion"/>
  </si>
  <si>
    <t>租约内平均租金</t>
    <phoneticPr fontId="134" type="noConversion"/>
  </si>
  <si>
    <t>面积占比</t>
    <phoneticPr fontId="134" type="noConversion"/>
  </si>
  <si>
    <t>1-2平均租金</t>
    <phoneticPr fontId="134" type="noConversion"/>
  </si>
  <si>
    <t>考虑隔层收益</t>
    <phoneticPr fontId="134" type="noConversion"/>
  </si>
  <si>
    <t>客观日租金</t>
    <phoneticPr fontId="134" type="noConversion"/>
  </si>
  <si>
    <t>已出租面积</t>
    <phoneticPr fontId="134" type="noConversion"/>
  </si>
  <si>
    <t>租约平均日租金</t>
    <phoneticPr fontId="134" type="noConversion"/>
  </si>
  <si>
    <t>最长租赁期</t>
    <phoneticPr fontId="134" type="noConversion"/>
  </si>
  <si>
    <r>
      <t>1</t>
    </r>
    <r>
      <rPr>
        <sz val="11"/>
        <rFont val="宋体"/>
        <family val="3"/>
        <charset val="134"/>
      </rPr>
      <t>层和</t>
    </r>
    <r>
      <rPr>
        <sz val="11"/>
        <rFont val="Arial"/>
        <family val="2"/>
      </rPr>
      <t>2</t>
    </r>
    <r>
      <rPr>
        <sz val="11"/>
        <rFont val="宋体"/>
        <family val="3"/>
        <charset val="134"/>
      </rPr>
      <t>层面积大致相同，按照</t>
    </r>
    <r>
      <rPr>
        <sz val="11"/>
        <rFont val="Arial"/>
        <family val="2"/>
      </rPr>
      <t>50%</t>
    </r>
    <r>
      <rPr>
        <sz val="11"/>
        <rFont val="宋体"/>
        <family val="3"/>
        <charset val="134"/>
      </rPr>
      <t>计算</t>
    </r>
    <phoneticPr fontId="30" type="noConversion"/>
  </si>
  <si>
    <t>103根据合同计算各层面积</t>
    <phoneticPr fontId="134" type="noConversion"/>
  </si>
  <si>
    <t>102、105因房屋并未全部出租，未用租约信息</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</si>
</sst>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2" fillId="12" borderId="4" xfId="0" applyNumberFormat="1" applyFont="1" applyFill="1" applyBorder="1" applyAlignment="1" applyProtection="1">
      <alignment horizontal="left" vertical="center"/>
      <protection locked="0"/>
    </xf>
    <xf numFmtId="0" fontId="95" fillId="0" borderId="0" xfId="0" applyFont="1" applyAlignment="1">
      <alignment vertical="center" wrapText="1"/>
    </xf>
    <xf numFmtId="0" fontId="0" fillId="0" borderId="0" xfId="0" applyAlignment="1">
      <alignment vertical="center" wrapText="1"/>
    </xf>
    <xf numFmtId="14" fontId="0" fillId="0" borderId="0" xfId="0" applyNumberFormat="1" applyAlignment="1">
      <alignment vertical="center" wrapText="1"/>
    </xf>
    <xf numFmtId="49" fontId="95" fillId="0" borderId="0" xfId="0" applyNumberFormat="1" applyFont="1" applyAlignment="1">
      <alignment vertical="center" wrapText="1"/>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183" fontId="77" fillId="0" borderId="1" xfId="0" applyNumberFormat="1" applyFont="1" applyBorder="1" applyAlignment="1" applyProtection="1">
      <alignment horizontal="center" vertical="center" shrinkToFit="1"/>
      <protection locked="0"/>
    </xf>
    <xf numFmtId="0" fontId="113" fillId="5" borderId="32" xfId="0" applyFont="1" applyFill="1" applyBorder="1" applyAlignment="1" applyProtection="1">
      <alignment horizontal="right" vertical="center" wrapText="1"/>
      <protection locked="0"/>
    </xf>
    <xf numFmtId="0" fontId="273" fillId="0" borderId="0" xfId="0" applyFont="1">
      <alignment vertical="center"/>
    </xf>
    <xf numFmtId="0" fontId="170" fillId="0" borderId="1" xfId="8" applyFont="1" applyBorder="1" applyAlignment="1" applyProtection="1">
      <alignment horizontal="center" vertical="center" wrapText="1"/>
      <protection locked="0"/>
    </xf>
    <xf numFmtId="14" fontId="0" fillId="0" borderId="0" xfId="0" applyNumberFormat="1">
      <alignment vertical="center"/>
    </xf>
    <xf numFmtId="14" fontId="95" fillId="0" borderId="0" xfId="0" applyNumberFormat="1" applyFont="1">
      <alignment vertical="center"/>
    </xf>
    <xf numFmtId="176" fontId="0" fillId="0" borderId="0" xfId="0" applyNumberFormat="1">
      <alignment vertical="center"/>
    </xf>
    <xf numFmtId="0" fontId="95" fillId="5" borderId="0" xfId="0" applyFont="1" applyFill="1">
      <alignment vertical="center"/>
    </xf>
    <xf numFmtId="9" fontId="0" fillId="0" borderId="0" xfId="0" applyNumberFormat="1">
      <alignment vertical="center"/>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58" fontId="95" fillId="0" borderId="0" xfId="0" applyNumberFormat="1"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0" fillId="5" borderId="0" xfId="0" applyFill="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95" fillId="0" borderId="1" xfId="0" applyFont="1" applyBorder="1">
      <alignment vertical="center"/>
    </xf>
    <xf numFmtId="0" fontId="0" fillId="0" borderId="1" xfId="0" applyBorder="1">
      <alignment vertical="center"/>
    </xf>
    <xf numFmtId="0" fontId="95" fillId="0" borderId="1" xfId="0" applyFont="1" applyBorder="1" applyAlignment="1">
      <alignment vertical="center" wrapText="1"/>
    </xf>
    <xf numFmtId="0" fontId="0" fillId="0" borderId="1" xfId="0" applyBorder="1" applyAlignment="1">
      <alignment vertical="center" wrapText="1"/>
    </xf>
    <xf numFmtId="49" fontId="95" fillId="0" borderId="1" xfId="0" applyNumberFormat="1" applyFont="1" applyBorder="1" applyAlignment="1">
      <alignment vertical="center" wrapText="1"/>
    </xf>
    <xf numFmtId="14" fontId="0" fillId="0" borderId="1" xfId="0" applyNumberFormat="1" applyBorder="1" applyAlignment="1">
      <alignment vertical="center" wrapText="1"/>
    </xf>
    <xf numFmtId="0" fontId="95" fillId="5" borderId="1" xfId="0" applyFont="1" applyFill="1" applyBorder="1" applyAlignment="1">
      <alignment vertical="center" wrapText="1"/>
    </xf>
    <xf numFmtId="0" fontId="95" fillId="8" borderId="1" xfId="0" applyFont="1" applyFill="1" applyBorder="1" applyAlignment="1">
      <alignment vertical="center" wrapText="1"/>
    </xf>
    <xf numFmtId="0" fontId="0" fillId="8" borderId="1" xfId="0" applyFill="1" applyBorder="1" applyAlignment="1">
      <alignment vertical="center" wrapText="1"/>
    </xf>
    <xf numFmtId="0" fontId="95" fillId="5" borderId="1" xfId="0" applyFont="1" applyFill="1" applyBorder="1">
      <alignment vertical="center"/>
    </xf>
    <xf numFmtId="0" fontId="0" fillId="5" borderId="1" xfId="0" applyFill="1" applyBorder="1">
      <alignment vertical="center"/>
    </xf>
    <xf numFmtId="0" fontId="0" fillId="8" borderId="0" xfId="0" applyFill="1">
      <alignment vertical="center"/>
    </xf>
    <xf numFmtId="0" fontId="95" fillId="8" borderId="0" xfId="0" applyFont="1" applyFill="1">
      <alignment vertical="center"/>
    </xf>
    <xf numFmtId="0" fontId="0" fillId="0" borderId="0" xfId="0" applyNumberFormat="1">
      <alignment vertical="center"/>
    </xf>
    <xf numFmtId="0" fontId="77" fillId="7" borderId="5" xfId="0" applyFont="1" applyFill="1" applyBorder="1" applyAlignment="1" applyProtection="1">
      <alignment vertical="center" wrapText="1"/>
      <protection locked="0"/>
    </xf>
    <xf numFmtId="0" fontId="273" fillId="0" borderId="1" xfId="0" applyFont="1" applyBorder="1">
      <alignment vertical="center"/>
    </xf>
    <xf numFmtId="14" fontId="0" fillId="0" borderId="1" xfId="0" applyNumberFormat="1" applyBorder="1">
      <alignment vertical="center"/>
    </xf>
    <xf numFmtId="0" fontId="95" fillId="0" borderId="0" xfId="0" applyFont="1" applyFill="1" applyBorder="1" applyAlignment="1">
      <alignmen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170821</xdr:colOff>
      <xdr:row>6</xdr:row>
      <xdr:rowOff>83820</xdr:rowOff>
    </xdr:from>
    <xdr:to>
      <xdr:col>28</xdr:col>
      <xdr:colOff>76537</xdr:colOff>
      <xdr:row>29</xdr:row>
      <xdr:rowOff>39047</xdr:rowOff>
    </xdr:to>
    <xdr:pic>
      <xdr:nvPicPr>
        <xdr:cNvPr id="2" name="图片 1">
          <a:extLst>
            <a:ext uri="{FF2B5EF4-FFF2-40B4-BE49-F238E27FC236}">
              <a16:creationId xmlns:a16="http://schemas.microsoft.com/office/drawing/2014/main" id="{F067B8C1-6852-F597-0E21-A667194E3951}"/>
            </a:ext>
          </a:extLst>
        </xdr:cNvPr>
        <xdr:cNvPicPr>
          <a:picLocks noChangeAspect="1"/>
        </xdr:cNvPicPr>
      </xdr:nvPicPr>
      <xdr:blipFill>
        <a:blip xmlns:r="http://schemas.openxmlformats.org/officeDocument/2006/relationships" r:embed="rId1"/>
        <a:stretch>
          <a:fillRect/>
        </a:stretch>
      </xdr:blipFill>
      <xdr:spPr>
        <a:xfrm>
          <a:off x="11593201" y="2316480"/>
          <a:ext cx="7830516" cy="47863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304800</xdr:colOff>
      <xdr:row>16</xdr:row>
      <xdr:rowOff>45721</xdr:rowOff>
    </xdr:from>
    <xdr:to>
      <xdr:col>27</xdr:col>
      <xdr:colOff>425865</xdr:colOff>
      <xdr:row>51</xdr:row>
      <xdr:rowOff>45721</xdr:rowOff>
    </xdr:to>
    <xdr:pic>
      <xdr:nvPicPr>
        <xdr:cNvPr id="2" name="图片 1">
          <a:extLst>
            <a:ext uri="{FF2B5EF4-FFF2-40B4-BE49-F238E27FC236}">
              <a16:creationId xmlns:a16="http://schemas.microsoft.com/office/drawing/2014/main" id="{B1189F0F-F47F-0375-E2A5-86DEFCAF6F19}"/>
            </a:ext>
          </a:extLst>
        </xdr:cNvPr>
        <xdr:cNvPicPr>
          <a:picLocks noChangeAspect="1"/>
        </xdr:cNvPicPr>
      </xdr:nvPicPr>
      <xdr:blipFill>
        <a:blip xmlns:r="http://schemas.openxmlformats.org/officeDocument/2006/relationships" r:embed="rId1"/>
        <a:stretch>
          <a:fillRect/>
        </a:stretch>
      </xdr:blipFill>
      <xdr:spPr>
        <a:xfrm>
          <a:off x="8839200" y="2971801"/>
          <a:ext cx="8045865" cy="6400800"/>
        </a:xfrm>
        <a:prstGeom prst="rect">
          <a:avLst/>
        </a:prstGeom>
      </xdr:spPr>
    </xdr:pic>
    <xdr:clientData/>
  </xdr:twoCellAnchor>
  <xdr:twoCellAnchor editAs="oneCell">
    <xdr:from>
      <xdr:col>11</xdr:col>
      <xdr:colOff>388620</xdr:colOff>
      <xdr:row>45</xdr:row>
      <xdr:rowOff>106680</xdr:rowOff>
    </xdr:from>
    <xdr:to>
      <xdr:col>24</xdr:col>
      <xdr:colOff>417962</xdr:colOff>
      <xdr:row>80</xdr:row>
      <xdr:rowOff>109507</xdr:rowOff>
    </xdr:to>
    <xdr:pic>
      <xdr:nvPicPr>
        <xdr:cNvPr id="3" name="图片 2">
          <a:extLst>
            <a:ext uri="{FF2B5EF4-FFF2-40B4-BE49-F238E27FC236}">
              <a16:creationId xmlns:a16="http://schemas.microsoft.com/office/drawing/2014/main" id="{40F5E6F1-7969-453D-E18C-854C2CFF38F2}"/>
            </a:ext>
          </a:extLst>
        </xdr:cNvPr>
        <xdr:cNvPicPr>
          <a:picLocks noChangeAspect="1"/>
        </xdr:cNvPicPr>
      </xdr:nvPicPr>
      <xdr:blipFill>
        <a:blip xmlns:r="http://schemas.openxmlformats.org/officeDocument/2006/relationships" r:embed="rId2"/>
        <a:stretch>
          <a:fillRect/>
        </a:stretch>
      </xdr:blipFill>
      <xdr:spPr>
        <a:xfrm>
          <a:off x="7094220" y="8336280"/>
          <a:ext cx="7954142" cy="6403627"/>
        </a:xfrm>
        <a:prstGeom prst="rect">
          <a:avLst/>
        </a:prstGeom>
      </xdr:spPr>
    </xdr:pic>
    <xdr:clientData/>
  </xdr:twoCellAnchor>
  <xdr:twoCellAnchor editAs="oneCell">
    <xdr:from>
      <xdr:col>15</xdr:col>
      <xdr:colOff>104972</xdr:colOff>
      <xdr:row>0</xdr:row>
      <xdr:rowOff>0</xdr:rowOff>
    </xdr:from>
    <xdr:to>
      <xdr:col>24</xdr:col>
      <xdr:colOff>120571</xdr:colOff>
      <xdr:row>15</xdr:row>
      <xdr:rowOff>12660</xdr:rowOff>
    </xdr:to>
    <xdr:pic>
      <xdr:nvPicPr>
        <xdr:cNvPr id="5" name="图片 4">
          <a:extLst>
            <a:ext uri="{FF2B5EF4-FFF2-40B4-BE49-F238E27FC236}">
              <a16:creationId xmlns:a16="http://schemas.microsoft.com/office/drawing/2014/main" id="{2BAC29CA-6B09-EA8A-F321-E78A6692C8E9}"/>
            </a:ext>
          </a:extLst>
        </xdr:cNvPr>
        <xdr:cNvPicPr>
          <a:picLocks noChangeAspect="1"/>
        </xdr:cNvPicPr>
      </xdr:nvPicPr>
      <xdr:blipFill>
        <a:blip xmlns:r="http://schemas.openxmlformats.org/officeDocument/2006/relationships" r:embed="rId3"/>
        <a:stretch>
          <a:fillRect/>
        </a:stretch>
      </xdr:blipFill>
      <xdr:spPr>
        <a:xfrm>
          <a:off x="9248972" y="0"/>
          <a:ext cx="5501999" cy="2755860"/>
        </a:xfrm>
        <a:prstGeom prst="rect">
          <a:avLst/>
        </a:prstGeom>
      </xdr:spPr>
    </xdr:pic>
    <xdr:clientData/>
  </xdr:twoCellAnchor>
  <xdr:twoCellAnchor editAs="oneCell">
    <xdr:from>
      <xdr:col>12</xdr:col>
      <xdr:colOff>475687</xdr:colOff>
      <xdr:row>13</xdr:row>
      <xdr:rowOff>0</xdr:rowOff>
    </xdr:from>
    <xdr:to>
      <xdr:col>23</xdr:col>
      <xdr:colOff>242338</xdr:colOff>
      <xdr:row>89</xdr:row>
      <xdr:rowOff>72962</xdr:rowOff>
    </xdr:to>
    <xdr:pic>
      <xdr:nvPicPr>
        <xdr:cNvPr id="6" name="图片 5">
          <a:extLst>
            <a:ext uri="{FF2B5EF4-FFF2-40B4-BE49-F238E27FC236}">
              <a16:creationId xmlns:a16="http://schemas.microsoft.com/office/drawing/2014/main" id="{8F5D6F67-3B94-D056-A67A-094D4029817A}"/>
            </a:ext>
          </a:extLst>
        </xdr:cNvPr>
        <xdr:cNvPicPr>
          <a:picLocks noChangeAspect="1"/>
        </xdr:cNvPicPr>
      </xdr:nvPicPr>
      <xdr:blipFill>
        <a:blip xmlns:r="http://schemas.openxmlformats.org/officeDocument/2006/relationships" r:embed="rId4"/>
        <a:stretch>
          <a:fillRect/>
        </a:stretch>
      </xdr:blipFill>
      <xdr:spPr>
        <a:xfrm>
          <a:off x="7973767" y="2377440"/>
          <a:ext cx="6472251" cy="139718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541020</xdr:colOff>
      <xdr:row>28</xdr:row>
      <xdr:rowOff>73611</xdr:rowOff>
    </xdr:to>
    <xdr:pic>
      <xdr:nvPicPr>
        <xdr:cNvPr id="3" name="图片 2">
          <a:extLst>
            <a:ext uri="{FF2B5EF4-FFF2-40B4-BE49-F238E27FC236}">
              <a16:creationId xmlns:a16="http://schemas.microsoft.com/office/drawing/2014/main" id="{FA567793-7F38-9A33-38B8-4CDD4C1AE3B4}"/>
            </a:ext>
          </a:extLst>
        </xdr:cNvPr>
        <xdr:cNvPicPr>
          <a:picLocks noChangeAspect="1"/>
        </xdr:cNvPicPr>
      </xdr:nvPicPr>
      <xdr:blipFill>
        <a:blip xmlns:r="http://schemas.openxmlformats.org/officeDocument/2006/relationships" r:embed="rId1"/>
        <a:stretch>
          <a:fillRect/>
        </a:stretch>
      </xdr:blipFill>
      <xdr:spPr>
        <a:xfrm>
          <a:off x="0" y="0"/>
          <a:ext cx="7856220" cy="5194251"/>
        </a:xfrm>
        <a:prstGeom prst="rect">
          <a:avLst/>
        </a:prstGeom>
      </xdr:spPr>
    </xdr:pic>
    <xdr:clientData/>
  </xdr:twoCellAnchor>
  <xdr:twoCellAnchor editAs="oneCell">
    <xdr:from>
      <xdr:col>0</xdr:col>
      <xdr:colOff>30481</xdr:colOff>
      <xdr:row>29</xdr:row>
      <xdr:rowOff>30480</xdr:rowOff>
    </xdr:from>
    <xdr:to>
      <xdr:col>15</xdr:col>
      <xdr:colOff>159303</xdr:colOff>
      <xdr:row>66</xdr:row>
      <xdr:rowOff>21817</xdr:rowOff>
    </xdr:to>
    <xdr:pic>
      <xdr:nvPicPr>
        <xdr:cNvPr id="4" name="图片 3">
          <a:extLst>
            <a:ext uri="{FF2B5EF4-FFF2-40B4-BE49-F238E27FC236}">
              <a16:creationId xmlns:a16="http://schemas.microsoft.com/office/drawing/2014/main" id="{2F67E62F-0836-A675-FC0D-81EB07E81D46}"/>
            </a:ext>
          </a:extLst>
        </xdr:cNvPr>
        <xdr:cNvPicPr>
          <a:picLocks noChangeAspect="1"/>
        </xdr:cNvPicPr>
      </xdr:nvPicPr>
      <xdr:blipFill>
        <a:blip xmlns:r="http://schemas.openxmlformats.org/officeDocument/2006/relationships" r:embed="rId2"/>
        <a:stretch>
          <a:fillRect/>
        </a:stretch>
      </xdr:blipFill>
      <xdr:spPr>
        <a:xfrm>
          <a:off x="30481" y="5334000"/>
          <a:ext cx="9272822" cy="6757897"/>
        </a:xfrm>
        <a:prstGeom prst="rect">
          <a:avLst/>
        </a:prstGeom>
      </xdr:spPr>
    </xdr:pic>
    <xdr:clientData/>
  </xdr:twoCellAnchor>
  <xdr:twoCellAnchor editAs="oneCell">
    <xdr:from>
      <xdr:col>0</xdr:col>
      <xdr:colOff>0</xdr:colOff>
      <xdr:row>67</xdr:row>
      <xdr:rowOff>160020</xdr:rowOff>
    </xdr:from>
    <xdr:to>
      <xdr:col>14</xdr:col>
      <xdr:colOff>33981</xdr:colOff>
      <xdr:row>99</xdr:row>
      <xdr:rowOff>180057</xdr:rowOff>
    </xdr:to>
    <xdr:pic>
      <xdr:nvPicPr>
        <xdr:cNvPr id="5" name="图片 4">
          <a:extLst>
            <a:ext uri="{FF2B5EF4-FFF2-40B4-BE49-F238E27FC236}">
              <a16:creationId xmlns:a16="http://schemas.microsoft.com/office/drawing/2014/main" id="{B0B88284-820B-BCB8-E087-C929E3B24D24}"/>
            </a:ext>
          </a:extLst>
        </xdr:cNvPr>
        <xdr:cNvPicPr>
          <a:picLocks noChangeAspect="1"/>
        </xdr:cNvPicPr>
      </xdr:nvPicPr>
      <xdr:blipFill>
        <a:blip xmlns:r="http://schemas.openxmlformats.org/officeDocument/2006/relationships" r:embed="rId3"/>
        <a:stretch>
          <a:fillRect/>
        </a:stretch>
      </xdr:blipFill>
      <xdr:spPr>
        <a:xfrm>
          <a:off x="0" y="12412980"/>
          <a:ext cx="8568381" cy="58721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0" customWidth="1"/>
    <col min="2" max="2" width="81" style="1126" customWidth="1"/>
    <col min="3" max="16384" width="9" style="1119"/>
  </cols>
  <sheetData>
    <row r="1" spans="1:2" s="1113" customFormat="1" ht="16.2" thickBot="1">
      <c r="A1" s="1112" t="s">
        <v>521</v>
      </c>
      <c r="B1" s="1111" t="s">
        <v>600</v>
      </c>
    </row>
    <row r="2" spans="1:2" s="1116" customFormat="1" ht="16.2" thickTop="1">
      <c r="A2" s="1114" t="s">
        <v>522</v>
      </c>
      <c r="B2" s="1115" t="str">
        <f>'预评函-封皮'!B37:I37</f>
        <v>北京市石景山区古城西路68号院3号楼1至2层102、105房地产抵押价值预评估</v>
      </c>
    </row>
    <row r="3" spans="1:2">
      <c r="A3" s="1117" t="s">
        <v>523</v>
      </c>
      <c r="B3" s="1118">
        <f>'预评函-封皮'!B40</f>
        <v>0</v>
      </c>
    </row>
    <row r="4" spans="1:2">
      <c r="A4" s="1117" t="s">
        <v>524</v>
      </c>
      <c r="B4" s="1118" t="str">
        <f ca="1">'预评函-封皮'!B46</f>
        <v>郑燚（注册号：1120070131)、吴薇（注册号：1419970001)</v>
      </c>
    </row>
    <row r="5" spans="1:2" s="1113" customFormat="1" ht="16.2" thickBot="1">
      <c r="A5" s="1120" t="s">
        <v>525</v>
      </c>
      <c r="B5" s="1121" t="str">
        <f>'预评函-封皮'!B49</f>
        <v>康正预评字号</v>
      </c>
    </row>
    <row r="6" spans="1:2" s="1116" customFormat="1" ht="16.2" thickTop="1">
      <c r="A6" s="1114" t="s">
        <v>526</v>
      </c>
      <c r="B6" s="1115" t="str">
        <f>'预评函-1'!A4</f>
        <v>受贵公司委托，我公司对北京市石景山区古城西路68号院3号楼1至2层102、105房地产抵押价值进行了预评估。</v>
      </c>
    </row>
    <row r="7" spans="1:2">
      <c r="A7" s="1117" t="s">
        <v>566</v>
      </c>
      <c r="B7" s="1118" t="str">
        <f>'预评函-1'!A7</f>
        <v>估价对象为北京市石景山区古城西路68号院3号楼1至2层102、105房地产，为北京哲韵渠影科技有限公司所有。根据《国有土地使用证》[]，估价对象（分摊）出让国有建设用地使用权面积为0平方米，建筑面积为245.74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石景山区古城西路68号院3号楼1至2层102、105房地产,属北京哲韵渠影科技有限公司开发建设的商业项目，该项目尚在开发建设中。根据《国有土地使用证》[]，估价对象（分摊）出让国有建设用地使用权面积为0平方米，规划建筑面积为245.74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华茗控股集团有限公司拟使用北京市石景山区古城西路68号院3号楼1至2层102、105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2025年5月16日（评估专业人员实地查勘之日）</v>
      </c>
    </row>
    <row r="13" spans="1:2">
      <c r="A13" s="1117" t="s">
        <v>529</v>
      </c>
      <c r="B13" s="1118" t="str">
        <f>'预评函-1'!A18</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6.2" thickBot="1">
      <c r="A18" s="1120" t="s">
        <v>534</v>
      </c>
      <c r="B18" s="1121" t="str">
        <f>'预评函-1'!A24</f>
        <v>本次评估采用的主估价方法为比较法和收益法。</v>
      </c>
    </row>
    <row r="19" spans="1:2" s="1116" customFormat="1" ht="16.2"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887</v>
      </c>
    </row>
    <row r="21" spans="1:2">
      <c r="A21" s="1117" t="s">
        <v>537</v>
      </c>
      <c r="B21" s="1118">
        <f ca="1">'预评函-2'!D7</f>
        <v>36113</v>
      </c>
    </row>
    <row r="22" spans="1:2">
      <c r="A22" s="1117" t="s">
        <v>538</v>
      </c>
      <c r="B22" s="1118" t="str">
        <f ca="1">'预评函-2'!D6</f>
        <v>捌佰捌拾柒万元整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887</v>
      </c>
    </row>
    <row r="31" spans="1:2">
      <c r="A31" s="1117" t="s">
        <v>576</v>
      </c>
      <c r="B31" s="1118">
        <f ca="1">'预评函-2'!D15</f>
        <v>36113</v>
      </c>
    </row>
    <row r="32" spans="1:2">
      <c r="A32" s="1117" t="s">
        <v>543</v>
      </c>
      <c r="B32" s="1118" t="str">
        <f ca="1">'预评函-2'!D14</f>
        <v>捌佰捌拾柒万元整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北京市石景山区古城西路68号院3号楼1至2层102、105房地产</v>
      </c>
    </row>
    <row r="42" spans="1:2" ht="31.2">
      <c r="A42" s="1117" t="s">
        <v>590</v>
      </c>
      <c r="B42" s="1118" t="str">
        <f>'预评函-3'!B2</f>
        <v>建筑面积</v>
      </c>
    </row>
    <row r="43" spans="1:2">
      <c r="A43" s="1117" t="s">
        <v>591</v>
      </c>
      <c r="B43" s="1118">
        <f>'预评函-3'!B4</f>
        <v>245.74</v>
      </c>
    </row>
    <row r="44" spans="1:2" ht="3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f>'预评函-3'!D4</f>
        <v>0</v>
      </c>
    </row>
    <row r="48" spans="1:2">
      <c r="A48" s="1117" t="s">
        <v>549</v>
      </c>
      <c r="B48" s="1118">
        <f>'预评函-3'!E4</f>
        <v>0</v>
      </c>
    </row>
    <row r="49" spans="1:2">
      <c r="A49" s="1117" t="s">
        <v>550</v>
      </c>
      <c r="B49" s="1118" t="str">
        <f>'预评函-3'!D5</f>
        <v>零元整</v>
      </c>
    </row>
    <row r="50" spans="1:2">
      <c r="A50" s="1117" t="s">
        <v>574</v>
      </c>
      <c r="B50" s="1118" t="str">
        <f>'预评函-3'!F2</f>
        <v>在建建筑物价值</v>
      </c>
    </row>
    <row r="51" spans="1:2">
      <c r="A51" s="1117" t="s">
        <v>551</v>
      </c>
      <c r="B51" s="1118">
        <f>'预评函-3'!F4</f>
        <v>0</v>
      </c>
    </row>
    <row r="52" spans="1:2">
      <c r="A52" s="1117" t="s">
        <v>552</v>
      </c>
      <c r="B52" s="1118">
        <f>'预评函-3'!G4</f>
        <v>0</v>
      </c>
    </row>
    <row r="53" spans="1:2">
      <c r="A53" s="1117" t="s">
        <v>580</v>
      </c>
      <c r="B53" s="1118" t="str">
        <f>'预评函-3'!F5</f>
        <v>零元整</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6.2" thickBot="1">
      <c r="A57" s="1120" t="s">
        <v>599</v>
      </c>
      <c r="B57" s="1121" t="str">
        <f>'预评函-3'!A6</f>
        <v>估价师知悉的法定优先受偿款</v>
      </c>
    </row>
    <row r="58" spans="1:2" s="1116" customFormat="1" ht="16.2"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v>
      </c>
    </row>
    <row r="67" spans="1:2">
      <c r="A67" s="1117" t="s">
        <v>571</v>
      </c>
      <c r="B67" s="1118" t="str">
        <f>'预评函-4'!A21</f>
        <v>——</v>
      </c>
    </row>
    <row r="68" spans="1:2">
      <c r="A68" s="1117" t="s">
        <v>572</v>
      </c>
      <c r="B68" s="1118" t="str">
        <f>'预评函-4'!A22</f>
        <v>8.其他需特殊说明事项：无（注意调整序号）</v>
      </c>
    </row>
    <row r="69" spans="1:2" s="1113" customFormat="1" ht="16.2" thickBot="1">
      <c r="A69" s="1120" t="s">
        <v>561</v>
      </c>
      <c r="B69" s="1122">
        <f>'预评函-4'!C31</f>
        <v>42551</v>
      </c>
    </row>
    <row r="70" spans="1:2" ht="16.2" thickTop="1">
      <c r="A70" s="1123" t="s">
        <v>562</v>
      </c>
      <c r="B70" s="1124" t="str">
        <f>'预评函-4'!A4</f>
        <v>郑燚</v>
      </c>
    </row>
    <row r="71" spans="1:2">
      <c r="A71" s="1117" t="s">
        <v>563</v>
      </c>
      <c r="B71" s="1118">
        <f ca="1">'预评函-4'!B4</f>
        <v>1120070131</v>
      </c>
    </row>
    <row r="72" spans="1:2">
      <c r="A72" s="1117" t="s">
        <v>564</v>
      </c>
      <c r="B72" s="1125" t="str">
        <f>'预评函-4'!A5</f>
        <v>吴薇</v>
      </c>
    </row>
    <row r="73" spans="1:2" s="1113" customFormat="1" ht="16.2" thickBot="1">
      <c r="A73" s="1120" t="s">
        <v>565</v>
      </c>
      <c r="B73" s="1121">
        <f ca="1">'预评函-4'!B5</f>
        <v>1419970001</v>
      </c>
    </row>
    <row r="74" spans="1:2" ht="16.2"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6" customWidth="1"/>
    <col min="2" max="2" width="23.21875" style="1403" customWidth="1"/>
    <col min="3" max="3" width="13" style="1443" customWidth="1"/>
    <col min="4" max="4" width="5.77734375" style="1441" customWidth="1"/>
    <col min="5" max="5" width="7.109375" style="1441" customWidth="1"/>
    <col min="6" max="6" width="10.6640625" style="1441" customWidth="1"/>
    <col min="7" max="7" width="7.44140625" style="1441" customWidth="1"/>
    <col min="8" max="8" width="11.88671875" style="1443" customWidth="1"/>
    <col min="9" max="9" width="11.6640625" style="1443" customWidth="1"/>
    <col min="10" max="10" width="9" style="1443" customWidth="1"/>
    <col min="11" max="19" width="9" style="1441" customWidth="1"/>
    <col min="20" max="23" width="9" style="1443" customWidth="1"/>
    <col min="24" max="24" width="21.109375" style="1403" customWidth="1"/>
    <col min="25" max="16384" width="9" style="1403"/>
  </cols>
  <sheetData>
    <row r="1" spans="1:23" s="1438" customFormat="1" ht="43.2">
      <c r="A1" s="1434" t="s">
        <v>44</v>
      </c>
      <c r="B1" s="1435" t="s">
        <v>977</v>
      </c>
      <c r="C1" s="1436" t="s">
        <v>314</v>
      </c>
      <c r="D1" s="1437" t="s">
        <v>3345</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3331</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3332</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3333</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3334</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3335</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3336</v>
      </c>
    </row>
    <row r="8" spans="1:23">
      <c r="A8" s="1439" t="s">
        <v>1026</v>
      </c>
      <c r="B8" s="1439" t="s">
        <v>1027</v>
      </c>
      <c r="C8" s="1440" t="s">
        <v>319</v>
      </c>
      <c r="F8" s="1441" t="s">
        <v>1028</v>
      </c>
      <c r="H8" s="1441" t="s">
        <v>2572</v>
      </c>
      <c r="I8" s="1441" t="s">
        <v>3337</v>
      </c>
    </row>
    <row r="9" spans="1:23">
      <c r="A9" s="1439" t="s">
        <v>1029</v>
      </c>
      <c r="B9" s="1439" t="s">
        <v>1030</v>
      </c>
      <c r="C9" s="1440" t="s">
        <v>320</v>
      </c>
      <c r="F9" s="1441" t="s">
        <v>1031</v>
      </c>
      <c r="H9" s="1441"/>
      <c r="I9" s="1443" t="s">
        <v>3338</v>
      </c>
    </row>
    <row r="10" spans="1:23">
      <c r="A10" s="1439" t="s">
        <v>1032</v>
      </c>
      <c r="B10" s="1439" t="s">
        <v>1033</v>
      </c>
      <c r="C10" s="1440" t="s">
        <v>321</v>
      </c>
      <c r="F10" s="1441" t="s">
        <v>2573</v>
      </c>
      <c r="I10" s="1443" t="s">
        <v>3339</v>
      </c>
    </row>
    <row r="11" spans="1:23">
      <c r="A11" s="1439" t="s">
        <v>1034</v>
      </c>
      <c r="B11" s="1439" t="s">
        <v>1035</v>
      </c>
      <c r="C11" s="1440" t="s">
        <v>322</v>
      </c>
      <c r="F11" s="1441" t="s">
        <v>13</v>
      </c>
      <c r="I11" s="1443" t="s">
        <v>3340</v>
      </c>
    </row>
    <row r="12" spans="1:23">
      <c r="A12" s="1439" t="s">
        <v>1036</v>
      </c>
      <c r="B12" s="1439" t="s">
        <v>1037</v>
      </c>
      <c r="C12" s="1440" t="s">
        <v>323</v>
      </c>
      <c r="I12" s="1443" t="s">
        <v>3341</v>
      </c>
    </row>
    <row r="13" spans="1:23">
      <c r="A13" s="1439" t="s">
        <v>1038</v>
      </c>
      <c r="B13" s="1439" t="s">
        <v>1039</v>
      </c>
      <c r="C13" s="1440" t="s">
        <v>324</v>
      </c>
      <c r="I13" s="1443" t="s">
        <v>3342</v>
      </c>
    </row>
    <row r="14" spans="1:23">
      <c r="A14" s="1439" t="s">
        <v>1040</v>
      </c>
      <c r="B14" s="1439" t="s">
        <v>1041</v>
      </c>
      <c r="C14" s="1441" t="s">
        <v>13</v>
      </c>
      <c r="I14" s="1443" t="s">
        <v>3343</v>
      </c>
    </row>
    <row r="15" spans="1:23">
      <c r="A15" s="1439" t="s">
        <v>1042</v>
      </c>
      <c r="B15" s="1439" t="s">
        <v>1043</v>
      </c>
      <c r="C15" s="1440"/>
      <c r="I15" s="1443" t="s">
        <v>3344</v>
      </c>
    </row>
    <row r="16" spans="1:23">
      <c r="A16" s="1439" t="s">
        <v>1044</v>
      </c>
      <c r="B16" s="1439" t="s">
        <v>312</v>
      </c>
      <c r="C16" s="1440"/>
    </row>
    <row r="17" spans="1:3">
      <c r="A17" s="1439" t="s">
        <v>1045</v>
      </c>
      <c r="B17" s="1439" t="s">
        <v>2288</v>
      </c>
      <c r="C17" s="1440"/>
    </row>
    <row r="18" spans="1:3">
      <c r="A18" s="1439" t="s">
        <v>1046</v>
      </c>
      <c r="B18" s="1439" t="s">
        <v>2428</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华茗控股集团有限公司拟使用北京市石景山区古城西路68号院3号楼1至2层102、105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22"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2"/>
      <c r="B54" s="1445" t="s">
        <v>385</v>
      </c>
      <c r="C54" s="1443" t="s">
        <v>583</v>
      </c>
    </row>
    <row r="55" spans="1:4">
      <c r="A55" s="3222"/>
      <c r="B55" s="1445" t="s">
        <v>386</v>
      </c>
      <c r="C55" s="1443" t="s">
        <v>584</v>
      </c>
    </row>
    <row r="56" spans="1:4">
      <c r="A56" s="3222"/>
      <c r="B56" s="1445" t="s">
        <v>387</v>
      </c>
      <c r="C56" s="1443" t="s">
        <v>588</v>
      </c>
    </row>
    <row r="57" spans="1:4">
      <c r="A57" s="3222"/>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4"/>
    <col min="8" max="8" width="5.44140625" style="2754" customWidth="1"/>
    <col min="9" max="13" width="9.44140625" style="2795" customWidth="1"/>
    <col min="14" max="18" width="9.44140625" style="2754" customWidth="1"/>
    <col min="19" max="16384" width="15.21875" style="2754"/>
  </cols>
  <sheetData>
    <row r="1" spans="1:18">
      <c r="A1" s="2751" t="s">
        <v>2495</v>
      </c>
      <c r="B1" s="2752"/>
      <c r="C1" s="2752"/>
      <c r="D1" s="2752"/>
      <c r="E1" s="2752"/>
      <c r="F1" s="2753"/>
      <c r="I1" s="3130" t="s">
        <v>2588</v>
      </c>
      <c r="J1" s="2778"/>
      <c r="K1" s="2778"/>
      <c r="L1" s="2778"/>
      <c r="M1" s="2778"/>
      <c r="N1" s="2963"/>
      <c r="O1" s="2963"/>
      <c r="P1" s="2963"/>
      <c r="Q1" s="2963"/>
      <c r="R1" s="2963"/>
    </row>
    <row r="2" spans="1:18">
      <c r="A2" s="2755"/>
      <c r="B2" s="2756"/>
      <c r="C2" s="2756"/>
      <c r="D2" s="2756"/>
      <c r="E2" s="2756"/>
      <c r="F2" s="2757"/>
      <c r="I2" s="3223" t="s">
        <v>2575</v>
      </c>
      <c r="J2" s="3223"/>
      <c r="K2" s="3223"/>
      <c r="L2" s="3223"/>
      <c r="M2" s="3223"/>
      <c r="N2" s="3223"/>
      <c r="O2" s="3223"/>
      <c r="P2" s="3223"/>
      <c r="Q2" s="3223"/>
      <c r="R2" s="3223"/>
    </row>
    <row r="3" spans="1:18">
      <c r="A3" s="2758" t="s">
        <v>2496</v>
      </c>
      <c r="B3" s="2759">
        <f>项目基本情况!D3</f>
        <v>45793</v>
      </c>
      <c r="C3" s="2761"/>
      <c r="D3" s="2761"/>
      <c r="E3" s="2761"/>
      <c r="F3" s="2757"/>
      <c r="I3" s="2773"/>
      <c r="J3" s="2773" t="s">
        <v>2579</v>
      </c>
      <c r="K3" s="2773" t="s">
        <v>2580</v>
      </c>
      <c r="L3" s="2773" t="s">
        <v>2581</v>
      </c>
      <c r="M3" s="2773" t="s">
        <v>2582</v>
      </c>
      <c r="N3" s="3131" t="s">
        <v>2583</v>
      </c>
      <c r="O3" s="3131" t="s">
        <v>2584</v>
      </c>
      <c r="P3" s="3131" t="s">
        <v>2585</v>
      </c>
      <c r="Q3" s="3131" t="s">
        <v>2586</v>
      </c>
      <c r="R3" s="3131" t="s">
        <v>2587</v>
      </c>
    </row>
    <row r="4" spans="1:18">
      <c r="A4" s="2758" t="s">
        <v>2497</v>
      </c>
      <c r="B4" s="2761" t="s">
        <v>2498</v>
      </c>
      <c r="C4" s="2761" t="s">
        <v>2499</v>
      </c>
      <c r="D4" s="2761" t="s">
        <v>2500</v>
      </c>
      <c r="E4" s="2761" t="s">
        <v>2501</v>
      </c>
      <c r="F4" s="2757"/>
      <c r="I4" s="2773" t="s">
        <v>2576</v>
      </c>
      <c r="J4" s="2773">
        <v>80</v>
      </c>
      <c r="K4" s="2773">
        <v>70</v>
      </c>
      <c r="L4" s="2773">
        <v>20</v>
      </c>
      <c r="M4" s="2773">
        <v>30</v>
      </c>
      <c r="N4" s="2761">
        <v>45</v>
      </c>
      <c r="O4" s="2761">
        <v>60</v>
      </c>
      <c r="P4" s="2761">
        <v>50</v>
      </c>
      <c r="Q4" s="2761">
        <v>20</v>
      </c>
      <c r="R4" s="2761">
        <v>375</v>
      </c>
    </row>
    <row r="5" spans="1:18">
      <c r="A5" s="2762">
        <v>40</v>
      </c>
      <c r="B5" s="2759">
        <v>46375</v>
      </c>
      <c r="C5" s="2761">
        <f>ROUNDDOWN(MIN((B5-B3)/365,A5),2)</f>
        <v>1.59</v>
      </c>
      <c r="D5" s="2763">
        <f>IF(ISERROR(ROUND(POWER(1+E5,A5-C5)*(POWER(1+E5,C5)-1)/(POWER(1+E5,A5)-1),3)),0,ROUND(POWER(1+E5,A5-C5)*(POWER(1+E5,C5)-1)/(POWER(1+E5,A5)-1),4))</f>
        <v>7.6399999999999996E-2</v>
      </c>
      <c r="E5" s="2764">
        <v>0.04</v>
      </c>
      <c r="F5" s="2757"/>
      <c r="I5" s="2773" t="s">
        <v>2577</v>
      </c>
      <c r="J5" s="2773">
        <v>70</v>
      </c>
      <c r="K5" s="2773">
        <v>60</v>
      </c>
      <c r="L5" s="2773">
        <v>15</v>
      </c>
      <c r="M5" s="2773">
        <v>25</v>
      </c>
      <c r="N5" s="2761">
        <v>40</v>
      </c>
      <c r="O5" s="2761">
        <v>50</v>
      </c>
      <c r="P5" s="2761">
        <v>40</v>
      </c>
      <c r="Q5" s="2761">
        <v>15</v>
      </c>
      <c r="R5" s="2761">
        <v>315</v>
      </c>
    </row>
    <row r="6" spans="1:18">
      <c r="A6" s="2762">
        <v>50</v>
      </c>
      <c r="B6" s="2759">
        <v>50028</v>
      </c>
      <c r="C6" s="2761">
        <f>ROUNDDOWN(MIN((B6-B3)/365,A6),2)</f>
        <v>11.6</v>
      </c>
      <c r="D6" s="2763">
        <f>IF(ISERROR(ROUND(POWER(1+E6,A6-C6)*(POWER(1+E6,C6)-1)/(POWER(1+E6,A6)-1),3)),0,ROUND(POWER(1+E6,A6-C6)*(POWER(1+E6,C6)-1)/(POWER(1+E6,A6)-1),4))</f>
        <v>0.4254</v>
      </c>
      <c r="E6" s="2764">
        <v>0.04</v>
      </c>
      <c r="F6" s="2757"/>
      <c r="I6" s="2773" t="s">
        <v>2578</v>
      </c>
      <c r="J6" s="2773">
        <v>60</v>
      </c>
      <c r="K6" s="2773">
        <v>50</v>
      </c>
      <c r="L6" s="2773">
        <v>10</v>
      </c>
      <c r="M6" s="2773">
        <v>20</v>
      </c>
      <c r="N6" s="2761">
        <v>35</v>
      </c>
      <c r="O6" s="2761">
        <v>40</v>
      </c>
      <c r="P6" s="2761">
        <v>30</v>
      </c>
      <c r="Q6" s="2761">
        <v>10</v>
      </c>
      <c r="R6" s="2761">
        <v>255</v>
      </c>
    </row>
    <row r="7" spans="1:18">
      <c r="A7" s="2762">
        <v>70</v>
      </c>
      <c r="B7" s="2759">
        <v>57333</v>
      </c>
      <c r="C7" s="2761">
        <f>ROUNDDOWN(MIN((B7-B3)/365,A7),2)</f>
        <v>31.61</v>
      </c>
      <c r="D7" s="2763">
        <f>IF(ISERROR(ROUND(POWER(1+E7,A7-C7)*(POWER(1+E7,C7)-1)/(POWER(1+E7,A7)-1),3)),0,ROUND(POWER(1+E7,A7-C7)*(POWER(1+E7,C7)-1)/(POWER(1+E7,A7)-1),4))</f>
        <v>0.75929999999999997</v>
      </c>
      <c r="E7" s="2764">
        <v>0.04</v>
      </c>
      <c r="F7" s="2757"/>
    </row>
    <row r="8" spans="1:18">
      <c r="A8" s="2755"/>
      <c r="B8" s="2756"/>
      <c r="C8" s="2756"/>
      <c r="D8" s="2756"/>
      <c r="E8" s="2756"/>
      <c r="F8" s="2757"/>
    </row>
    <row r="9" spans="1:18">
      <c r="A9" s="2758" t="s">
        <v>2502</v>
      </c>
      <c r="B9" s="2761"/>
      <c r="C9" s="2761"/>
      <c r="D9" s="2761"/>
      <c r="E9" s="2761"/>
      <c r="F9" s="2765"/>
    </row>
    <row r="10" spans="1:18">
      <c r="A10" s="2758" t="s">
        <v>2503</v>
      </c>
      <c r="B10" s="2761"/>
      <c r="C10" s="2761"/>
      <c r="D10" s="2761" t="s">
        <v>2501</v>
      </c>
      <c r="E10" s="2761"/>
      <c r="F10" s="2765" t="s">
        <v>2500</v>
      </c>
    </row>
    <row r="11" spans="1:18">
      <c r="A11" s="2758" t="s">
        <v>2504</v>
      </c>
      <c r="B11" s="2766">
        <v>70</v>
      </c>
      <c r="C11" s="2761" t="s">
        <v>2505</v>
      </c>
      <c r="D11" s="2766">
        <v>4.4999999999999998E-2</v>
      </c>
      <c r="E11" s="2761" t="s">
        <v>2506</v>
      </c>
      <c r="F11" s="2767">
        <f>ROUND(1-(1/(POWER(1+D11,B11))),4)</f>
        <v>0.95409999999999995</v>
      </c>
    </row>
    <row r="12" spans="1:18">
      <c r="A12" s="2758" t="s">
        <v>2507</v>
      </c>
      <c r="B12" s="2766">
        <v>40</v>
      </c>
      <c r="C12" s="2761" t="s">
        <v>2508</v>
      </c>
      <c r="D12" s="2766">
        <v>4.4999999999999998E-2</v>
      </c>
      <c r="E12" s="2761" t="s">
        <v>2509</v>
      </c>
      <c r="F12" s="2767">
        <f>ROUND(1-(1/(POWER(1+D12,B12))),4)</f>
        <v>0.82809999999999995</v>
      </c>
    </row>
    <row r="13" spans="1:18">
      <c r="A13" s="2758" t="s">
        <v>2510</v>
      </c>
      <c r="B13" s="2761"/>
      <c r="C13" s="2761"/>
      <c r="D13" s="2756"/>
      <c r="E13" s="2756"/>
      <c r="F13" s="2757"/>
    </row>
    <row r="14" spans="1:18">
      <c r="A14" s="2758" t="s">
        <v>2511</v>
      </c>
      <c r="B14" s="2766">
        <v>5000</v>
      </c>
      <c r="C14" s="2760"/>
      <c r="D14" s="2756"/>
      <c r="E14" s="2756"/>
      <c r="F14" s="2757"/>
    </row>
    <row r="15" spans="1:18">
      <c r="A15" s="2758" t="s">
        <v>2512</v>
      </c>
      <c r="B15" s="2761">
        <f>ROUND(B14*F12/F11,2)</f>
        <v>4339.6899999999996</v>
      </c>
      <c r="C15" s="2761">
        <f>ROUND(F12/F11,4)</f>
        <v>0.8679</v>
      </c>
      <c r="D15" s="2756"/>
      <c r="E15" s="2756"/>
      <c r="F15" s="2757"/>
    </row>
    <row r="16" spans="1:18">
      <c r="A16" s="2758" t="s">
        <v>2513</v>
      </c>
      <c r="B16" s="2761"/>
      <c r="C16" s="2761"/>
      <c r="D16" s="2756"/>
      <c r="E16" s="2756"/>
      <c r="F16" s="2757"/>
    </row>
    <row r="17" spans="1:14">
      <c r="A17" s="2758" t="s">
        <v>2512</v>
      </c>
      <c r="B17" s="2766">
        <v>4810</v>
      </c>
      <c r="C17" s="2760"/>
      <c r="D17" s="2756"/>
      <c r="E17" s="2756"/>
      <c r="F17" s="2757"/>
    </row>
    <row r="18" spans="1:14" ht="15" thickBot="1">
      <c r="A18" s="2768" t="s">
        <v>2511</v>
      </c>
      <c r="B18" s="2769">
        <f>ROUND(B17*F11/F12,2)</f>
        <v>5541.87</v>
      </c>
      <c r="C18" s="2769">
        <f>ROUND(F11/F12,4)</f>
        <v>1.1521999999999999</v>
      </c>
      <c r="D18" s="2770"/>
      <c r="E18" s="2770"/>
      <c r="F18" s="2771"/>
    </row>
    <row r="19" spans="1:14" ht="15" thickBot="1"/>
    <row r="20" spans="1:14" s="2804" customFormat="1" ht="15" thickTop="1">
      <c r="A20" s="2801" t="s">
        <v>2514</v>
      </c>
      <c r="B20" s="2802"/>
      <c r="C20" s="2802"/>
      <c r="D20" s="2802"/>
      <c r="E20" s="2802"/>
      <c r="F20" s="2802"/>
      <c r="G20" s="2803"/>
      <c r="I20" s="2805" t="s">
        <v>2559</v>
      </c>
      <c r="J20" s="2805" t="s">
        <v>2564</v>
      </c>
      <c r="K20" s="2805"/>
      <c r="L20" s="2805"/>
      <c r="M20" s="2805"/>
    </row>
    <row r="21" spans="1:14">
      <c r="A21" s="2772"/>
      <c r="B21" s="2773" t="s">
        <v>2515</v>
      </c>
      <c r="C21" s="2773" t="s">
        <v>2516</v>
      </c>
      <c r="D21" s="2773" t="s">
        <v>2517</v>
      </c>
      <c r="E21" s="2773" t="s">
        <v>2518</v>
      </c>
      <c r="F21" s="2773" t="s">
        <v>2519</v>
      </c>
      <c r="G21" s="2774" t="s">
        <v>2520</v>
      </c>
      <c r="I21" s="2795">
        <v>5</v>
      </c>
      <c r="J21" s="2795">
        <v>54.2</v>
      </c>
    </row>
    <row r="22" spans="1:14">
      <c r="A22" s="2772" t="s">
        <v>2521</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2522</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2562</v>
      </c>
      <c r="N23" s="3148" t="s">
        <v>2563</v>
      </c>
    </row>
    <row r="24" spans="1:14">
      <c r="A24" s="2772" t="s">
        <v>2523</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2561</v>
      </c>
      <c r="N24" s="3148">
        <v>10</v>
      </c>
    </row>
    <row r="25" spans="1:14">
      <c r="A25" s="2772" t="s">
        <v>2524</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2565</v>
      </c>
      <c r="N25" s="3148">
        <v>8</v>
      </c>
    </row>
    <row r="26" spans="1:14">
      <c r="A26" s="2777"/>
      <c r="B26" s="2778"/>
      <c r="C26" s="2778"/>
      <c r="D26" s="2778"/>
      <c r="E26" s="2778"/>
      <c r="F26" s="2778"/>
      <c r="G26" s="2779"/>
      <c r="I26" s="2795">
        <v>30</v>
      </c>
      <c r="J26" s="2795">
        <v>90.5</v>
      </c>
      <c r="K26" s="2795">
        <f t="shared" si="2"/>
        <v>4.2000000000000028</v>
      </c>
      <c r="L26" s="2795" t="s">
        <v>2566</v>
      </c>
      <c r="N26" s="3148">
        <v>5</v>
      </c>
    </row>
    <row r="27" spans="1:14">
      <c r="A27" s="2777" t="s">
        <v>2525</v>
      </c>
      <c r="B27" s="2778"/>
      <c r="C27" s="2778"/>
      <c r="D27" s="2778"/>
      <c r="E27" s="2778"/>
      <c r="F27" s="2778"/>
      <c r="G27" s="2779"/>
      <c r="I27" s="2795">
        <v>35</v>
      </c>
      <c r="J27" s="2795">
        <v>93.8</v>
      </c>
      <c r="K27" s="2795">
        <f t="shared" si="2"/>
        <v>3.2999999999999972</v>
      </c>
      <c r="L27" s="2795" t="s">
        <v>2567</v>
      </c>
      <c r="N27" s="3148">
        <v>3</v>
      </c>
    </row>
    <row r="28" spans="1:14">
      <c r="A28" s="2777" t="s">
        <v>2526</v>
      </c>
      <c r="B28" s="2778"/>
      <c r="C28" s="2778"/>
      <c r="D28" s="2778"/>
      <c r="E28" s="2778"/>
      <c r="F28" s="2778"/>
      <c r="G28" s="2779"/>
      <c r="I28" s="2795">
        <v>40</v>
      </c>
      <c r="J28" s="2795">
        <v>96.4</v>
      </c>
      <c r="K28" s="2795">
        <f t="shared" si="2"/>
        <v>2.6000000000000085</v>
      </c>
      <c r="L28" s="2795" t="s">
        <v>2568</v>
      </c>
      <c r="N28" s="3148">
        <v>2</v>
      </c>
    </row>
    <row r="29" spans="1:14">
      <c r="A29" s="2777" t="s">
        <v>2527</v>
      </c>
      <c r="B29" s="2778"/>
      <c r="C29" s="2778"/>
      <c r="D29" s="2778"/>
      <c r="E29" s="2778"/>
      <c r="F29" s="2778"/>
      <c r="G29" s="2779"/>
      <c r="I29" s="2795">
        <v>45</v>
      </c>
      <c r="J29" s="2795">
        <v>98.4</v>
      </c>
      <c r="K29" s="2795">
        <f t="shared" si="2"/>
        <v>2</v>
      </c>
    </row>
    <row r="30" spans="1:14">
      <c r="A30" s="2777" t="s">
        <v>2528</v>
      </c>
      <c r="B30" s="2778"/>
      <c r="C30" s="2778"/>
      <c r="D30" s="2778"/>
      <c r="E30" s="2778"/>
      <c r="F30" s="2778"/>
      <c r="G30" s="2779"/>
      <c r="I30" s="2795">
        <v>50</v>
      </c>
      <c r="J30" s="2795">
        <v>100</v>
      </c>
      <c r="K30" s="2795">
        <f t="shared" si="2"/>
        <v>1.5999999999999943</v>
      </c>
    </row>
    <row r="31" spans="1:14">
      <c r="A31" s="2777" t="s">
        <v>2529</v>
      </c>
      <c r="B31" s="2778"/>
      <c r="C31" s="2778"/>
      <c r="D31" s="2778"/>
      <c r="E31" s="2778"/>
      <c r="F31" s="2778"/>
      <c r="G31" s="2779"/>
      <c r="I31" s="2795" t="s">
        <v>2560</v>
      </c>
    </row>
    <row r="32" spans="1:14">
      <c r="A32" s="2777" t="s">
        <v>2530</v>
      </c>
      <c r="B32" s="2778"/>
      <c r="C32" s="2778"/>
      <c r="D32" s="2778"/>
      <c r="E32" s="2778"/>
      <c r="F32" s="2778"/>
      <c r="G32" s="2779"/>
    </row>
    <row r="33" spans="1:14">
      <c r="A33" s="2777" t="s">
        <v>2531</v>
      </c>
      <c r="B33" s="2778"/>
      <c r="C33" s="2778"/>
      <c r="D33" s="2778"/>
      <c r="E33" s="2778"/>
      <c r="F33" s="2778"/>
      <c r="G33" s="2779"/>
      <c r="I33" s="2795" t="s">
        <v>2559</v>
      </c>
      <c r="J33" s="2795" t="s">
        <v>2569</v>
      </c>
    </row>
    <row r="34" spans="1:14">
      <c r="A34" s="2777" t="s">
        <v>2532</v>
      </c>
      <c r="B34" s="2778"/>
      <c r="C34" s="2778"/>
      <c r="D34" s="2778"/>
      <c r="E34" s="2778"/>
      <c r="F34" s="2778"/>
      <c r="G34" s="2779"/>
      <c r="I34" s="2795">
        <v>5</v>
      </c>
      <c r="J34" s="2795">
        <v>55.1</v>
      </c>
    </row>
    <row r="35" spans="1:14">
      <c r="A35" s="2777" t="s">
        <v>2533</v>
      </c>
      <c r="B35" s="2778"/>
      <c r="C35" s="2778"/>
      <c r="D35" s="2778"/>
      <c r="E35" s="2778"/>
      <c r="F35" s="2778"/>
      <c r="G35" s="2779"/>
      <c r="I35" s="2795">
        <v>10</v>
      </c>
      <c r="J35" s="2795">
        <v>67</v>
      </c>
      <c r="K35" s="2795">
        <f>J35-J34</f>
        <v>11.899999999999999</v>
      </c>
    </row>
    <row r="36" spans="1:14">
      <c r="A36" s="2777" t="s">
        <v>2534</v>
      </c>
      <c r="B36" s="2778"/>
      <c r="C36" s="2778"/>
      <c r="D36" s="2778"/>
      <c r="E36" s="2778"/>
      <c r="F36" s="2778"/>
      <c r="G36" s="2779"/>
      <c r="I36" s="2795">
        <v>15</v>
      </c>
      <c r="J36" s="2795">
        <v>76.3</v>
      </c>
      <c r="K36" s="2795">
        <f t="shared" ref="K36:K41" si="3">J36-J35</f>
        <v>9.2999999999999972</v>
      </c>
      <c r="L36" s="2795" t="s">
        <v>2562</v>
      </c>
      <c r="N36" s="3148" t="s">
        <v>2563</v>
      </c>
    </row>
    <row r="37" spans="1:14">
      <c r="A37" s="2777" t="s">
        <v>2535</v>
      </c>
      <c r="B37" s="2778"/>
      <c r="C37" s="2778"/>
      <c r="D37" s="2778"/>
      <c r="E37" s="2778"/>
      <c r="F37" s="2778"/>
      <c r="G37" s="2779"/>
      <c r="I37" s="2795">
        <v>20</v>
      </c>
      <c r="J37" s="2795">
        <v>83.6</v>
      </c>
      <c r="K37" s="2795">
        <f t="shared" si="3"/>
        <v>7.2999999999999972</v>
      </c>
      <c r="L37" s="2795" t="s">
        <v>2561</v>
      </c>
      <c r="N37" s="3148">
        <v>10</v>
      </c>
    </row>
    <row r="38" spans="1:14">
      <c r="A38" s="2777" t="s">
        <v>2536</v>
      </c>
      <c r="B38" s="2778"/>
      <c r="C38" s="2778"/>
      <c r="D38" s="2778"/>
      <c r="E38" s="2778"/>
      <c r="F38" s="2778"/>
      <c r="G38" s="2779"/>
      <c r="I38" s="2795">
        <v>25</v>
      </c>
      <c r="J38" s="2795">
        <v>89.3</v>
      </c>
      <c r="K38" s="2795">
        <f t="shared" si="3"/>
        <v>5.7000000000000028</v>
      </c>
      <c r="L38" s="2795" t="s">
        <v>2565</v>
      </c>
      <c r="N38" s="3148">
        <v>8</v>
      </c>
    </row>
    <row r="39" spans="1:14">
      <c r="A39" s="2777"/>
      <c r="B39" s="2778"/>
      <c r="C39" s="2778"/>
      <c r="D39" s="2778"/>
      <c r="E39" s="2778"/>
      <c r="F39" s="2778"/>
      <c r="G39" s="2779"/>
      <c r="I39" s="2795">
        <v>30</v>
      </c>
      <c r="J39" s="2795">
        <v>93.8</v>
      </c>
      <c r="K39" s="2795">
        <f t="shared" si="3"/>
        <v>4.5</v>
      </c>
      <c r="L39" s="2795" t="s">
        <v>2566</v>
      </c>
      <c r="N39" s="3148">
        <v>6</v>
      </c>
    </row>
    <row r="40" spans="1:14">
      <c r="A40" s="2780" t="s">
        <v>2537</v>
      </c>
      <c r="B40" s="2781"/>
      <c r="C40" s="2781"/>
      <c r="D40" s="2781"/>
      <c r="E40" s="2781"/>
      <c r="F40" s="2781"/>
      <c r="G40" s="2782"/>
      <c r="I40" s="2795">
        <v>35</v>
      </c>
      <c r="J40" s="2795">
        <v>97.2</v>
      </c>
      <c r="K40" s="2795">
        <f t="shared" si="3"/>
        <v>3.4000000000000057</v>
      </c>
      <c r="L40" s="2795" t="s">
        <v>2567</v>
      </c>
      <c r="N40" s="3148">
        <v>3</v>
      </c>
    </row>
    <row r="41" spans="1:14">
      <c r="A41" s="2783" t="s">
        <v>2538</v>
      </c>
      <c r="B41" s="2784" t="s">
        <v>2539</v>
      </c>
      <c r="C41" s="2785" t="s">
        <v>2540</v>
      </c>
      <c r="D41" s="2785" t="s">
        <v>2541</v>
      </c>
      <c r="E41" s="2786"/>
      <c r="F41" s="2787"/>
      <c r="G41" s="2788"/>
      <c r="I41" s="2795">
        <v>40</v>
      </c>
      <c r="J41" s="2795">
        <v>100</v>
      </c>
      <c r="K41" s="2795">
        <f t="shared" si="3"/>
        <v>2.7999999999999972</v>
      </c>
    </row>
    <row r="42" spans="1:14">
      <c r="A42" s="2783" t="s">
        <v>2542</v>
      </c>
      <c r="B42" s="2784" t="s">
        <v>2543</v>
      </c>
      <c r="C42" s="2785" t="s">
        <v>2544</v>
      </c>
      <c r="D42" s="2789" t="s">
        <v>2545</v>
      </c>
      <c r="E42" s="2781" t="s">
        <v>2546</v>
      </c>
      <c r="F42" s="2781"/>
      <c r="G42" s="2782"/>
    </row>
    <row r="43" spans="1:14">
      <c r="A43" s="2783" t="s">
        <v>2547</v>
      </c>
      <c r="B43" s="2784" t="s">
        <v>2548</v>
      </c>
      <c r="C43" s="2785" t="s">
        <v>2549</v>
      </c>
      <c r="D43" s="2785" t="s">
        <v>2550</v>
      </c>
      <c r="E43" s="2786" t="s">
        <v>2551</v>
      </c>
      <c r="F43" s="2787"/>
      <c r="G43" s="2788"/>
      <c r="I43" s="2795" t="s">
        <v>2559</v>
      </c>
      <c r="J43" s="2795" t="s">
        <v>2570</v>
      </c>
    </row>
    <row r="44" spans="1:14">
      <c r="A44" s="2783" t="s">
        <v>2552</v>
      </c>
      <c r="B44" s="2784" t="s">
        <v>2553</v>
      </c>
      <c r="C44" s="2785" t="s">
        <v>2554</v>
      </c>
      <c r="D44" s="2789">
        <v>0.5</v>
      </c>
      <c r="E44" s="2786" t="s">
        <v>2555</v>
      </c>
      <c r="F44" s="2787"/>
      <c r="G44" s="2788"/>
      <c r="I44" s="2795">
        <v>30</v>
      </c>
      <c r="J44" s="2795">
        <v>81.7</v>
      </c>
    </row>
    <row r="45" spans="1:14" ht="15" thickBot="1">
      <c r="A45" s="2790" t="s">
        <v>2556</v>
      </c>
      <c r="B45" s="2791" t="s">
        <v>2543</v>
      </c>
      <c r="C45" s="2792" t="s">
        <v>2543</v>
      </c>
      <c r="D45" s="2792" t="s">
        <v>2557</v>
      </c>
      <c r="E45" s="2793" t="s">
        <v>2558</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5" thickBot="1"/>
    <row r="49" spans="1:4">
      <c r="A49" s="2751" t="s">
        <v>3381</v>
      </c>
    </row>
    <row r="50" spans="1:4">
      <c r="A50" s="3140" t="s">
        <v>3382</v>
      </c>
      <c r="B50" s="3140" t="s">
        <v>3383</v>
      </c>
      <c r="C50" s="3140" t="s">
        <v>3384</v>
      </c>
      <c r="D50" s="3140" t="s">
        <v>3385</v>
      </c>
    </row>
    <row r="51" spans="1:4">
      <c r="A51" s="3140" t="s">
        <v>3386</v>
      </c>
      <c r="B51" s="2760">
        <f>B52+B53</f>
        <v>15000</v>
      </c>
      <c r="C51" s="3141">
        <f>D51/B51</f>
        <v>2666.6666666666665</v>
      </c>
      <c r="D51" s="2760">
        <f>D52+D53</f>
        <v>40000000</v>
      </c>
    </row>
    <row r="52" spans="1:4">
      <c r="A52" s="3142" t="s">
        <v>3387</v>
      </c>
      <c r="B52" s="3143">
        <v>10000</v>
      </c>
      <c r="C52" s="3143">
        <v>1500</v>
      </c>
      <c r="D52" s="3144">
        <f>C52*B52</f>
        <v>15000000</v>
      </c>
    </row>
    <row r="53" spans="1:4">
      <c r="A53" s="3142" t="s">
        <v>3388</v>
      </c>
      <c r="B53" s="3143">
        <v>5000</v>
      </c>
      <c r="C53" s="3143">
        <v>5000</v>
      </c>
      <c r="D53" s="3144">
        <f>C53*B53</f>
        <v>25000000</v>
      </c>
    </row>
    <row r="54" spans="1:4">
      <c r="A54" s="3140" t="s">
        <v>3389</v>
      </c>
      <c r="B54" s="2760">
        <f>B51</f>
        <v>15000</v>
      </c>
      <c r="C54" s="2766">
        <v>700</v>
      </c>
      <c r="D54" s="2760">
        <f t="shared" ref="D54:D55" si="5">C54*B54</f>
        <v>10500000</v>
      </c>
    </row>
    <row r="55" spans="1:4">
      <c r="A55" s="3140" t="s">
        <v>3390</v>
      </c>
      <c r="B55" s="2760">
        <f>B51</f>
        <v>15000</v>
      </c>
      <c r="C55" s="2766">
        <v>1500</v>
      </c>
      <c r="D55" s="2760">
        <f t="shared" si="5"/>
        <v>22500000</v>
      </c>
    </row>
    <row r="56" spans="1:4">
      <c r="A56" s="3140" t="s">
        <v>3391</v>
      </c>
      <c r="B56" s="2760">
        <f>B51</f>
        <v>15000</v>
      </c>
      <c r="C56" s="3145">
        <f>C51+C54+C55</f>
        <v>4866.6666666666661</v>
      </c>
      <c r="D56" s="2760">
        <f>D51+D54+D55</f>
        <v>73000000</v>
      </c>
    </row>
    <row r="58" spans="1:4">
      <c r="A58" s="3140" t="s">
        <v>3392</v>
      </c>
      <c r="B58" s="3146">
        <v>0.05</v>
      </c>
      <c r="C58" s="2760">
        <f>C56*(1+B58)</f>
        <v>5110</v>
      </c>
      <c r="D58" s="2760">
        <f>D56*B58</f>
        <v>3650000</v>
      </c>
    </row>
    <row r="60" spans="1:4">
      <c r="A60" s="3140" t="s">
        <v>3393</v>
      </c>
      <c r="B60" s="2766">
        <v>3500</v>
      </c>
      <c r="C60" s="2766">
        <f>C53</f>
        <v>5000</v>
      </c>
      <c r="D60" s="2760">
        <f>C60*B60</f>
        <v>17500000</v>
      </c>
    </row>
    <row r="62" spans="1:4">
      <c r="A62" s="3140" t="s">
        <v>3394</v>
      </c>
      <c r="B62" s="2766">
        <f>B51</f>
        <v>15000</v>
      </c>
      <c r="C62" s="3147">
        <f>D62/B62</f>
        <v>6276.666666666667</v>
      </c>
      <c r="D62" s="276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8" sqref="C8"/>
    </sheetView>
  </sheetViews>
  <sheetFormatPr defaultColWidth="10" defaultRowHeight="13.2"/>
  <cols>
    <col min="1" max="1" width="16.88671875" style="1616" customWidth="1"/>
    <col min="2" max="2" width="10" style="1616" customWidth="1"/>
    <col min="3" max="3" width="13.33203125" style="1616" customWidth="1"/>
    <col min="4" max="4" width="10" style="1616" customWidth="1"/>
    <col min="5" max="5" width="12.6640625" style="1616" customWidth="1"/>
    <col min="6" max="6" width="10" style="1616" customWidth="1"/>
    <col min="7" max="7" width="10.77734375" style="1616" customWidth="1"/>
    <col min="8" max="8" width="10" style="1616" customWidth="1"/>
    <col min="9" max="9" width="11.109375" style="1466" customWidth="1"/>
    <col min="10" max="10" width="10" style="1614" customWidth="1"/>
    <col min="11" max="11" width="10" style="2409" customWidth="1"/>
    <col min="12" max="13" width="10" style="2410"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8" thickBot="1">
      <c r="A1" s="2178" t="s">
        <v>2163</v>
      </c>
      <c r="B1" s="3231" t="str">
        <f>IF(B10="北京市","北京市",C10)&amp;F10&amp;IF(结果表!G1="在建","出让国有建设用地使用权及在建建筑物",IF(结果表!G1="土地","出让国有建设用地使用权",))&amp;B9&amp;"预评估"</f>
        <v>北京市石景山区古城西路68号院3号楼1至2层102、105房地产抵押价值预评估</v>
      </c>
      <c r="C1" s="3232"/>
      <c r="D1" s="3232"/>
      <c r="E1" s="3232"/>
      <c r="F1" s="3232"/>
      <c r="G1" s="3232"/>
      <c r="H1" s="3232"/>
      <c r="I1" s="3233"/>
      <c r="J1" s="2241"/>
      <c r="K1" s="2180"/>
      <c r="L1" s="2181"/>
      <c r="M1" s="2181"/>
      <c r="N1" s="2179"/>
      <c r="O1" s="1464"/>
      <c r="P1" s="2179"/>
      <c r="Q1" s="2179"/>
      <c r="R1" s="2179"/>
      <c r="S1" s="1559" t="str">
        <f>IF(B10="北京市","北京市",C10)&amp;F10&amp;IF(结果表!G1="在建","出让国有建设用地使用权及在建建筑物房地产抵押价值",IF(结果表!G1="土地","出让国有建设用地使用权抵押价值",B9))</f>
        <v>北京市石景山区古城西路68号院3号楼1至2层102、105房地产抵押价值</v>
      </c>
      <c r="T1" s="1616"/>
      <c r="U1" s="1616"/>
      <c r="V1" s="1616"/>
      <c r="W1" s="1616"/>
      <c r="X1" s="1616"/>
      <c r="Y1" s="1616"/>
      <c r="Z1" s="1616"/>
      <c r="AA1" s="1616"/>
      <c r="AB1" s="1616"/>
    </row>
    <row r="2" spans="1:30">
      <c r="A2" s="2179" t="s">
        <v>2164</v>
      </c>
      <c r="B2" s="122"/>
      <c r="D2" s="2443"/>
      <c r="E2" s="2437"/>
      <c r="F2" s="2437"/>
      <c r="G2" s="2438"/>
      <c r="H2" s="2438"/>
      <c r="I2" s="2438"/>
      <c r="J2" s="2241"/>
      <c r="K2" s="2180"/>
      <c r="L2" s="2181"/>
      <c r="M2" s="2181"/>
      <c r="N2" s="2179"/>
      <c r="O2" s="1464"/>
      <c r="P2" s="2179"/>
      <c r="Q2" s="2179"/>
      <c r="R2" s="2179"/>
      <c r="S2" s="1559" t="str">
        <f>IF(B10="北京市","北京市",C10)&amp;F10&amp;IF(结果表!G1="在建","出让国有建设用地使用权及在建建筑物房地产",IF(结果表!G1="土地","出让国有建设用地使用权","房地产"))</f>
        <v>北京市石景山区古城西路68号院3号楼1至2层102、105房地产</v>
      </c>
      <c r="T2" s="1616"/>
      <c r="U2" s="1616"/>
      <c r="V2" s="1616"/>
      <c r="W2" s="1616"/>
      <c r="X2" s="1616"/>
      <c r="Y2" s="1616"/>
      <c r="Z2" s="1616"/>
      <c r="AA2" s="1616"/>
      <c r="AB2" s="1616"/>
    </row>
    <row r="3" spans="1:30">
      <c r="A3" s="294" t="s">
        <v>2165</v>
      </c>
      <c r="B3" s="2182">
        <v>45793</v>
      </c>
      <c r="C3" s="2183" t="s">
        <v>2166</v>
      </c>
      <c r="D3" s="2182">
        <f>B3</f>
        <v>45793</v>
      </c>
      <c r="E3" s="2438"/>
      <c r="F3" s="2438"/>
      <c r="G3" s="2438"/>
      <c r="H3" s="2438"/>
      <c r="I3" s="2438"/>
      <c r="J3" s="2241"/>
      <c r="K3" s="2180"/>
      <c r="L3" s="2181"/>
      <c r="M3" s="2181"/>
      <c r="N3" s="2179"/>
      <c r="O3" s="1464"/>
      <c r="P3" s="2179"/>
      <c r="Q3" s="2179"/>
      <c r="R3" s="2179"/>
      <c r="S3" s="1559"/>
      <c r="T3" s="1616"/>
      <c r="U3" s="1616"/>
      <c r="V3" s="1616"/>
      <c r="W3" s="1616"/>
      <c r="X3" s="1616"/>
      <c r="Y3" s="1616"/>
      <c r="Z3" s="1616"/>
      <c r="AA3" s="1616"/>
      <c r="AB3" s="1616"/>
    </row>
    <row r="4" spans="1:30" ht="13.8" thickBot="1">
      <c r="A4" s="1025" t="s">
        <v>2167</v>
      </c>
      <c r="B4" s="2184" t="s">
        <v>3406</v>
      </c>
      <c r="C4" s="2185">
        <f ca="1">SUMIF(注册房地产估价师,B4,估价师及机构信息!B3:B24)</f>
        <v>1120070131</v>
      </c>
      <c r="D4" s="2184" t="s">
        <v>3407</v>
      </c>
      <c r="E4" s="2185">
        <f ca="1">SUMIF(注册房地产估价师,D4,估价师及机构信息!B3:B24)</f>
        <v>1419970001</v>
      </c>
      <c r="F4" s="2184"/>
      <c r="G4" s="2185">
        <f>SUMIF(注册房地产估价师,F4,估价师及机构信息!B3:B24)</f>
        <v>0</v>
      </c>
      <c r="H4" s="2184"/>
      <c r="I4" s="2185">
        <f>SUMIF(注册房地产估价师,H4,估价师及机构信息!B3:B24)</f>
        <v>0</v>
      </c>
      <c r="J4" s="2241"/>
      <c r="K4" s="2186" t="str">
        <f ca="1">CONCATENATE(B4,"（注册号：",C4,")、",D4,"（注册号：",E4,")")</f>
        <v>郑燚（注册号：1120070131)、吴薇（注册号：1419970001)</v>
      </c>
      <c r="L4" s="2181"/>
      <c r="M4" s="2181"/>
      <c r="N4" s="2179"/>
      <c r="O4" s="1464"/>
      <c r="P4" s="2179"/>
      <c r="Q4" s="2179"/>
      <c r="R4" s="2179"/>
      <c r="S4" s="1559"/>
      <c r="T4" s="1616"/>
      <c r="U4" s="1616"/>
      <c r="V4" s="1616"/>
      <c r="W4" s="1616"/>
      <c r="X4" s="1616"/>
      <c r="Y4" s="1616"/>
      <c r="Z4" s="1616"/>
      <c r="AA4" s="1616"/>
      <c r="AB4" s="1616"/>
    </row>
    <row r="5" spans="1:30" ht="13.8" thickTop="1">
      <c r="A5" s="2187" t="s">
        <v>2168</v>
      </c>
      <c r="B5" s="2188"/>
      <c r="C5" s="2189"/>
      <c r="D5" s="2190"/>
      <c r="E5" s="2438"/>
      <c r="F5" s="2438"/>
      <c r="G5" s="2438"/>
      <c r="H5" s="2438"/>
      <c r="I5" s="2438"/>
      <c r="J5" s="2241"/>
      <c r="K5" s="2186" t="str">
        <f>IF(F4="——","",IF(H4="——",F4&amp;"（注册号："&amp;G4&amp;")",CONCATENATE(F4,"（注册号：",G4,")、",H4,"（注册号：",I4,")")))</f>
        <v>（注册号：0)、（注册号：0)</v>
      </c>
      <c r="L5" s="2181"/>
      <c r="M5" s="2181"/>
      <c r="N5" s="2179"/>
      <c r="O5" s="1464"/>
      <c r="P5" s="2179"/>
      <c r="Q5" s="2179"/>
      <c r="R5" s="2179"/>
      <c r="S5" s="1616"/>
      <c r="T5" s="1616"/>
      <c r="U5" s="1616"/>
      <c r="V5" s="1616"/>
      <c r="W5" s="1616"/>
      <c r="X5" s="1616"/>
      <c r="Y5" s="1616"/>
      <c r="Z5" s="1616"/>
      <c r="AA5" s="1616"/>
      <c r="AB5" s="1616"/>
    </row>
    <row r="6" spans="1:30">
      <c r="A6" s="2191" t="s">
        <v>2169</v>
      </c>
      <c r="B6" s="2192"/>
      <c r="C6" s="2193"/>
      <c r="D6" s="2194"/>
      <c r="E6" s="2437"/>
      <c r="F6" s="2438"/>
      <c r="G6" s="2438"/>
      <c r="H6" s="2438"/>
      <c r="I6" s="2438"/>
      <c r="J6" s="2241"/>
      <c r="K6" s="2397" t="str">
        <f>IF(COUNTIF(B6,"*上海银行*"),"上海银行","")</f>
        <v/>
      </c>
      <c r="L6" s="2395"/>
      <c r="M6" s="2395"/>
      <c r="N6" s="2241"/>
      <c r="O6" s="1668"/>
      <c r="P6" s="2241"/>
      <c r="Q6" s="2241"/>
      <c r="R6" s="2241"/>
    </row>
    <row r="7" spans="1:30" ht="36">
      <c r="A7" s="2191" t="s">
        <v>2170</v>
      </c>
      <c r="B7" s="3533" t="s">
        <v>3627</v>
      </c>
      <c r="C7" s="2193"/>
      <c r="D7" s="2194"/>
      <c r="E7" s="2437"/>
      <c r="F7" s="2438"/>
      <c r="G7" s="2438"/>
      <c r="H7" s="2438"/>
      <c r="I7" s="2438"/>
      <c r="J7" s="2241"/>
      <c r="K7" s="2398"/>
      <c r="L7" s="2395"/>
      <c r="M7" s="2395"/>
      <c r="N7" s="2241"/>
      <c r="O7" s="1668"/>
      <c r="P7" s="2241"/>
      <c r="Q7" s="2241"/>
      <c r="R7" s="2241"/>
    </row>
    <row r="8" spans="1:30">
      <c r="A8" s="2195" t="s">
        <v>2171</v>
      </c>
      <c r="B8" s="2196" t="s">
        <v>3408</v>
      </c>
      <c r="C8" s="2197"/>
      <c r="D8" s="3234" t="s">
        <v>2172</v>
      </c>
      <c r="E8" s="2198" t="s">
        <v>3409</v>
      </c>
      <c r="F8" s="2199"/>
      <c r="G8" s="2438"/>
      <c r="H8" s="2438"/>
      <c r="I8" s="2438"/>
      <c r="J8" s="2241"/>
      <c r="K8" s="2396"/>
      <c r="L8" s="2395"/>
      <c r="M8" s="2395"/>
      <c r="N8" s="2241"/>
      <c r="O8" s="1668"/>
      <c r="P8" s="2241"/>
      <c r="Q8" s="2241"/>
      <c r="R8" s="2241"/>
    </row>
    <row r="9" spans="1:30" ht="13.8" thickBot="1">
      <c r="A9" s="2200" t="s">
        <v>2173</v>
      </c>
      <c r="B9" s="2201" t="s">
        <v>3409</v>
      </c>
      <c r="C9" s="2202"/>
      <c r="D9" s="3235"/>
      <c r="E9" s="2201"/>
      <c r="F9" s="2203"/>
      <c r="G9" s="2439"/>
      <c r="H9" s="2439"/>
      <c r="I9" s="2439"/>
      <c r="J9" s="2241"/>
      <c r="K9" s="2398"/>
      <c r="L9" s="2395"/>
      <c r="M9" s="2395"/>
      <c r="N9" s="2241"/>
      <c r="O9" s="1668"/>
      <c r="P9" s="2241"/>
      <c r="Q9" s="2241"/>
      <c r="R9" s="2241"/>
    </row>
    <row r="10" spans="1:30" ht="13.8" thickTop="1">
      <c r="A10" s="2204" t="s">
        <v>2174</v>
      </c>
      <c r="B10" s="2205" t="s">
        <v>3410</v>
      </c>
      <c r="C10" s="2206"/>
      <c r="D10" s="2190"/>
      <c r="E10" s="2207" t="s">
        <v>2175</v>
      </c>
      <c r="F10" s="3158" t="s">
        <v>3412</v>
      </c>
      <c r="G10" s="2440"/>
      <c r="H10" s="2441"/>
      <c r="I10" s="2442"/>
      <c r="J10" s="2241"/>
      <c r="K10" s="2398"/>
      <c r="L10" s="2395"/>
      <c r="M10" s="2395"/>
      <c r="N10" s="2241"/>
      <c r="O10" s="1668"/>
      <c r="P10" s="2241"/>
      <c r="Q10" s="2241"/>
      <c r="R10" s="2241"/>
    </row>
    <row r="11" spans="1:30" ht="25.8" customHeight="1">
      <c r="A11" s="2208" t="s">
        <v>2176</v>
      </c>
      <c r="B11" s="2209" t="s">
        <v>3411</v>
      </c>
      <c r="C11" s="2210" t="str">
        <f>信息!B2</f>
        <v>北京哲韵渠影科技有限公司</v>
      </c>
      <c r="D11" s="2211"/>
      <c r="E11" s="2179"/>
      <c r="F11" s="2179"/>
      <c r="G11" s="2179"/>
      <c r="H11" s="2179"/>
      <c r="I11" s="2179"/>
      <c r="J11" s="2797"/>
      <c r="K11" s="2395"/>
      <c r="L11" s="2395"/>
      <c r="M11" s="2395"/>
      <c r="N11" s="2241"/>
      <c r="O11" s="1668"/>
      <c r="P11" s="2241"/>
      <c r="Q11" s="2241"/>
      <c r="R11" s="2241"/>
    </row>
    <row r="12" spans="1:30">
      <c r="A12" s="2212" t="s">
        <v>2177</v>
      </c>
      <c r="B12" s="315" t="s">
        <v>2178</v>
      </c>
      <c r="C12" s="2213" t="s">
        <v>2179</v>
      </c>
      <c r="D12" s="2213" t="s">
        <v>2180</v>
      </c>
      <c r="E12" s="2213" t="s">
        <v>2181</v>
      </c>
      <c r="F12" s="2213" t="s">
        <v>2182</v>
      </c>
      <c r="G12" s="2213" t="s">
        <v>2183</v>
      </c>
      <c r="H12" s="2213" t="s">
        <v>2184</v>
      </c>
      <c r="I12" s="2796" t="s">
        <v>2571</v>
      </c>
      <c r="J12" s="2798"/>
      <c r="K12" s="2395"/>
      <c r="L12" s="2395"/>
      <c r="M12" s="2241"/>
      <c r="N12" s="1668"/>
      <c r="O12" s="2241"/>
      <c r="P12" s="2241"/>
      <c r="Q12" s="2241"/>
      <c r="AD12" s="1616"/>
    </row>
    <row r="13" spans="1:30">
      <c r="A13" s="3117" t="s">
        <v>3327</v>
      </c>
      <c r="B13" s="2214" t="s">
        <v>2185</v>
      </c>
      <c r="C13" s="803"/>
      <c r="D13" s="803">
        <f>信息!J2</f>
        <v>55458</v>
      </c>
      <c r="E13" s="3165" t="s">
        <v>3442</v>
      </c>
      <c r="F13" s="803"/>
      <c r="G13" s="803"/>
      <c r="H13" s="803"/>
      <c r="I13" s="803"/>
      <c r="J13" s="2798"/>
      <c r="K13" s="2395"/>
      <c r="L13" s="2395"/>
      <c r="M13" s="2241"/>
      <c r="N13" s="1668"/>
      <c r="O13" s="2241"/>
      <c r="P13" s="2241"/>
      <c r="Q13" s="2241"/>
      <c r="AD13" s="1616"/>
    </row>
    <row r="14" spans="1:30">
      <c r="A14" s="1016"/>
      <c r="B14" s="2214" t="s">
        <v>2186</v>
      </c>
      <c r="C14" s="2215"/>
      <c r="D14" s="2215"/>
      <c r="E14" s="2215"/>
      <c r="F14" s="2215"/>
      <c r="G14" s="2215"/>
      <c r="H14" s="2215"/>
      <c r="I14" s="2215"/>
      <c r="J14" s="2799"/>
      <c r="K14" s="2395"/>
      <c r="L14" s="2395"/>
      <c r="M14" s="2241"/>
      <c r="N14" s="1668"/>
      <c r="O14" s="2241"/>
      <c r="P14" s="2241"/>
      <c r="Q14" s="2241"/>
      <c r="AD14" s="1616"/>
    </row>
    <row r="15" spans="1:30">
      <c r="A15" s="312"/>
      <c r="B15" s="2216" t="s">
        <v>2187</v>
      </c>
      <c r="C15" s="2217" t="str">
        <f>IF(A13="出让",IF(C13="","",ROUNDDOWN(MIN((C13-$D$3)/365,C14),2)),C14)</f>
        <v/>
      </c>
      <c r="D15" s="2217">
        <f>IF(A13="出让",IF(D13="","",ROUNDDOWN(MIN((D13-$D$3)/365,D14),2)),D14)</f>
        <v>26.47</v>
      </c>
      <c r="E15" s="2217" t="e">
        <f>IF(A13="出让",IF(E13="","",ROUNDDOWN(MIN((E13-$D$3)/365,E14),2)),E14)</f>
        <v>#VALUE!</v>
      </c>
      <c r="F15" s="2217" t="str">
        <f>IF(A13="出让",IF(F13="","",ROUNDDOWN(MIN((F13-$D$3)/365,F14),2)),F14)</f>
        <v/>
      </c>
      <c r="G15" s="2217" t="str">
        <f>IF(A13="出让",IF(G13="","",ROUNDDOWN(MIN((G13-$D$3)/365,G14),2)),G14)</f>
        <v/>
      </c>
      <c r="H15" s="2217" t="str">
        <f>IF(A13="出让",IF(H13="","",ROUNDDOWN(MIN((H13-$D$3)/365,H14),2)),H14)</f>
        <v/>
      </c>
      <c r="I15" s="2217" t="str">
        <f>IF(A13="出让",IF(I13="","",ROUNDDOWN(MIN((I13-$D$3)/365,I14),2)),I14)</f>
        <v/>
      </c>
      <c r="J15" s="2800"/>
      <c r="K15" s="1668"/>
      <c r="L15" s="1668"/>
      <c r="M15" s="2241"/>
      <c r="N15" s="1668"/>
      <c r="O15" s="2241"/>
      <c r="P15" s="2241"/>
      <c r="Q15" s="2241"/>
      <c r="AD15" s="1616"/>
    </row>
    <row r="16" spans="1:30">
      <c r="A16" s="2207" t="s">
        <v>2188</v>
      </c>
      <c r="B16" s="3241"/>
      <c r="C16" s="3242"/>
      <c r="D16" s="3243"/>
      <c r="E16" s="2218" t="s">
        <v>2189</v>
      </c>
      <c r="F16" s="3244"/>
      <c r="G16" s="3245"/>
      <c r="H16" s="3245"/>
      <c r="I16" s="3246"/>
      <c r="J16" s="2241"/>
      <c r="K16" s="2399"/>
      <c r="L16" s="1668"/>
      <c r="M16" s="1668"/>
      <c r="N16" s="2241"/>
      <c r="O16" s="1668"/>
      <c r="P16" s="2241"/>
      <c r="Q16" s="2241"/>
      <c r="R16" s="2241"/>
    </row>
    <row r="17" spans="1:28">
      <c r="A17" s="305" t="s">
        <v>2190</v>
      </c>
      <c r="B17" s="294" t="s">
        <v>2191</v>
      </c>
      <c r="C17" s="8">
        <f>'数据-汇总表'!E3</f>
        <v>245.74</v>
      </c>
      <c r="D17" s="1254" t="s">
        <v>2192</v>
      </c>
      <c r="E17" s="3247" t="s">
        <v>2193</v>
      </c>
      <c r="F17" s="3248"/>
      <c r="G17" s="3248"/>
      <c r="H17" s="3248"/>
      <c r="I17" s="3249"/>
      <c r="J17" s="2241"/>
      <c r="K17" s="2400"/>
      <c r="L17" s="1668"/>
      <c r="M17" s="1668"/>
      <c r="N17" s="2241"/>
      <c r="O17" s="1668"/>
      <c r="P17" s="2241"/>
      <c r="Q17" s="2241"/>
      <c r="R17" s="2241"/>
      <c r="S17" s="2241"/>
      <c r="T17" s="2241"/>
      <c r="U17" s="2241"/>
      <c r="V17" s="2241"/>
    </row>
    <row r="18" spans="1:28" ht="24.6" thickBot="1">
      <c r="A18" s="2219" t="s">
        <v>2194</v>
      </c>
      <c r="B18" s="1025" t="s">
        <v>2195</v>
      </c>
      <c r="C18" s="2220">
        <f>'数据-汇总表'!D3</f>
        <v>0</v>
      </c>
      <c r="D18" s="1027" t="s">
        <v>2196</v>
      </c>
      <c r="E18" s="3250" t="s">
        <v>2197</v>
      </c>
      <c r="F18" s="3251"/>
      <c r="G18" s="3251"/>
      <c r="H18" s="3251"/>
      <c r="I18" s="3252"/>
      <c r="J18" s="2241"/>
      <c r="K18" s="2400"/>
      <c r="L18" s="1668"/>
      <c r="M18" s="1668"/>
      <c r="N18" s="2241"/>
      <c r="O18" s="1668"/>
      <c r="P18" s="2241"/>
      <c r="Q18" s="2241"/>
      <c r="R18" s="2241"/>
      <c r="S18" s="2241"/>
      <c r="T18" s="2241"/>
      <c r="U18" s="2241"/>
      <c r="V18" s="2241"/>
    </row>
    <row r="19" spans="1:28" ht="54" thickTop="1" thickBot="1">
      <c r="A19" s="319" t="s">
        <v>1055</v>
      </c>
      <c r="B19" s="299" t="s">
        <v>2198</v>
      </c>
      <c r="C19" s="1453" t="s">
        <v>3433</v>
      </c>
      <c r="D19" s="1454" t="s">
        <v>2199</v>
      </c>
      <c r="E19" s="1455" t="s">
        <v>3434</v>
      </c>
      <c r="F19" s="1456" t="str">
        <f>IF(AND(C19="是",E19="否"),"是否提供他项权证或相关说明","")</f>
        <v>是否提供他项权证或相关说明</v>
      </c>
      <c r="G19" s="1457" t="s">
        <v>3434</v>
      </c>
      <c r="H19" s="2438"/>
      <c r="I19" s="2438"/>
      <c r="J19" s="2241"/>
      <c r="K19" s="2398"/>
      <c r="L19" s="2395"/>
      <c r="M19" s="2395"/>
      <c r="N19" s="2241"/>
      <c r="O19" s="1668"/>
      <c r="P19" s="2241"/>
      <c r="Q19" s="2241"/>
      <c r="R19" s="2241"/>
      <c r="S19" s="2241"/>
      <c r="T19" s="2241"/>
      <c r="U19" s="2241"/>
      <c r="V19" s="2241"/>
    </row>
    <row r="20" spans="1:28">
      <c r="A20" s="2413" t="s">
        <v>2200</v>
      </c>
      <c r="B20" s="3237" t="s">
        <v>2201</v>
      </c>
      <c r="C20" s="3238"/>
      <c r="D20" s="3239" t="s">
        <v>2202</v>
      </c>
      <c r="E20" s="3240"/>
      <c r="F20" s="2426" t="s">
        <v>1056</v>
      </c>
      <c r="G20" s="2438"/>
      <c r="H20" s="2438"/>
      <c r="I20" s="2438"/>
      <c r="J20" s="2241"/>
      <c r="K20" s="3236" t="s">
        <v>2203</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1"/>
      <c r="N20" s="2179"/>
      <c r="O20" s="1464"/>
      <c r="P20" s="2179"/>
      <c r="Q20" s="2179"/>
      <c r="R20" s="2179"/>
      <c r="S20" s="2179"/>
      <c r="T20" s="2179"/>
      <c r="U20" s="2179"/>
      <c r="V20" s="2179"/>
      <c r="W20" s="1616"/>
      <c r="X20" s="1616"/>
      <c r="Y20" s="1616"/>
      <c r="Z20" s="1616"/>
      <c r="AA20" s="1616"/>
      <c r="AB20" s="1616"/>
    </row>
    <row r="21" spans="1:28" ht="36.6" thickBot="1">
      <c r="A21" s="2413"/>
      <c r="B21" s="2414" t="s">
        <v>2204</v>
      </c>
      <c r="C21" s="2292" t="s">
        <v>1057</v>
      </c>
      <c r="D21" s="1458" t="s">
        <v>2205</v>
      </c>
      <c r="E21" s="2415" t="s">
        <v>1057</v>
      </c>
      <c r="F21" s="2427"/>
      <c r="G21" s="2438"/>
      <c r="H21" s="2438"/>
      <c r="I21" s="2438"/>
      <c r="J21" s="2241"/>
      <c r="K21" s="323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4"/>
      <c r="P21" s="2179"/>
      <c r="Q21" s="2179"/>
      <c r="R21" s="2179"/>
      <c r="S21" s="2179"/>
      <c r="T21" s="2179"/>
      <c r="U21" s="2179"/>
      <c r="V21" s="2179"/>
      <c r="W21" s="1616"/>
      <c r="X21" s="1616"/>
      <c r="Y21" s="1616"/>
      <c r="Z21" s="1616"/>
      <c r="AA21" s="1616"/>
      <c r="AB21" s="1616"/>
    </row>
    <row r="22" spans="1:28" ht="36.6" thickBot="1">
      <c r="A22" s="2413"/>
      <c r="B22" s="2416" t="s">
        <v>2206</v>
      </c>
      <c r="C22" s="2292" t="s">
        <v>1058</v>
      </c>
      <c r="D22" s="2438"/>
      <c r="E22" s="2438"/>
      <c r="F22" s="2438"/>
      <c r="G22" s="2438"/>
      <c r="H22" s="2438"/>
      <c r="I22" s="2438"/>
      <c r="J22" s="2241"/>
      <c r="K22" s="323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4"/>
      <c r="P22" s="2179"/>
      <c r="Q22" s="2179"/>
      <c r="R22" s="2179"/>
      <c r="S22" s="2179"/>
      <c r="T22" s="2179"/>
      <c r="U22" s="2179"/>
      <c r="V22" s="2179"/>
      <c r="W22" s="1616"/>
      <c r="X22" s="1616"/>
      <c r="Y22" s="1616"/>
      <c r="Z22" s="1616"/>
      <c r="AA22" s="1616"/>
      <c r="AB22" s="1616"/>
    </row>
    <row r="23" spans="1:28">
      <c r="A23" s="2417" t="s">
        <v>2207</v>
      </c>
      <c r="B23" s="2289" t="s">
        <v>2208</v>
      </c>
      <c r="C23" s="2418"/>
      <c r="D23" s="2419" t="s">
        <v>2208</v>
      </c>
      <c r="E23" s="2420"/>
      <c r="F23" s="2438"/>
      <c r="G23" s="2438"/>
      <c r="H23" s="2438"/>
      <c r="I23" s="2438"/>
      <c r="J23" s="2241"/>
      <c r="K23" s="2397"/>
      <c r="L23" s="121"/>
      <c r="M23" s="2395"/>
      <c r="N23" s="2241"/>
      <c r="O23" s="1668"/>
      <c r="P23" s="2241"/>
      <c r="Q23" s="2241"/>
      <c r="R23" s="2241"/>
      <c r="S23" s="2241"/>
      <c r="T23" s="2241"/>
      <c r="U23" s="2241"/>
      <c r="V23" s="2241"/>
    </row>
    <row r="24" spans="1:28">
      <c r="A24" s="2417"/>
      <c r="B24" s="2289" t="s">
        <v>1059</v>
      </c>
      <c r="C24" s="2267"/>
      <c r="D24" s="2417" t="s">
        <v>1059</v>
      </c>
      <c r="E24" s="2421"/>
      <c r="F24" s="2438"/>
      <c r="G24" s="2438"/>
      <c r="H24" s="2438"/>
      <c r="I24" s="2438"/>
      <c r="J24" s="2241"/>
      <c r="K24" s="2397"/>
      <c r="L24" s="121"/>
      <c r="M24" s="2395"/>
      <c r="N24" s="2241"/>
      <c r="O24" s="1668"/>
      <c r="P24" s="2241"/>
      <c r="Q24" s="2241"/>
      <c r="R24" s="2241"/>
      <c r="S24" s="2241"/>
      <c r="T24" s="2241"/>
      <c r="U24" s="2241"/>
      <c r="V24" s="2241"/>
    </row>
    <row r="25" spans="1:28">
      <c r="A25" s="2417"/>
      <c r="B25" s="2289" t="s">
        <v>1060</v>
      </c>
      <c r="C25" s="2267"/>
      <c r="D25" s="2417" t="s">
        <v>1060</v>
      </c>
      <c r="E25" s="2421"/>
      <c r="F25" s="2438"/>
      <c r="G25" s="2438"/>
      <c r="H25" s="2438"/>
      <c r="I25" s="2438"/>
      <c r="J25" s="2241"/>
      <c r="K25" s="2398"/>
      <c r="L25" s="2395"/>
      <c r="M25" s="2395"/>
      <c r="N25" s="2241"/>
      <c r="O25" s="1668"/>
      <c r="P25" s="2241"/>
      <c r="Q25" s="2241"/>
      <c r="R25" s="2241"/>
      <c r="S25" s="2241"/>
      <c r="T25" s="2241"/>
      <c r="U25" s="2241"/>
      <c r="V25" s="2241"/>
    </row>
    <row r="26" spans="1:28" ht="13.8" thickBot="1">
      <c r="A26" s="2422"/>
      <c r="B26" s="2423" t="s">
        <v>1061</v>
      </c>
      <c r="C26" s="2424"/>
      <c r="D26" s="2422" t="s">
        <v>1061</v>
      </c>
      <c r="E26" s="2425"/>
      <c r="F26" s="2439"/>
      <c r="G26" s="2439"/>
      <c r="H26" s="2439"/>
      <c r="I26" s="2439"/>
      <c r="J26" s="2241"/>
      <c r="K26" s="2398"/>
      <c r="L26" s="2395"/>
      <c r="M26" s="2395"/>
      <c r="N26" s="2241"/>
      <c r="O26" s="1668"/>
      <c r="P26" s="2241"/>
      <c r="Q26" s="2241"/>
      <c r="R26" s="2241"/>
      <c r="S26" s="2241"/>
      <c r="T26" s="2241"/>
      <c r="U26" s="2241"/>
      <c r="V26" s="2241"/>
    </row>
    <row r="27" spans="1:28" ht="13.8" thickTop="1">
      <c r="A27" s="3225" t="s">
        <v>2209</v>
      </c>
      <c r="B27" s="312" t="s">
        <v>2210</v>
      </c>
      <c r="C27" s="2221" t="s">
        <v>3435</v>
      </c>
      <c r="D27" s="2222"/>
      <c r="E27" s="2438"/>
      <c r="F27" s="2438"/>
      <c r="G27" s="2438"/>
      <c r="H27" s="2438"/>
      <c r="I27" s="2438"/>
      <c r="J27" s="2241"/>
      <c r="K27" s="2399"/>
      <c r="L27" s="1668"/>
      <c r="M27" s="1668"/>
      <c r="N27" s="2241"/>
      <c r="O27" s="1668"/>
      <c r="P27" s="2241"/>
      <c r="Q27" s="2241"/>
      <c r="R27" s="2241"/>
      <c r="S27" s="2241"/>
      <c r="T27" s="2241"/>
      <c r="U27" s="2241"/>
      <c r="V27" s="2241"/>
    </row>
    <row r="28" spans="1:28">
      <c r="A28" s="3225"/>
      <c r="B28" s="294" t="s">
        <v>2211</v>
      </c>
      <c r="C28" s="2223"/>
      <c r="D28" s="2224"/>
      <c r="E28" s="2438"/>
      <c r="F28" s="2438"/>
      <c r="G28" s="2438"/>
      <c r="H28" s="2438"/>
      <c r="I28" s="2438"/>
      <c r="J28" s="2241"/>
      <c r="K28" s="2398"/>
      <c r="L28" s="2395"/>
      <c r="M28" s="2395"/>
      <c r="N28" s="2241"/>
      <c r="O28" s="1668"/>
      <c r="P28" s="2241"/>
      <c r="Q28" s="2241"/>
      <c r="R28" s="2241"/>
      <c r="S28" s="2241"/>
      <c r="T28" s="2241"/>
      <c r="U28" s="2241"/>
      <c r="V28" s="2241"/>
    </row>
    <row r="29" spans="1:28">
      <c r="A29" s="3225"/>
      <c r="B29" s="294" t="s">
        <v>2212</v>
      </c>
      <c r="C29" s="2225"/>
      <c r="D29" s="2226"/>
      <c r="E29" s="2438"/>
      <c r="F29" s="2438"/>
      <c r="G29" s="2438"/>
      <c r="H29" s="2438"/>
      <c r="I29" s="2438"/>
      <c r="J29" s="2241"/>
      <c r="K29" s="2398"/>
      <c r="L29" s="2395"/>
      <c r="M29" s="2395"/>
      <c r="N29" s="2241"/>
      <c r="O29" s="1668"/>
      <c r="P29" s="2241"/>
      <c r="Q29" s="2241"/>
      <c r="R29" s="2241"/>
      <c r="S29" s="2241"/>
      <c r="T29" s="2241"/>
      <c r="U29" s="2241"/>
      <c r="V29" s="2241"/>
    </row>
    <row r="30" spans="1:28">
      <c r="A30" s="3226"/>
      <c r="B30" s="294" t="s">
        <v>2213</v>
      </c>
      <c r="C30" s="3227"/>
      <c r="D30" s="3228"/>
      <c r="E30" s="2438"/>
      <c r="F30" s="2438"/>
      <c r="G30" s="2438"/>
      <c r="H30" s="2438"/>
      <c r="I30" s="2438"/>
      <c r="J30" s="2241"/>
      <c r="K30" s="2398"/>
      <c r="L30" s="2395"/>
      <c r="M30" s="2395"/>
      <c r="N30" s="2241"/>
      <c r="O30" s="1668"/>
      <c r="P30" s="2241"/>
      <c r="Q30" s="2241"/>
      <c r="R30" s="2241"/>
      <c r="S30" s="2241"/>
      <c r="T30" s="2241"/>
      <c r="U30" s="2241"/>
      <c r="V30" s="2241"/>
    </row>
    <row r="31" spans="1:28">
      <c r="A31" s="3229" t="s">
        <v>2214</v>
      </c>
      <c r="B31" s="2227" t="s">
        <v>3436</v>
      </c>
      <c r="C31" s="12" t="str">
        <f>IF(B31="现房","成新及维护状况正常否",IF(B31="在建","工程状态是否正常",IF(B31="土地","是否闲置","-")))</f>
        <v>成新及维护状况正常否</v>
      </c>
      <c r="D31" s="1279"/>
      <c r="E31" s="2228"/>
      <c r="F31" s="2438"/>
      <c r="G31" s="2438"/>
      <c r="H31" s="2438"/>
      <c r="I31" s="2438"/>
      <c r="J31" s="2241"/>
      <c r="K31" s="2397"/>
      <c r="L31" s="2395"/>
      <c r="M31" s="2395"/>
      <c r="N31" s="2241"/>
      <c r="O31" s="1668"/>
      <c r="P31" s="2241"/>
      <c r="Q31" s="2241"/>
      <c r="R31" s="2241"/>
      <c r="S31" s="2241"/>
      <c r="T31" s="2241"/>
      <c r="U31" s="2241"/>
      <c r="V31" s="2241"/>
    </row>
    <row r="32" spans="1:28">
      <c r="A32" s="3230"/>
      <c r="B32" s="2227"/>
      <c r="C32" s="12" t="str">
        <f>IF(B32="现房","成新及维护状况是否正常",IF(B32="在建","工程状态是否正常",IF(B32="土地","是否闲置","-")))</f>
        <v>-</v>
      </c>
      <c r="D32" s="1279"/>
      <c r="E32" s="2228"/>
      <c r="F32" s="2438"/>
      <c r="G32" s="2438"/>
      <c r="H32" s="2438"/>
      <c r="I32" s="2438"/>
      <c r="J32" s="2241"/>
      <c r="K32" s="2398"/>
      <c r="L32" s="2395"/>
      <c r="M32" s="2395"/>
      <c r="N32" s="2241"/>
      <c r="O32" s="1668"/>
      <c r="P32" s="2241"/>
      <c r="Q32" s="2241"/>
      <c r="R32" s="2241"/>
      <c r="S32" s="2241"/>
      <c r="T32" s="2241"/>
      <c r="U32" s="2241"/>
      <c r="V32" s="2241"/>
    </row>
    <row r="33" spans="1:30">
      <c r="A33" s="3230"/>
      <c r="B33" s="2230"/>
      <c r="C33" s="1476" t="str">
        <f>IF(B33="现房","成新及维护状况是否正常",IF(B33="在建","工程状态是否正常",IF(B33="土地","是否闲置","-")))</f>
        <v>-</v>
      </c>
      <c r="D33" s="1272"/>
      <c r="E33" s="2231"/>
      <c r="F33" s="2438"/>
      <c r="G33" s="2438"/>
      <c r="H33" s="2438"/>
      <c r="I33" s="2438"/>
      <c r="J33" s="2241"/>
      <c r="K33" s="2398"/>
      <c r="L33" s="2395"/>
      <c r="M33" s="2395"/>
      <c r="N33" s="2241"/>
      <c r="O33" s="1668"/>
      <c r="P33" s="2241"/>
      <c r="Q33" s="2241"/>
      <c r="R33" s="2241"/>
      <c r="S33" s="2241"/>
      <c r="T33" s="2241"/>
      <c r="U33" s="2241"/>
      <c r="V33" s="2241"/>
    </row>
    <row r="34" spans="1:30">
      <c r="A34" s="294" t="s">
        <v>2215</v>
      </c>
      <c r="B34" s="1868"/>
      <c r="C34" s="1868"/>
      <c r="D34" s="1868"/>
      <c r="E34" s="1868"/>
      <c r="F34" s="1868"/>
      <c r="G34" s="1868"/>
      <c r="H34" s="1868"/>
      <c r="I34" s="2438"/>
      <c r="J34" s="2241"/>
      <c r="K34" s="8">
        <f>COUNTIF(B34:H34,"——")</f>
        <v>0</v>
      </c>
      <c r="L34" s="315" t="s">
        <v>2216</v>
      </c>
      <c r="M34" s="315" t="s">
        <v>2217</v>
      </c>
      <c r="N34" s="315" t="s">
        <v>2218</v>
      </c>
      <c r="O34" s="315" t="s">
        <v>2219</v>
      </c>
      <c r="P34" s="315" t="s">
        <v>2220</v>
      </c>
      <c r="Q34" s="315" t="s">
        <v>2221</v>
      </c>
      <c r="R34" s="315" t="s">
        <v>2222</v>
      </c>
      <c r="S34" s="3224" t="s">
        <v>2223</v>
      </c>
      <c r="T34" s="315" t="str">
        <f>NUMBERSTRING(7-K34,1)&amp;"通"</f>
        <v>七通</v>
      </c>
      <c r="U34" s="2241"/>
      <c r="V34" s="2241"/>
    </row>
    <row r="35" spans="1:30">
      <c r="A35" s="2232"/>
      <c r="B35" s="3224" t="s">
        <v>2224</v>
      </c>
      <c r="C35" s="3224"/>
      <c r="D35" s="3224"/>
      <c r="E35" s="3224"/>
      <c r="F35" s="8">
        <f>C10</f>
        <v>0</v>
      </c>
      <c r="G35" s="2438"/>
      <c r="H35" s="2438"/>
      <c r="I35" s="2438"/>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4"/>
      <c r="T35" s="138" t="str">
        <f>IF(T34="一通",L35,IF(T34="二通",M35,IF(T34="三通",N35,IF(T34="四通",O35,IF(T34="五通",P35,IF(T34="六通",Q35,R35))))))</f>
        <v>、、、、、、</v>
      </c>
      <c r="U35" s="2241"/>
      <c r="V35" s="2241"/>
    </row>
    <row r="36" spans="1:30">
      <c r="A36" s="2180"/>
      <c r="B36" s="8" t="s">
        <v>2180</v>
      </c>
      <c r="C36" s="8" t="s">
        <v>2181</v>
      </c>
      <c r="D36" s="8" t="s">
        <v>2179</v>
      </c>
      <c r="E36" s="8" t="s">
        <v>2184</v>
      </c>
      <c r="F36" s="2796" t="s">
        <v>2574</v>
      </c>
      <c r="G36" s="2438"/>
      <c r="H36" s="2438"/>
      <c r="I36" s="2438"/>
      <c r="J36" s="2241"/>
      <c r="K36" s="2398"/>
      <c r="L36" s="2395"/>
      <c r="M36" s="2395"/>
      <c r="N36" s="2241"/>
      <c r="O36" s="1668"/>
      <c r="P36" s="2241"/>
      <c r="Q36" s="2241"/>
      <c r="R36" s="2241"/>
      <c r="S36" s="2241"/>
      <c r="T36" s="2241"/>
      <c r="U36" s="2241"/>
      <c r="V36" s="2241"/>
    </row>
    <row r="37" spans="1:30">
      <c r="A37" s="2411" t="s">
        <v>2225</v>
      </c>
      <c r="B37" s="2233" t="s">
        <v>29</v>
      </c>
      <c r="C37" s="2233"/>
      <c r="D37" s="2233"/>
      <c r="E37" s="2233"/>
      <c r="F37" s="2233"/>
      <c r="G37" s="2438"/>
      <c r="H37" s="2438"/>
      <c r="I37" s="2438"/>
      <c r="J37" s="2241"/>
      <c r="K37" s="2398"/>
      <c r="L37" s="2395"/>
      <c r="M37" s="2395"/>
      <c r="N37" s="2241"/>
      <c r="O37" s="1668"/>
      <c r="P37" s="2241"/>
      <c r="Q37" s="2241"/>
      <c r="R37" s="2241"/>
      <c r="S37" s="2241"/>
      <c r="T37" s="2241"/>
      <c r="U37" s="2241"/>
      <c r="V37" s="2241"/>
    </row>
    <row r="38" spans="1:30" ht="13.8" thickBot="1">
      <c r="A38" s="2412" t="s">
        <v>2226</v>
      </c>
      <c r="B38" s="2234" t="s">
        <v>179</v>
      </c>
      <c r="C38" s="2234"/>
      <c r="D38" s="2234"/>
      <c r="E38" s="2234"/>
      <c r="F38" s="2234"/>
      <c r="G38" s="2439"/>
      <c r="H38" s="2439"/>
      <c r="I38" s="2439"/>
      <c r="J38" s="2241"/>
      <c r="K38" s="2398"/>
      <c r="L38" s="2395"/>
      <c r="M38" s="2395"/>
      <c r="N38" s="2241"/>
      <c r="O38" s="1668"/>
      <c r="P38" s="2241"/>
      <c r="Q38" s="2241"/>
      <c r="R38" s="2241"/>
      <c r="S38" s="2241"/>
      <c r="T38" s="2241"/>
      <c r="U38" s="2241"/>
      <c r="V38" s="2241"/>
    </row>
    <row r="39" spans="1:30" s="2237" customFormat="1" ht="14.4" thickTop="1" thickBot="1">
      <c r="A39" s="2235" t="s">
        <v>2227</v>
      </c>
      <c r="B39" s="2236"/>
      <c r="C39" s="2236"/>
      <c r="D39" s="2236"/>
      <c r="E39" s="2236"/>
      <c r="F39" s="2236"/>
      <c r="G39" s="2236"/>
      <c r="H39" s="2236"/>
      <c r="I39" s="2236"/>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79"/>
      <c r="B40" s="2179"/>
      <c r="C40" s="2179"/>
      <c r="D40" s="2179"/>
      <c r="E40" s="2179"/>
      <c r="F40" s="2179"/>
      <c r="G40" s="2179"/>
      <c r="H40" s="2179"/>
      <c r="I40" s="1464"/>
      <c r="J40" s="2241"/>
      <c r="K40" s="2397"/>
      <c r="L40" s="1668"/>
      <c r="M40" s="1668"/>
      <c r="N40" s="2241"/>
      <c r="O40" s="1668"/>
      <c r="P40" s="2241"/>
      <c r="Q40" s="2241"/>
      <c r="R40" s="2241"/>
      <c r="S40" s="2241"/>
      <c r="T40" s="2241"/>
      <c r="U40" s="2241"/>
      <c r="V40" s="2241"/>
    </row>
    <row r="41" spans="1:30">
      <c r="A41" s="2238" t="s">
        <v>2228</v>
      </c>
      <c r="B41" s="1625"/>
      <c r="C41" s="1279"/>
      <c r="D41" s="2179"/>
      <c r="E41" s="2179"/>
      <c r="F41" s="2179"/>
      <c r="G41" s="2179"/>
      <c r="H41" s="2179"/>
      <c r="I41" s="1464"/>
      <c r="J41" s="2241"/>
      <c r="K41" s="2398"/>
      <c r="L41" s="2395"/>
      <c r="M41" s="2395"/>
      <c r="N41" s="2241"/>
      <c r="O41" s="1668"/>
      <c r="P41" s="2241"/>
      <c r="Q41" s="2241"/>
      <c r="R41" s="2241"/>
      <c r="S41" s="2241"/>
      <c r="T41" s="2241"/>
      <c r="U41" s="2241"/>
      <c r="V41" s="2241"/>
    </row>
    <row r="42" spans="1:30" ht="25.2">
      <c r="A42" s="315" t="s">
        <v>2229</v>
      </c>
      <c r="B42" s="8" t="s">
        <v>2230</v>
      </c>
      <c r="C42" s="8" t="s">
        <v>2231</v>
      </c>
      <c r="D42" s="8" t="s">
        <v>2232</v>
      </c>
      <c r="E42" s="8" t="s">
        <v>2233</v>
      </c>
      <c r="F42" s="8" t="s">
        <v>2234</v>
      </c>
      <c r="G42" s="8" t="s">
        <v>2235</v>
      </c>
      <c r="H42" s="8" t="s">
        <v>2236</v>
      </c>
      <c r="I42" s="8" t="s">
        <v>2237</v>
      </c>
      <c r="J42" s="2407" t="s">
        <v>2238</v>
      </c>
      <c r="K42" s="2408" t="s">
        <v>2239</v>
      </c>
      <c r="L42" s="2408" t="s">
        <v>2240</v>
      </c>
      <c r="M42" s="2408" t="s">
        <v>2241</v>
      </c>
      <c r="N42" s="2401" t="s">
        <v>2242</v>
      </c>
      <c r="O42" s="2401" t="s">
        <v>2243</v>
      </c>
      <c r="P42" s="2401" t="s">
        <v>2244</v>
      </c>
      <c r="Q42" s="2402" t="s">
        <v>2245</v>
      </c>
      <c r="R42" s="2402" t="s">
        <v>2246</v>
      </c>
      <c r="S42" s="2241"/>
      <c r="T42" s="2241"/>
      <c r="U42" s="2241"/>
      <c r="V42" s="2241"/>
    </row>
    <row r="43" spans="1:30" s="1614" customFormat="1">
      <c r="A43" s="1460"/>
      <c r="B43" s="628"/>
      <c r="C43" s="628"/>
      <c r="D43" s="628"/>
      <c r="E43" s="628"/>
      <c r="F43" s="628"/>
      <c r="G43" s="628"/>
      <c r="H43" s="628"/>
      <c r="I43" s="628"/>
      <c r="J43" s="2239"/>
      <c r="K43" s="2240"/>
      <c r="L43" s="2240"/>
      <c r="M43" s="628"/>
      <c r="N43" s="628"/>
      <c r="O43" s="628"/>
      <c r="P43" s="628"/>
      <c r="Q43" s="628"/>
      <c r="R43" s="628"/>
      <c r="S43" s="2241"/>
      <c r="T43" s="2241"/>
      <c r="U43" s="2241"/>
      <c r="V43" s="2241"/>
    </row>
    <row r="44" spans="1:30" s="1614" customFormat="1">
      <c r="A44" s="1460"/>
      <c r="B44" s="1460"/>
      <c r="C44" s="628"/>
      <c r="D44" s="628"/>
      <c r="E44" s="628"/>
      <c r="F44" s="628"/>
      <c r="G44" s="628"/>
      <c r="H44" s="628"/>
      <c r="I44" s="628"/>
      <c r="J44" s="2239"/>
      <c r="K44" s="2240"/>
      <c r="L44" s="2240"/>
      <c r="M44" s="628"/>
      <c r="N44" s="628"/>
      <c r="O44" s="628"/>
      <c r="P44" s="628"/>
      <c r="Q44" s="628"/>
      <c r="R44" s="628"/>
      <c r="S44" s="2241"/>
      <c r="T44" s="2241"/>
      <c r="U44" s="2241"/>
      <c r="V44" s="2241"/>
    </row>
    <row r="45" spans="1:30" s="1614" customFormat="1">
      <c r="A45" s="1460"/>
      <c r="B45" s="1460"/>
      <c r="C45" s="628"/>
      <c r="D45" s="628"/>
      <c r="E45" s="628"/>
      <c r="F45" s="628"/>
      <c r="G45" s="628"/>
      <c r="H45" s="628"/>
      <c r="I45" s="628"/>
      <c r="J45" s="2239"/>
      <c r="K45" s="2240"/>
      <c r="L45" s="2240"/>
      <c r="M45" s="628"/>
      <c r="N45" s="628"/>
      <c r="O45" s="628"/>
      <c r="P45" s="628"/>
      <c r="Q45" s="628"/>
      <c r="R45" s="628"/>
      <c r="S45" s="2241"/>
      <c r="T45" s="2241"/>
      <c r="U45" s="2241"/>
      <c r="V45" s="2241"/>
    </row>
    <row r="46" spans="1:30" s="1614" customFormat="1">
      <c r="A46" s="1460"/>
      <c r="B46" s="1460"/>
      <c r="C46" s="628"/>
      <c r="D46" s="628"/>
      <c r="E46" s="628"/>
      <c r="F46" s="628"/>
      <c r="G46" s="628"/>
      <c r="H46" s="628"/>
      <c r="I46" s="628"/>
      <c r="J46" s="2239"/>
      <c r="K46" s="2240"/>
      <c r="L46" s="2240"/>
      <c r="M46" s="628"/>
      <c r="N46" s="628"/>
      <c r="O46" s="628"/>
      <c r="P46" s="628"/>
      <c r="Q46" s="628"/>
      <c r="R46" s="628"/>
      <c r="S46" s="2241"/>
      <c r="T46" s="2241"/>
      <c r="U46" s="2241"/>
      <c r="V46" s="2241"/>
    </row>
    <row r="47" spans="1:30" s="1614" customFormat="1">
      <c r="A47" s="1460"/>
      <c r="B47" s="1460"/>
      <c r="C47" s="628"/>
      <c r="D47" s="628"/>
      <c r="E47" s="628"/>
      <c r="F47" s="628"/>
      <c r="G47" s="628"/>
      <c r="H47" s="628"/>
      <c r="I47" s="628"/>
      <c r="J47" s="2239"/>
      <c r="K47" s="2240"/>
      <c r="L47" s="2240"/>
      <c r="M47" s="628"/>
      <c r="N47" s="628"/>
      <c r="O47" s="628"/>
      <c r="P47" s="628"/>
      <c r="Q47" s="628"/>
      <c r="R47" s="628"/>
      <c r="S47" s="2241"/>
      <c r="T47" s="2241"/>
      <c r="U47" s="2241"/>
      <c r="V47" s="2241"/>
    </row>
    <row r="48" spans="1:30" s="1614" customFormat="1">
      <c r="A48" s="1460"/>
      <c r="B48" s="1460"/>
      <c r="C48" s="628"/>
      <c r="D48" s="628"/>
      <c r="E48" s="628"/>
      <c r="F48" s="628"/>
      <c r="G48" s="628"/>
      <c r="H48" s="628"/>
      <c r="I48" s="628"/>
      <c r="J48" s="2239"/>
      <c r="K48" s="2240"/>
      <c r="L48" s="2240"/>
      <c r="M48" s="628"/>
      <c r="N48" s="628"/>
      <c r="O48" s="628"/>
      <c r="P48" s="628"/>
      <c r="Q48" s="628"/>
      <c r="R48" s="628"/>
      <c r="S48" s="2241"/>
      <c r="T48" s="2241"/>
      <c r="U48" s="2241"/>
      <c r="V48" s="2241"/>
    </row>
    <row r="49" spans="1:22" s="1614" customFormat="1">
      <c r="A49" s="1460"/>
      <c r="B49" s="1460"/>
      <c r="C49" s="628"/>
      <c r="D49" s="628"/>
      <c r="E49" s="628"/>
      <c r="F49" s="628"/>
      <c r="G49" s="628"/>
      <c r="H49" s="628"/>
      <c r="I49" s="628"/>
      <c r="J49" s="2239"/>
      <c r="K49" s="2240"/>
      <c r="L49" s="2240"/>
      <c r="M49" s="628"/>
      <c r="N49" s="628"/>
      <c r="O49" s="628"/>
      <c r="P49" s="628"/>
      <c r="Q49" s="628"/>
      <c r="R49" s="628"/>
      <c r="S49" s="2241"/>
      <c r="T49" s="2241"/>
      <c r="U49" s="2241"/>
      <c r="V49" s="2241"/>
    </row>
    <row r="50" spans="1:22" s="1614" customFormat="1">
      <c r="A50" s="1460"/>
      <c r="B50" s="1460"/>
      <c r="C50" s="628"/>
      <c r="D50" s="628"/>
      <c r="E50" s="628"/>
      <c r="F50" s="628"/>
      <c r="G50" s="628"/>
      <c r="H50" s="628"/>
      <c r="I50" s="628"/>
      <c r="J50" s="2239"/>
      <c r="K50" s="2240"/>
      <c r="L50" s="2240"/>
      <c r="M50" s="628"/>
      <c r="N50" s="628"/>
      <c r="O50" s="628"/>
      <c r="P50" s="628"/>
      <c r="Q50" s="628"/>
      <c r="R50" s="628"/>
      <c r="S50" s="2241"/>
      <c r="T50" s="2241"/>
      <c r="U50" s="2241"/>
      <c r="V50" s="2241"/>
    </row>
    <row r="51" spans="1:22" s="1614" customFormat="1">
      <c r="A51" s="1460"/>
      <c r="B51" s="1460"/>
      <c r="C51" s="628"/>
      <c r="D51" s="628"/>
      <c r="E51" s="628"/>
      <c r="F51" s="628"/>
      <c r="G51" s="628"/>
      <c r="H51" s="628"/>
      <c r="I51" s="628"/>
      <c r="J51" s="2239"/>
      <c r="K51" s="2240"/>
      <c r="L51" s="2240"/>
      <c r="M51" s="628"/>
      <c r="N51" s="628"/>
      <c r="O51" s="628"/>
      <c r="P51" s="628"/>
      <c r="Q51" s="628"/>
      <c r="R51" s="628"/>
    </row>
    <row r="52" spans="1:22" s="1614" customFormat="1">
      <c r="A52" s="1460"/>
      <c r="B52" s="1460"/>
      <c r="C52" s="1460"/>
      <c r="D52" s="1460"/>
      <c r="E52" s="1460"/>
      <c r="F52" s="628"/>
      <c r="G52" s="1460"/>
      <c r="H52" s="1460"/>
      <c r="I52" s="1460"/>
      <c r="J52" s="2242"/>
      <c r="K52" s="2240"/>
      <c r="L52" s="2240"/>
      <c r="M52" s="2240"/>
      <c r="N52" s="1460"/>
      <c r="O52" s="1460"/>
      <c r="P52" s="1460"/>
      <c r="Q52" s="1460"/>
      <c r="R52" s="1460"/>
    </row>
    <row r="53" spans="1:22" s="1614" customFormat="1">
      <c r="A53" s="1460"/>
      <c r="B53" s="1460"/>
      <c r="C53" s="1460"/>
      <c r="D53" s="1460"/>
      <c r="E53" s="1460"/>
      <c r="F53" s="628"/>
      <c r="G53" s="1460"/>
      <c r="H53" s="1460"/>
      <c r="I53" s="1460"/>
      <c r="J53" s="2242"/>
      <c r="K53" s="2240"/>
      <c r="L53" s="2240"/>
      <c r="M53" s="2240"/>
      <c r="N53" s="1460"/>
      <c r="O53" s="1460"/>
      <c r="P53" s="1460"/>
      <c r="Q53" s="1460"/>
      <c r="R53" s="1460"/>
    </row>
    <row r="54" spans="1:22" s="1614" customFormat="1">
      <c r="A54" s="1460"/>
      <c r="B54" s="1460"/>
      <c r="C54" s="1460"/>
      <c r="D54" s="1460"/>
      <c r="E54" s="1460"/>
      <c r="F54" s="628"/>
      <c r="G54" s="1460"/>
      <c r="H54" s="1460"/>
      <c r="I54" s="1460"/>
      <c r="J54" s="2242"/>
      <c r="K54" s="2240"/>
      <c r="L54" s="2240"/>
      <c r="M54" s="2240"/>
      <c r="N54" s="1460"/>
      <c r="O54" s="1460"/>
      <c r="P54" s="1460"/>
      <c r="Q54" s="1460"/>
      <c r="R54" s="1460"/>
    </row>
    <row r="55" spans="1:22" s="1614" customFormat="1">
      <c r="A55" s="1460"/>
      <c r="B55" s="1460"/>
      <c r="C55" s="1460"/>
      <c r="D55" s="1460"/>
      <c r="E55" s="1460"/>
      <c r="F55" s="628"/>
      <c r="G55" s="1460"/>
      <c r="H55" s="1460"/>
      <c r="I55" s="1460"/>
      <c r="J55" s="2242"/>
      <c r="K55" s="2240"/>
      <c r="L55" s="2240"/>
      <c r="M55" s="2240"/>
      <c r="N55" s="1460"/>
      <c r="O55" s="1460"/>
      <c r="P55" s="1460"/>
      <c r="Q55" s="1460"/>
      <c r="R55" s="1460"/>
    </row>
    <row r="56" spans="1:22" s="1614" customFormat="1">
      <c r="A56" s="1460"/>
      <c r="B56" s="1460"/>
      <c r="C56" s="1460"/>
      <c r="D56" s="1460"/>
      <c r="E56" s="1460"/>
      <c r="F56" s="628"/>
      <c r="G56" s="1460"/>
      <c r="H56" s="1460"/>
      <c r="I56" s="1460"/>
      <c r="J56" s="2242"/>
      <c r="K56" s="2240"/>
      <c r="L56" s="2240"/>
      <c r="M56" s="2240"/>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8671875" defaultRowHeight="13.8"/>
  <cols>
    <col min="1" max="1" width="10.6640625" style="1461" customWidth="1"/>
    <col min="2" max="2" width="11" style="1461" customWidth="1"/>
    <col min="3" max="3" width="10.33203125" style="1461" customWidth="1"/>
    <col min="4" max="4" width="9.109375" style="1461" customWidth="1"/>
    <col min="5" max="8" width="10" style="1461" customWidth="1"/>
    <col min="9" max="9" width="10.6640625" style="1461" customWidth="1"/>
    <col min="10" max="10" width="9.44140625" style="1461" customWidth="1"/>
    <col min="11" max="11" width="11" style="1461" customWidth="1"/>
    <col min="12" max="14" width="9.44140625" style="1461" customWidth="1"/>
    <col min="15" max="15" width="9.88671875" style="1461" customWidth="1"/>
    <col min="16" max="16" width="9.77734375" style="1461" customWidth="1"/>
    <col min="17" max="17" width="9.33203125" style="1461" customWidth="1"/>
    <col min="18" max="18" width="9.21875" style="1461" customWidth="1"/>
    <col min="19" max="19" width="10.88671875" style="1461" customWidth="1"/>
    <col min="20" max="21" width="10.77734375" style="1461" customWidth="1"/>
    <col min="22" max="22" width="10.88671875" style="1461" customWidth="1"/>
    <col min="23" max="27" width="10.77734375" style="1461" customWidth="1"/>
    <col min="28" max="28" width="10.88671875" style="1461" customWidth="1"/>
    <col min="29" max="29" width="11" style="1461" bestFit="1" customWidth="1"/>
    <col min="30" max="30" width="10" style="1461" bestFit="1" customWidth="1"/>
    <col min="31" max="31" width="9.77734375" style="1461" customWidth="1"/>
    <col min="32" max="46" width="9.44140625" style="1461" customWidth="1"/>
    <col min="47" max="47" width="18.109375" style="1461" customWidth="1"/>
    <col min="48" max="50" width="9.77734375" style="1461" customWidth="1"/>
    <col min="51" max="55" width="10.44140625" style="1461" bestFit="1" customWidth="1"/>
    <col min="56" max="56" width="9.44140625" style="1461" bestFit="1" customWidth="1"/>
    <col min="57" max="63" width="9.109375" style="1461" bestFit="1" customWidth="1"/>
    <col min="64" max="64" width="9.44140625" style="1461" bestFit="1" customWidth="1"/>
    <col min="65" max="65" width="9.109375" style="1461" bestFit="1" customWidth="1"/>
    <col min="66" max="66" width="9.44140625" style="1461" bestFit="1" customWidth="1"/>
    <col min="67" max="69" width="9.109375" style="1461" bestFit="1" customWidth="1"/>
    <col min="70" max="70" width="9.44140625" style="1461" bestFit="1" customWidth="1"/>
    <col min="71" max="71" width="9" style="1461" customWidth="1"/>
    <col min="72" max="72" width="9.109375" style="1461" bestFit="1" customWidth="1"/>
    <col min="73" max="16384" width="8.88671875" style="1461"/>
  </cols>
  <sheetData>
    <row r="1" spans="1:72" ht="21">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1067</v>
      </c>
      <c r="AZ2" s="985"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3.2">
      <c r="A3" s="10"/>
      <c r="B3" s="11">
        <f>IF(C3="否",G5-AT5,G5)</f>
        <v>810.26</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c r="AZ3" s="628"/>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3.2">
      <c r="A5" s="12" t="s">
        <v>1071</v>
      </c>
      <c r="B5" s="1257"/>
      <c r="C5" s="1257"/>
      <c r="D5" s="1258"/>
      <c r="E5" s="13" t="s">
        <v>0</v>
      </c>
      <c r="F5" s="13">
        <f>SUM(F13:F587)</f>
        <v>0</v>
      </c>
      <c r="G5" s="13">
        <f>SUM(G13:G587)</f>
        <v>810.26</v>
      </c>
      <c r="H5" s="13">
        <f t="shared" ref="H5:AT5" si="0">SUM(H13:H656)</f>
        <v>810.26</v>
      </c>
      <c r="I5" s="13">
        <f t="shared" si="0"/>
        <v>810.26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245.74</v>
      </c>
      <c r="BA5" s="15">
        <f t="shared" si="1"/>
        <v>245.74</v>
      </c>
      <c r="BB5" s="15">
        <f t="shared" si="1"/>
        <v>245.74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3.2">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5.2">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1" t="s">
        <v>1086</v>
      </c>
      <c r="AD8" s="1486"/>
      <c r="AE8" s="1478"/>
      <c r="AF8" s="1267"/>
      <c r="AG8" s="1267"/>
      <c r="AH8" s="1267"/>
      <c r="AI8" s="1267"/>
      <c r="AJ8" s="1267"/>
      <c r="AK8" s="1267"/>
      <c r="AL8" s="1267"/>
      <c r="AM8" s="1267"/>
      <c r="AN8" s="1267"/>
      <c r="AO8" s="1267"/>
      <c r="AP8" s="1267"/>
      <c r="AQ8" s="1267"/>
      <c r="AR8" s="1267"/>
      <c r="AS8" s="1267"/>
      <c r="AT8" s="1005" t="s">
        <v>1087</v>
      </c>
      <c r="AU8" s="1480" t="s">
        <v>1088</v>
      </c>
      <c r="AV8" s="1005"/>
      <c r="AW8" s="1465"/>
      <c r="AX8" s="1005"/>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3.2">
      <c r="A9" s="1480"/>
      <c r="B9" s="1480"/>
      <c r="C9" s="1480"/>
      <c r="D9" s="1480"/>
      <c r="E9" s="1480"/>
      <c r="F9" s="1480"/>
      <c r="G9" s="1005"/>
      <c r="H9" s="1488" t="s">
        <v>1091</v>
      </c>
      <c r="I9" s="1489" t="s">
        <v>3437</v>
      </c>
      <c r="J9" s="761"/>
      <c r="K9" s="1489"/>
      <c r="L9" s="761"/>
      <c r="M9" s="1489"/>
      <c r="N9" s="761"/>
      <c r="O9" s="1489"/>
      <c r="P9" s="761"/>
      <c r="Q9" s="1489"/>
      <c r="R9" s="761"/>
      <c r="S9" s="1489"/>
      <c r="T9" s="761"/>
      <c r="U9" s="1489"/>
      <c r="V9" s="761"/>
      <c r="W9" s="1489"/>
      <c r="X9" s="1490"/>
      <c r="Y9" s="1489"/>
      <c r="Z9" s="761"/>
      <c r="AA9" s="1489"/>
      <c r="AB9" s="761"/>
      <c r="AC9" s="1481"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1"/>
      <c r="AT9" s="1480"/>
      <c r="AU9" s="1480" t="s">
        <v>1094</v>
      </c>
      <c r="AV9" s="1005"/>
      <c r="AW9" s="1465"/>
      <c r="AX9" s="1005"/>
      <c r="AY9" s="25"/>
      <c r="AZ9" s="25" t="s">
        <v>1084</v>
      </c>
      <c r="BA9" s="1492" t="s">
        <v>1095</v>
      </c>
      <c r="BB9" s="1493"/>
      <c r="BC9" s="1023"/>
      <c r="BD9" s="1023"/>
      <c r="BE9" s="1023"/>
      <c r="BF9" s="1023"/>
      <c r="BG9" s="1023"/>
      <c r="BH9" s="1023"/>
      <c r="BI9" s="1023"/>
      <c r="BJ9" s="1023"/>
      <c r="BK9" s="1494"/>
      <c r="BL9" s="12" t="s">
        <v>1096</v>
      </c>
      <c r="BM9" s="1267"/>
      <c r="BN9" s="1483"/>
      <c r="BO9" s="1267"/>
      <c r="BP9" s="1267"/>
      <c r="BQ9" s="1267"/>
      <c r="BR9" s="1267"/>
      <c r="BS9" s="1267"/>
      <c r="BT9" s="23"/>
    </row>
    <row r="10" spans="1:72" s="1487" customFormat="1" ht="13.2">
      <c r="A10" s="1480"/>
      <c r="B10" s="1480"/>
      <c r="C10" s="1480"/>
      <c r="D10" s="1480"/>
      <c r="E10" s="1480"/>
      <c r="F10" s="1480"/>
      <c r="G10" s="1005"/>
      <c r="H10" s="25"/>
      <c r="I10" s="1489" t="s">
        <v>673</v>
      </c>
      <c r="J10" s="761"/>
      <c r="K10" s="1495"/>
      <c r="L10" s="761"/>
      <c r="M10" s="1495"/>
      <c r="N10" s="761"/>
      <c r="O10" s="1495"/>
      <c r="P10" s="761"/>
      <c r="Q10" s="1495"/>
      <c r="R10" s="761"/>
      <c r="S10" s="1495"/>
      <c r="T10" s="761"/>
      <c r="U10" s="1495"/>
      <c r="V10" s="761"/>
      <c r="W10" s="1495"/>
      <c r="X10" s="761"/>
      <c r="Y10" s="1495"/>
      <c r="Z10" s="761"/>
      <c r="AA10" s="1495"/>
      <c r="AB10" s="761"/>
      <c r="AC10" s="1005"/>
      <c r="AD10" s="12" t="s">
        <v>1097</v>
      </c>
      <c r="AE10" s="1496"/>
      <c r="AF10" s="12" t="s">
        <v>1097</v>
      </c>
      <c r="AG10" s="1496"/>
      <c r="AH10" s="12" t="s">
        <v>1098</v>
      </c>
      <c r="AI10" s="1496"/>
      <c r="AJ10" s="12" t="s">
        <v>1098</v>
      </c>
      <c r="AK10" s="1496"/>
      <c r="AL10" s="12" t="s">
        <v>1099</v>
      </c>
      <c r="AM10" s="1011"/>
      <c r="AN10" s="12" t="s">
        <v>1099</v>
      </c>
      <c r="AO10" s="1011"/>
      <c r="AP10" s="12" t="s">
        <v>1100</v>
      </c>
      <c r="AQ10" s="1011"/>
      <c r="AR10" s="12" t="s">
        <v>1100</v>
      </c>
      <c r="AS10" s="1011"/>
      <c r="AT10" s="1480"/>
      <c r="AU10" s="1480"/>
      <c r="AV10" s="1005"/>
      <c r="AW10" s="1465"/>
      <c r="AX10" s="1005"/>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3.2">
      <c r="A11" s="1480"/>
      <c r="B11" s="1480"/>
      <c r="C11" s="1480"/>
      <c r="D11" s="1480"/>
      <c r="E11" s="1480"/>
      <c r="F11" s="1480"/>
      <c r="G11" s="1005"/>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5"/>
      <c r="AW11" s="1465"/>
      <c r="AX11" s="1005"/>
      <c r="AY11" s="25"/>
      <c r="AZ11" s="25"/>
      <c r="BA11" s="25"/>
      <c r="BB11" s="1485" t="str">
        <f>I10</f>
        <v>商业</v>
      </c>
      <c r="BC11" s="1485">
        <f>K10</f>
        <v>0</v>
      </c>
      <c r="BD11" s="1485">
        <f>M10</f>
        <v>0</v>
      </c>
      <c r="BE11" s="1485">
        <f>O10</f>
        <v>0</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3.2">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3.2">
      <c r="A13" s="628"/>
      <c r="B13" s="628" t="s">
        <v>3606</v>
      </c>
      <c r="C13" s="628">
        <f>信息!$E$2</f>
        <v>102</v>
      </c>
      <c r="D13" s="1511" t="s">
        <v>3433</v>
      </c>
      <c r="E13" s="13">
        <f>IF($C$3="是",ROUND($A$3*G13/$B$3,2),ROUND($A$3*(G13-AT13)/$B$3,2))</f>
        <v>0</v>
      </c>
      <c r="F13" s="29"/>
      <c r="G13" s="30">
        <f>H13+AC13+AT13</f>
        <v>245.74</v>
      </c>
      <c r="H13" s="17">
        <f>SUMIF(I$12:AB$12,"总值",I13:AB13)</f>
        <v>245.74</v>
      </c>
      <c r="I13" s="1512">
        <f>信息!$F$2</f>
        <v>245.74</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3"/>
      <c r="AV13" s="8">
        <f t="shared" ref="AV13:AX17" si="6">A13</f>
        <v>0</v>
      </c>
      <c r="AW13" s="8" t="str">
        <f t="shared" si="6"/>
        <v>68-3-102</v>
      </c>
      <c r="AX13" s="8">
        <f t="shared" si="6"/>
        <v>102</v>
      </c>
      <c r="AY13" s="1258">
        <f>ROUND($AY$6*AZ13/$AZ$5,2)</f>
        <v>0</v>
      </c>
      <c r="AZ13" s="13">
        <f>BA13+BL13</f>
        <v>245.74</v>
      </c>
      <c r="BA13" s="13">
        <f>SUM(BB13:BK13)</f>
        <v>245.74</v>
      </c>
      <c r="BB13" s="13">
        <f>IF($D13="是",I13-J13,0)</f>
        <v>245.74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3.2">
      <c r="A14" s="628"/>
      <c r="B14" s="628" t="s">
        <v>3607</v>
      </c>
      <c r="C14" s="1460">
        <f>信息!$E$3</f>
        <v>105</v>
      </c>
      <c r="D14" s="1511"/>
      <c r="E14" s="13">
        <f>IF($C$3="是",ROUND($A$3*G14/$B$3,2),ROUND($A$3*(G14-AT14)/$B$3,2))</f>
        <v>0</v>
      </c>
      <c r="F14" s="29"/>
      <c r="G14" s="30">
        <f>H14+AC14+AT14</f>
        <v>322.3</v>
      </c>
      <c r="H14" s="17">
        <f>SUMIF(I$12:AB$12,"总值",I14:AB14)</f>
        <v>322.3</v>
      </c>
      <c r="I14" s="1512">
        <f>信息!$F$3</f>
        <v>322.3</v>
      </c>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3"/>
      <c r="AV14" s="8">
        <f t="shared" si="6"/>
        <v>0</v>
      </c>
      <c r="AW14" s="8" t="str">
        <f t="shared" si="6"/>
        <v>68-3-105</v>
      </c>
      <c r="AX14" s="8">
        <f t="shared" si="6"/>
        <v>105</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3.2">
      <c r="A15" s="628"/>
      <c r="B15" s="628" t="s">
        <v>3608</v>
      </c>
      <c r="C15" s="1460">
        <v>103</v>
      </c>
      <c r="D15" s="1511"/>
      <c r="E15" s="13">
        <f>IF($C$3="是",ROUND($A$3*G15/$B$3,2),ROUND($A$3*(G15-AT15)/$B$3,2))</f>
        <v>0</v>
      </c>
      <c r="F15" s="29"/>
      <c r="G15" s="30">
        <f>H15+AC15+AT15</f>
        <v>242.22</v>
      </c>
      <c r="H15" s="17">
        <f>SUMIF(I$12:AB$12,"总值",I15:AB15)</f>
        <v>242.22</v>
      </c>
      <c r="I15" s="1512">
        <f>信息!F4</f>
        <v>242.22</v>
      </c>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3"/>
      <c r="AV15" s="8">
        <f t="shared" si="6"/>
        <v>0</v>
      </c>
      <c r="AW15" s="8" t="str">
        <f t="shared" si="6"/>
        <v>66-1-103</v>
      </c>
      <c r="AX15" s="8">
        <f t="shared" si="6"/>
        <v>103</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3.2">
      <c r="A16" s="628"/>
      <c r="B16" s="628"/>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3.2">
      <c r="A17" s="628"/>
      <c r="B17" s="628"/>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520" customWidth="1"/>
    <col min="2" max="2" width="10.21875" style="1520" customWidth="1"/>
    <col min="3" max="3" width="18.44140625" style="1520" customWidth="1"/>
    <col min="4" max="4" width="11.6640625" style="1520" customWidth="1"/>
    <col min="5" max="5" width="13.33203125" style="1520" customWidth="1"/>
    <col min="6" max="8" width="11.44140625" style="1520" customWidth="1"/>
    <col min="9" max="9" width="11.109375" style="1520" customWidth="1"/>
    <col min="10" max="10" width="3.109375" style="1520" customWidth="1"/>
    <col min="11" max="16" width="10" style="1520" customWidth="1"/>
    <col min="17" max="17" width="2.6640625" style="1520" customWidth="1"/>
    <col min="18" max="18" width="9.33203125" style="1520" bestFit="1" customWidth="1"/>
    <col min="19" max="19" width="10.44140625" style="1520" bestFit="1" customWidth="1"/>
    <col min="20" max="16384" width="9.21875" style="1520"/>
  </cols>
  <sheetData>
    <row r="1" spans="1:16" ht="18" thickBot="1">
      <c r="A1" s="1519" t="s">
        <v>1130</v>
      </c>
      <c r="B1" s="1069"/>
      <c r="C1" s="1069"/>
      <c r="D1" s="1069"/>
      <c r="E1" s="1069"/>
      <c r="F1" s="1069"/>
      <c r="G1" s="1069"/>
      <c r="H1" s="1069"/>
      <c r="I1" s="1069"/>
      <c r="J1" s="1069"/>
      <c r="K1" s="1069"/>
      <c r="L1" s="1069"/>
      <c r="M1" s="1069"/>
      <c r="N1" s="1069"/>
      <c r="O1" s="1069"/>
      <c r="P1" s="1069"/>
    </row>
    <row r="2" spans="1:16" ht="14.4">
      <c r="A2" s="3262" t="s">
        <v>1131</v>
      </c>
      <c r="B2" s="3262"/>
      <c r="C2" s="3262"/>
      <c r="D2" s="748" t="s">
        <v>1107</v>
      </c>
      <c r="E2" s="1521" t="s">
        <v>1108</v>
      </c>
      <c r="F2" s="2435"/>
      <c r="G2" s="2428"/>
      <c r="H2" s="2429"/>
      <c r="I2" s="2143" t="s">
        <v>1132</v>
      </c>
      <c r="J2" s="2435"/>
      <c r="K2" s="2435"/>
      <c r="L2" s="2435"/>
      <c r="M2" s="2435"/>
      <c r="N2" s="2436"/>
      <c r="O2" s="2435"/>
      <c r="P2" s="2435"/>
    </row>
    <row r="3" spans="1:16" ht="15" thickBot="1">
      <c r="A3" s="3263" t="s">
        <v>1105</v>
      </c>
      <c r="B3" s="3263"/>
      <c r="C3" s="3263"/>
      <c r="D3" s="41">
        <f>'数据-基础表'!AY6</f>
        <v>0</v>
      </c>
      <c r="E3" s="41">
        <f>'数据-基础表'!AZ5</f>
        <v>245.74</v>
      </c>
      <c r="F3" s="2435"/>
      <c r="G3" s="42"/>
      <c r="H3" s="43" t="s">
        <v>1106</v>
      </c>
      <c r="I3" s="802" t="e">
        <f>ROUND('数据-基础表'!B3/'数据-基础表'!A3,2)</f>
        <v>#DIV/0!</v>
      </c>
      <c r="J3" s="2435"/>
      <c r="K3" s="2435"/>
      <c r="L3" s="2435"/>
      <c r="M3" s="2435"/>
      <c r="N3" s="2436"/>
      <c r="O3" s="2435"/>
      <c r="P3" s="2435"/>
    </row>
    <row r="4" spans="1:16" ht="14.4">
      <c r="A4" s="3264"/>
      <c r="B4" s="3265"/>
      <c r="C4" s="3266"/>
      <c r="D4" s="1522" t="s">
        <v>1107</v>
      </c>
      <c r="E4" s="1523" t="s">
        <v>1108</v>
      </c>
      <c r="F4" s="2435"/>
      <c r="G4" s="2430" t="s">
        <v>1133</v>
      </c>
      <c r="H4" s="43" t="s">
        <v>1113</v>
      </c>
      <c r="I4" s="802" t="e">
        <f>ROUND(SUMIF('数据-基础表'!I9:AS9,"地上",'数据-基础表'!I5:AS5)/'数据-基础表'!A3,2)</f>
        <v>#DIV/0!</v>
      </c>
      <c r="J4" s="2435"/>
      <c r="K4" s="2435"/>
      <c r="L4" s="2435"/>
      <c r="M4" s="2435"/>
      <c r="N4" s="2436"/>
      <c r="O4" s="2435"/>
      <c r="P4" s="2435"/>
    </row>
    <row r="5" spans="1:16" ht="14.4">
      <c r="A5" s="42" t="s">
        <v>1109</v>
      </c>
      <c r="B5" s="3267" t="s">
        <v>1110</v>
      </c>
      <c r="C5" s="3267"/>
      <c r="D5" s="43">
        <f>ROUND($D$3*E5/$E$3,2)</f>
        <v>0</v>
      </c>
      <c r="E5" s="44">
        <f>SUMIF('数据-基础表'!$11:$11,"住宅",'数据-基础表'!$5:$5)</f>
        <v>0</v>
      </c>
      <c r="F5" s="2435"/>
      <c r="G5" s="42"/>
      <c r="H5" s="43" t="s">
        <v>1106</v>
      </c>
      <c r="I5" s="802" t="e">
        <f>ROUND(E31/D31,2)</f>
        <v>#DIV/0!</v>
      </c>
      <c r="J5" s="2435"/>
      <c r="K5" s="2435"/>
      <c r="L5" s="2435"/>
      <c r="M5" s="2435"/>
      <c r="N5" s="2435"/>
      <c r="O5" s="2435"/>
      <c r="P5" s="2435"/>
    </row>
    <row r="6" spans="1:16" ht="15" thickBot="1">
      <c r="A6" s="1525"/>
      <c r="B6" s="3267" t="s">
        <v>1111</v>
      </c>
      <c r="C6" s="3267"/>
      <c r="D6" s="43">
        <f>ROUND($D$3*E6/$E$3,2)</f>
        <v>0</v>
      </c>
      <c r="E6" s="44">
        <f>E3-E5</f>
        <v>245.74</v>
      </c>
      <c r="F6" s="2435"/>
      <c r="G6" s="1527" t="s">
        <v>1112</v>
      </c>
      <c r="H6" s="45" t="s">
        <v>1113</v>
      </c>
      <c r="I6" s="2431" t="e">
        <f>ROUND(F31/D31,2)</f>
        <v>#DIV/0!</v>
      </c>
      <c r="J6" s="2435"/>
      <c r="K6" s="2435"/>
      <c r="L6" s="2435"/>
      <c r="M6" s="2435"/>
      <c r="N6" s="2435"/>
      <c r="O6" s="2435"/>
      <c r="P6" s="2435"/>
    </row>
    <row r="7" spans="1:16" ht="15" thickBot="1">
      <c r="A7" s="3259"/>
      <c r="B7" s="3260"/>
      <c r="C7" s="3261"/>
      <c r="D7" s="1522" t="s">
        <v>1107</v>
      </c>
      <c r="E7" s="1526" t="s">
        <v>1114</v>
      </c>
      <c r="F7" s="2435"/>
      <c r="G7" s="2432" t="s">
        <v>1115</v>
      </c>
      <c r="H7" s="95"/>
      <c r="I7" s="2433"/>
      <c r="J7" s="2435"/>
      <c r="K7" s="2435"/>
      <c r="L7" s="2435"/>
      <c r="M7" s="2435"/>
      <c r="N7" s="2435"/>
      <c r="O7" s="2435"/>
      <c r="P7" s="2435"/>
    </row>
    <row r="8" spans="1:16" ht="14.4">
      <c r="A8" s="42" t="s">
        <v>1116</v>
      </c>
      <c r="B8" s="45" t="s">
        <v>1117</v>
      </c>
      <c r="C8" s="43" t="s">
        <v>1118</v>
      </c>
      <c r="D8" s="43">
        <f t="shared" ref="D8:D15" si="0">ROUND($D$3*E8/$E$3,2)</f>
        <v>0</v>
      </c>
      <c r="E8" s="46">
        <f>SUMIF('数据-基础表'!BB10:BK10,"地上",'数据-基础表'!BB5:BK5)</f>
        <v>245.74</v>
      </c>
      <c r="F8" s="2435"/>
      <c r="G8" s="2435"/>
      <c r="H8" s="2435"/>
      <c r="I8" s="2435"/>
      <c r="J8" s="2435"/>
      <c r="K8" s="2435"/>
      <c r="L8" s="2435"/>
      <c r="M8" s="2435"/>
      <c r="N8" s="2435"/>
      <c r="O8" s="2435"/>
      <c r="P8" s="2435"/>
    </row>
    <row r="9" spans="1:16" ht="14.4">
      <c r="A9" s="1527"/>
      <c r="B9" s="1528"/>
      <c r="C9" s="43" t="s">
        <v>1119</v>
      </c>
      <c r="D9" s="43">
        <f t="shared" si="0"/>
        <v>0</v>
      </c>
      <c r="E9" s="47">
        <v>0</v>
      </c>
      <c r="F9" s="2435"/>
      <c r="G9" s="2435"/>
      <c r="H9" s="2435"/>
      <c r="I9" s="2435"/>
      <c r="J9" s="2435"/>
      <c r="K9" s="2435"/>
      <c r="L9" s="2435"/>
      <c r="M9" s="2435"/>
      <c r="N9" s="2435"/>
      <c r="O9" s="2435"/>
      <c r="P9" s="2435"/>
    </row>
    <row r="10" spans="1:16" ht="14.4">
      <c r="A10" s="1527"/>
      <c r="B10" s="1528"/>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ht="14.4">
      <c r="A11" s="1527"/>
      <c r="B11" s="1528"/>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ht="14.4">
      <c r="A12" s="1527"/>
      <c r="B12" s="1528"/>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ht="14.4">
      <c r="A13" s="1527"/>
      <c r="B13" s="1528"/>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ht="14.4">
      <c r="A14" s="1527"/>
      <c r="B14" s="1528"/>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7"/>
      <c r="B15" s="1528"/>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 thickBot="1">
      <c r="A16" s="1525"/>
      <c r="B16" s="1528"/>
      <c r="C16" s="45" t="s">
        <v>1123</v>
      </c>
      <c r="D16" s="45">
        <f>SUM(D8:D15)</f>
        <v>0</v>
      </c>
      <c r="E16" s="48">
        <f>SUM(E8:E15)</f>
        <v>245.74</v>
      </c>
      <c r="F16" s="2435"/>
      <c r="G16" s="2435"/>
      <c r="H16" s="1529" t="s">
        <v>1135</v>
      </c>
      <c r="I16" s="1530"/>
      <c r="J16" s="1069"/>
      <c r="K16" s="3256" t="s">
        <v>1135</v>
      </c>
      <c r="L16" s="3257"/>
      <c r="M16" s="3257"/>
      <c r="N16" s="3257"/>
      <c r="O16" s="3257"/>
      <c r="P16" s="3258"/>
    </row>
    <row r="17" spans="1:19" ht="14.4">
      <c r="A17" s="1531" t="s">
        <v>1136</v>
      </c>
      <c r="B17" s="1532" t="s">
        <v>1137</v>
      </c>
      <c r="C17" s="1533" t="s">
        <v>1138</v>
      </c>
      <c r="D17" s="1534" t="s">
        <v>1126</v>
      </c>
      <c r="E17" s="1535" t="s">
        <v>1127</v>
      </c>
      <c r="F17" s="1536"/>
      <c r="G17" s="1537"/>
      <c r="H17" s="1538" t="s">
        <v>1139</v>
      </c>
      <c r="I17" s="1539" t="s">
        <v>1124</v>
      </c>
      <c r="J17" s="1069"/>
      <c r="K17" s="3253" t="s">
        <v>1140</v>
      </c>
      <c r="L17" s="3254"/>
      <c r="M17" s="3255"/>
      <c r="N17" s="3253" t="s">
        <v>1141</v>
      </c>
      <c r="O17" s="3254"/>
      <c r="P17" s="3255"/>
      <c r="R17" s="769" t="s">
        <v>1142</v>
      </c>
      <c r="S17" s="54"/>
    </row>
    <row r="18" spans="1:19" ht="14.4">
      <c r="A18" s="1527"/>
      <c r="B18" s="1524"/>
      <c r="C18" s="1540"/>
      <c r="D18" s="1541"/>
      <c r="E18" s="1542" t="s">
        <v>1143</v>
      </c>
      <c r="F18" s="1543" t="s">
        <v>1144</v>
      </c>
      <c r="G18" s="1544" t="s">
        <v>1145</v>
      </c>
      <c r="H18" s="978" t="s">
        <v>1146</v>
      </c>
      <c r="I18" s="1545" t="s">
        <v>1147</v>
      </c>
      <c r="J18" s="1069"/>
      <c r="K18" s="978" t="s">
        <v>1148</v>
      </c>
      <c r="L18" s="1546" t="s">
        <v>1149</v>
      </c>
      <c r="M18" s="802" t="s">
        <v>1150</v>
      </c>
      <c r="N18" s="978" t="s">
        <v>1148</v>
      </c>
      <c r="O18" s="1546" t="s">
        <v>1149</v>
      </c>
      <c r="P18" s="802" t="s">
        <v>1150</v>
      </c>
      <c r="R18" s="43" t="s">
        <v>1151</v>
      </c>
      <c r="S18" s="43" t="s">
        <v>1152</v>
      </c>
    </row>
    <row r="19" spans="1:19" ht="14.4">
      <c r="A19" s="1547"/>
      <c r="B19" s="45" t="s">
        <v>1125</v>
      </c>
      <c r="C19" s="3111">
        <v>102</v>
      </c>
      <c r="D19" s="43">
        <f>ROUND($D$3*E19/$E$3,2)</f>
        <v>0</v>
      </c>
      <c r="E19" s="51">
        <f t="shared" ref="E19:E26" si="1">SUM(F19:G19)</f>
        <v>245.74</v>
      </c>
      <c r="F19" s="2553">
        <f>'数据-基础表'!G13</f>
        <v>245.74</v>
      </c>
      <c r="G19" s="1241"/>
      <c r="H19" s="637">
        <f>ROUND($D$3*I19/$E$3,2)</f>
        <v>0</v>
      </c>
      <c r="I19" s="46">
        <f t="shared" ref="I19:I26" si="2">IF($I$17="自定义",P19,M19)</f>
        <v>0</v>
      </c>
      <c r="J19" s="1069"/>
      <c r="K19" s="637">
        <f t="shared" ref="K19:K26" si="3">ROUND(E$28*E19/E$27,2)</f>
        <v>0</v>
      </c>
      <c r="L19" s="43">
        <f t="shared" ref="L19:L26" si="4">ROUND(IF(COUNTIF(C19,"*住宅*")&gt;0,E$29*E19/E$32,0),2)</f>
        <v>0</v>
      </c>
      <c r="M19" s="46">
        <f>K19+L19</f>
        <v>0</v>
      </c>
      <c r="N19" s="1548"/>
      <c r="O19" s="1549"/>
      <c r="P19" s="46">
        <f>N19+O19</f>
        <v>0</v>
      </c>
      <c r="R19" s="43">
        <f t="shared" ref="R19:S26" si="5">D19+H19</f>
        <v>0</v>
      </c>
      <c r="S19" s="51">
        <f t="shared" si="5"/>
        <v>245.74</v>
      </c>
    </row>
    <row r="20" spans="1:19" ht="14.4">
      <c r="A20" s="1547"/>
      <c r="B20" s="45" t="s">
        <v>1153</v>
      </c>
      <c r="C20" s="3111"/>
      <c r="D20" s="43">
        <f t="shared" ref="D20:D26" si="6">ROUND($D$3*E20/$E$3,2)</f>
        <v>0</v>
      </c>
      <c r="E20" s="51">
        <f t="shared" si="1"/>
        <v>0</v>
      </c>
      <c r="F20" s="2553"/>
      <c r="G20" s="1241"/>
      <c r="H20" s="637">
        <f t="shared" ref="H20:H26" si="7">ROUND($D$3*I20/$E$3,2)</f>
        <v>0</v>
      </c>
      <c r="I20" s="46">
        <f t="shared" si="2"/>
        <v>0</v>
      </c>
      <c r="J20" s="1069"/>
      <c r="K20" s="637">
        <f t="shared" si="3"/>
        <v>0</v>
      </c>
      <c r="L20" s="43">
        <f t="shared" si="4"/>
        <v>0</v>
      </c>
      <c r="M20" s="46">
        <f t="shared" ref="M20:M26" si="8">K20+L20</f>
        <v>0</v>
      </c>
      <c r="N20" s="1548"/>
      <c r="O20" s="1549"/>
      <c r="P20" s="46">
        <f t="shared" ref="P20:P26" si="9">N20+O20</f>
        <v>0</v>
      </c>
      <c r="R20" s="43">
        <f t="shared" si="5"/>
        <v>0</v>
      </c>
      <c r="S20" s="51">
        <f t="shared" si="5"/>
        <v>0</v>
      </c>
    </row>
    <row r="21" spans="1:19" ht="14.4">
      <c r="A21" s="1547"/>
      <c r="B21" s="45" t="s">
        <v>1153</v>
      </c>
      <c r="C21" s="3111"/>
      <c r="D21" s="43">
        <f t="shared" si="6"/>
        <v>0</v>
      </c>
      <c r="E21" s="51">
        <f t="shared" si="1"/>
        <v>0</v>
      </c>
      <c r="F21" s="2553"/>
      <c r="G21" s="1241"/>
      <c r="H21" s="637">
        <f t="shared" si="7"/>
        <v>0</v>
      </c>
      <c r="I21" s="46">
        <f t="shared" si="2"/>
        <v>0</v>
      </c>
      <c r="J21" s="1069"/>
      <c r="K21" s="637">
        <f t="shared" si="3"/>
        <v>0</v>
      </c>
      <c r="L21" s="43">
        <f t="shared" si="4"/>
        <v>0</v>
      </c>
      <c r="M21" s="46">
        <f t="shared" si="8"/>
        <v>0</v>
      </c>
      <c r="N21" s="1548"/>
      <c r="O21" s="1549"/>
      <c r="P21" s="46">
        <f t="shared" si="9"/>
        <v>0</v>
      </c>
      <c r="R21" s="43">
        <f t="shared" si="5"/>
        <v>0</v>
      </c>
      <c r="S21" s="51">
        <f t="shared" si="5"/>
        <v>0</v>
      </c>
    </row>
    <row r="22" spans="1:19" ht="14.4">
      <c r="A22" s="1547"/>
      <c r="B22" s="45" t="s">
        <v>1153</v>
      </c>
      <c r="C22" s="3112"/>
      <c r="D22" s="43">
        <f t="shared" si="6"/>
        <v>0</v>
      </c>
      <c r="E22" s="51">
        <f t="shared" si="1"/>
        <v>0</v>
      </c>
      <c r="F22" s="2554"/>
      <c r="G22" s="2555"/>
      <c r="H22" s="637">
        <f t="shared" si="7"/>
        <v>0</v>
      </c>
      <c r="I22" s="46">
        <f t="shared" si="2"/>
        <v>0</v>
      </c>
      <c r="J22" s="1069"/>
      <c r="K22" s="637">
        <f t="shared" si="3"/>
        <v>0</v>
      </c>
      <c r="L22" s="43">
        <f t="shared" si="4"/>
        <v>0</v>
      </c>
      <c r="M22" s="46">
        <f t="shared" si="8"/>
        <v>0</v>
      </c>
      <c r="N22" s="1548"/>
      <c r="O22" s="1549"/>
      <c r="P22" s="46">
        <f t="shared" si="9"/>
        <v>0</v>
      </c>
      <c r="R22" s="43">
        <f t="shared" si="5"/>
        <v>0</v>
      </c>
      <c r="S22" s="51">
        <f t="shared" si="5"/>
        <v>0</v>
      </c>
    </row>
    <row r="23" spans="1:19" ht="14.4">
      <c r="A23" s="1547"/>
      <c r="B23" s="45" t="s">
        <v>1153</v>
      </c>
      <c r="C23" s="3112"/>
      <c r="D23" s="43">
        <f>ROUND($D$3*E23/$E$3,2)</f>
        <v>0</v>
      </c>
      <c r="E23" s="51">
        <f>SUM(F23:G23)</f>
        <v>0</v>
      </c>
      <c r="F23" s="2554"/>
      <c r="G23" s="2555"/>
      <c r="H23" s="637">
        <f>ROUND($D$3*I23/$E$3,2)</f>
        <v>0</v>
      </c>
      <c r="I23" s="46">
        <f t="shared" si="2"/>
        <v>0</v>
      </c>
      <c r="J23" s="1069"/>
      <c r="K23" s="637">
        <f t="shared" si="3"/>
        <v>0</v>
      </c>
      <c r="L23" s="43">
        <f t="shared" si="4"/>
        <v>0</v>
      </c>
      <c r="M23" s="46">
        <f t="shared" si="8"/>
        <v>0</v>
      </c>
      <c r="N23" s="1548"/>
      <c r="O23" s="1549"/>
      <c r="P23" s="46">
        <f t="shared" si="9"/>
        <v>0</v>
      </c>
      <c r="R23" s="43">
        <f t="shared" si="5"/>
        <v>0</v>
      </c>
      <c r="S23" s="51">
        <f t="shared" si="5"/>
        <v>0</v>
      </c>
    </row>
    <row r="24" spans="1:19" ht="14.4">
      <c r="A24" s="1547"/>
      <c r="B24" s="45" t="s">
        <v>1153</v>
      </c>
      <c r="C24" s="3112"/>
      <c r="D24" s="43">
        <f>ROUND($D$3*E24/$E$3,2)</f>
        <v>0</v>
      </c>
      <c r="E24" s="51">
        <f>SUM(F24:G24)</f>
        <v>0</v>
      </c>
      <c r="F24" s="2554"/>
      <c r="G24" s="2555"/>
      <c r="H24" s="637">
        <f>ROUND($D$3*I24/$E$3,2)</f>
        <v>0</v>
      </c>
      <c r="I24" s="46">
        <f t="shared" si="2"/>
        <v>0</v>
      </c>
      <c r="J24" s="1069"/>
      <c r="K24" s="637">
        <f t="shared" si="3"/>
        <v>0</v>
      </c>
      <c r="L24" s="43">
        <f t="shared" si="4"/>
        <v>0</v>
      </c>
      <c r="M24" s="46">
        <f t="shared" si="8"/>
        <v>0</v>
      </c>
      <c r="N24" s="1548"/>
      <c r="O24" s="1549"/>
      <c r="P24" s="46">
        <f t="shared" si="9"/>
        <v>0</v>
      </c>
      <c r="R24" s="43">
        <f t="shared" si="5"/>
        <v>0</v>
      </c>
      <c r="S24" s="51">
        <f t="shared" si="5"/>
        <v>0</v>
      </c>
    </row>
    <row r="25" spans="1:19" ht="14.4">
      <c r="A25" s="1547"/>
      <c r="B25" s="45" t="s">
        <v>1153</v>
      </c>
      <c r="C25" s="3112"/>
      <c r="D25" s="43">
        <f t="shared" si="6"/>
        <v>0</v>
      </c>
      <c r="E25" s="51">
        <f t="shared" si="1"/>
        <v>0</v>
      </c>
      <c r="F25" s="2554"/>
      <c r="G25" s="2555"/>
      <c r="H25" s="42">
        <f t="shared" si="7"/>
        <v>0</v>
      </c>
      <c r="I25" s="46">
        <f t="shared" si="2"/>
        <v>0</v>
      </c>
      <c r="J25" s="1069"/>
      <c r="K25" s="637">
        <f t="shared" si="3"/>
        <v>0</v>
      </c>
      <c r="L25" s="43">
        <f t="shared" si="4"/>
        <v>0</v>
      </c>
      <c r="M25" s="46">
        <f t="shared" si="8"/>
        <v>0</v>
      </c>
      <c r="N25" s="1548"/>
      <c r="O25" s="1549"/>
      <c r="P25" s="46">
        <f t="shared" si="9"/>
        <v>0</v>
      </c>
      <c r="R25" s="43">
        <f t="shared" si="5"/>
        <v>0</v>
      </c>
      <c r="S25" s="51">
        <f t="shared" si="5"/>
        <v>0</v>
      </c>
    </row>
    <row r="26" spans="1:19" ht="14.4">
      <c r="A26" s="1547"/>
      <c r="B26" s="45" t="s">
        <v>1153</v>
      </c>
      <c r="C26" s="53"/>
      <c r="D26" s="43">
        <f t="shared" si="6"/>
        <v>0</v>
      </c>
      <c r="E26" s="51">
        <f t="shared" si="1"/>
        <v>0</v>
      </c>
      <c r="F26" s="2554"/>
      <c r="G26" s="2555"/>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 thickBot="1">
      <c r="A27" s="1547"/>
      <c r="B27" s="43"/>
      <c r="C27" s="1552" t="s">
        <v>1154</v>
      </c>
      <c r="D27" s="1070">
        <f>SUM(D19:D26)</f>
        <v>0</v>
      </c>
      <c r="E27" s="1071">
        <f>IF(SUM(E19:E26)='数据-基础表'!BA5,SUM(E19:E26),IF(F27="地上面积有误","面积有误","地下面积有误"))</f>
        <v>245.74</v>
      </c>
      <c r="F27" s="1070">
        <f>IF(SUM(F19:F26)=E8,SUM(F19:F26),"地上面积有误")</f>
        <v>245.74</v>
      </c>
      <c r="G27" s="1072">
        <f>SUM(G19:G26)</f>
        <v>0</v>
      </c>
      <c r="H27" s="1073">
        <f>SUM(H19:H26)</f>
        <v>0</v>
      </c>
      <c r="I27" s="1074">
        <f>SUM(I19:I26)</f>
        <v>0</v>
      </c>
      <c r="J27" s="1069"/>
      <c r="K27" s="1075">
        <f>SUM(K19:K26)</f>
        <v>0</v>
      </c>
      <c r="L27" s="785">
        <f>SUM(L19:L26)</f>
        <v>0</v>
      </c>
      <c r="M27" s="1076">
        <f>SUM(M19:M26)</f>
        <v>0</v>
      </c>
      <c r="N27" s="1075">
        <f t="shared" ref="N27:O27" si="10">SUM(N19:N26)</f>
        <v>0</v>
      </c>
      <c r="O27" s="785">
        <f t="shared" si="10"/>
        <v>0</v>
      </c>
      <c r="P27" s="94">
        <f>SUM(P19:P26)</f>
        <v>0</v>
      </c>
      <c r="R27" s="966">
        <f>IF(SUM(R19:R26)=$D$3,SUM(R19:R26),SUM(R19:R26)&amp;"误差"&amp;ROUND(SUM(R19:R26)-$D$3,2))</f>
        <v>0</v>
      </c>
      <c r="S27" s="43">
        <f>IF(SUM(S19:S26)=$E$3,SUM(S19:S26),SUM(S19:S26)&amp;"误差"&amp;ROUND(SUM(S19:S26)-E3,2))</f>
        <v>245.74</v>
      </c>
    </row>
    <row r="28" spans="1:19" ht="14.4">
      <c r="A28" s="1547"/>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ht="14.4">
      <c r="A29" s="1547"/>
      <c r="B29" s="45" t="s">
        <v>1155</v>
      </c>
      <c r="C29" s="1553"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4.4">
      <c r="A30" s="1547"/>
      <c r="B30" s="45"/>
      <c r="C30" s="1554" t="s">
        <v>1154</v>
      </c>
      <c r="D30" s="1070">
        <f>SUM(D28:D29)</f>
        <v>0</v>
      </c>
      <c r="E30" s="1070">
        <f>SUM(E28:E29)</f>
        <v>0</v>
      </c>
      <c r="F30" s="1070">
        <f>SUM(F28:F29)</f>
        <v>0</v>
      </c>
      <c r="G30" s="1072">
        <f>SUM(G28:G29)</f>
        <v>0</v>
      </c>
      <c r="H30" s="2435"/>
      <c r="I30" s="2435"/>
      <c r="J30" s="2435"/>
      <c r="K30" s="2435"/>
      <c r="L30" s="2435"/>
      <c r="M30" s="2435"/>
      <c r="N30" s="2435"/>
      <c r="O30" s="2435"/>
      <c r="P30" s="2435"/>
    </row>
    <row r="31" spans="1:19" ht="15" thickBot="1">
      <c r="A31" s="1555"/>
      <c r="B31" s="96"/>
      <c r="C31" s="785" t="s">
        <v>1158</v>
      </c>
      <c r="D31" s="643">
        <f>D27+D30</f>
        <v>0</v>
      </c>
      <c r="E31" s="643">
        <f>E27+E30</f>
        <v>245.74</v>
      </c>
      <c r="F31" s="644">
        <f>F27+F30</f>
        <v>245.74</v>
      </c>
      <c r="G31" s="645">
        <f>G27+G30</f>
        <v>0</v>
      </c>
      <c r="H31" s="2435"/>
      <c r="I31" s="2435"/>
      <c r="J31" s="2435"/>
      <c r="K31" s="2435"/>
      <c r="L31" s="2435"/>
      <c r="M31" s="2435"/>
      <c r="N31" s="2435"/>
      <c r="O31" s="2435"/>
      <c r="P31" s="2435"/>
    </row>
    <row r="32" spans="1:19" ht="14.4">
      <c r="A32" s="1524"/>
      <c r="B32" s="1524" t="s">
        <v>1159</v>
      </c>
      <c r="C32" s="1524"/>
      <c r="D32" s="1524"/>
      <c r="E32" s="988">
        <f>SUMIF(C19:C26,"*住宅*",E19:E26)</f>
        <v>0</v>
      </c>
      <c r="F32" s="1524"/>
      <c r="G32" s="1524"/>
      <c r="H32" s="2435"/>
      <c r="I32" s="2435"/>
      <c r="J32" s="2435"/>
      <c r="K32" s="2435"/>
      <c r="L32" s="2435"/>
      <c r="M32" s="2435"/>
      <c r="N32" s="2435"/>
      <c r="O32" s="2435"/>
      <c r="P32" s="2435"/>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W6" sqref="W6"/>
    </sheetView>
  </sheetViews>
  <sheetFormatPr defaultColWidth="13.77734375" defaultRowHeight="13.2"/>
  <cols>
    <col min="1" max="1" width="20.88671875" style="1616" customWidth="1"/>
    <col min="2" max="2" width="12" style="1559" customWidth="1"/>
    <col min="3" max="3" width="12.77734375" style="1559" customWidth="1"/>
    <col min="4" max="4" width="9.109375" style="1617" customWidth="1"/>
    <col min="5" max="5" width="15" style="1559" bestFit="1" customWidth="1"/>
    <col min="6" max="10" width="8.88671875" style="1559" customWidth="1"/>
    <col min="11" max="12" width="12.33203125" style="1487" customWidth="1"/>
    <col min="13" max="13" width="8.6640625" style="1559" customWidth="1"/>
    <col min="14" max="14" width="11.88671875" style="1559" customWidth="1"/>
    <col min="15" max="15" width="8.44140625" style="1559" customWidth="1"/>
    <col min="16" max="17" width="10.88671875" style="1559" customWidth="1"/>
    <col min="18" max="19" width="12.44140625" style="1559" customWidth="1"/>
    <col min="20" max="20" width="12.109375" style="1559" customWidth="1"/>
    <col min="21" max="21" width="7.44140625" style="1559" customWidth="1"/>
    <col min="22" max="22" width="6.33203125" style="1559" customWidth="1"/>
    <col min="23" max="30" width="6.77734375" style="1559" customWidth="1"/>
    <col min="31" max="31" width="8" style="1559" customWidth="1"/>
    <col min="32" max="34" width="7.21875" style="1559" customWidth="1"/>
    <col min="35" max="39" width="8" style="1559" customWidth="1"/>
    <col min="40" max="40" width="13.77734375" style="122"/>
    <col min="41" max="41" width="11.6640625" style="122" customWidth="1"/>
    <col min="42" max="42" width="9.77734375" style="122" customWidth="1"/>
    <col min="43" max="67" width="13.77734375" style="122"/>
    <col min="68" max="16384" width="13.77734375" style="1559"/>
  </cols>
  <sheetData>
    <row r="1" spans="1:67" ht="18" thickBot="1">
      <c r="A1" s="1557" t="s">
        <v>1160</v>
      </c>
      <c r="B1" s="646"/>
      <c r="C1" s="121"/>
      <c r="D1" s="1558"/>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49" customFormat="1" ht="15" thickBot="1">
      <c r="A2" s="1560" t="s">
        <v>1161</v>
      </c>
      <c r="B2" s="982">
        <f>项目基本情况!D3</f>
        <v>45793</v>
      </c>
      <c r="C2" s="1069"/>
      <c r="D2" s="1561"/>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5"/>
      <c r="AO2" s="2435"/>
      <c r="AP2" s="2435"/>
      <c r="AQ2" s="2435"/>
      <c r="AR2" s="2435"/>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4.4" thickBot="1">
      <c r="A3" s="1447"/>
      <c r="B3" s="1540"/>
      <c r="C3" s="1069"/>
      <c r="D3" s="1561"/>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5"/>
      <c r="AO3" s="2435"/>
      <c r="AP3" s="2435"/>
      <c r="AQ3" s="2435"/>
      <c r="AR3" s="2435"/>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4"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5"/>
      <c r="AO4" s="2435"/>
      <c r="AP4" s="2435"/>
      <c r="AQ4" s="2435"/>
      <c r="AR4" s="2435"/>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57.6">
      <c r="A5" s="1569" t="s">
        <v>1168</v>
      </c>
      <c r="B5" s="1570" t="s">
        <v>1169</v>
      </c>
      <c r="C5" s="1571" t="s">
        <v>1170</v>
      </c>
      <c r="D5" s="1572" t="s">
        <v>1171</v>
      </c>
      <c r="E5" s="504" t="s">
        <v>1172</v>
      </c>
      <c r="F5" s="1573" t="s">
        <v>1173</v>
      </c>
      <c r="G5" s="504" t="s">
        <v>1174</v>
      </c>
      <c r="H5" s="504" t="s">
        <v>1175</v>
      </c>
      <c r="I5" s="504" t="s">
        <v>1176</v>
      </c>
      <c r="J5" s="1245" t="s">
        <v>1177</v>
      </c>
      <c r="K5" s="1574" t="s">
        <v>1178</v>
      </c>
      <c r="L5" s="1575" t="s">
        <v>1179</v>
      </c>
      <c r="M5" s="1576" t="s">
        <v>1180</v>
      </c>
      <c r="N5" s="1577" t="s">
        <v>3439</v>
      </c>
      <c r="O5" s="1575" t="s">
        <v>1181</v>
      </c>
      <c r="P5" s="1578" t="s">
        <v>1182</v>
      </c>
      <c r="Q5" s="58" t="s">
        <v>1183</v>
      </c>
      <c r="R5" s="1579" t="s">
        <v>1184</v>
      </c>
      <c r="S5" s="1580" t="s">
        <v>1185</v>
      </c>
      <c r="T5" s="1581" t="s">
        <v>1186</v>
      </c>
      <c r="U5" s="983" t="s">
        <v>1187</v>
      </c>
      <c r="V5" s="504" t="s">
        <v>1188</v>
      </c>
      <c r="W5" s="504" t="s">
        <v>1189</v>
      </c>
      <c r="X5" s="60"/>
      <c r="Y5" s="59" t="s">
        <v>1190</v>
      </c>
      <c r="Z5" s="1099" t="s">
        <v>1187</v>
      </c>
      <c r="AA5" s="504" t="s">
        <v>1188</v>
      </c>
      <c r="AB5" s="504" t="s">
        <v>1189</v>
      </c>
      <c r="AC5" s="60"/>
      <c r="AD5" s="60" t="s">
        <v>1190</v>
      </c>
      <c r="AE5" s="983" t="s">
        <v>1191</v>
      </c>
      <c r="AF5" s="504" t="s">
        <v>1192</v>
      </c>
      <c r="AG5" s="59" t="s">
        <v>1193</v>
      </c>
      <c r="AH5" s="983" t="s">
        <v>1194</v>
      </c>
      <c r="AI5" s="1099" t="s">
        <v>1195</v>
      </c>
      <c r="AJ5" s="1099" t="s">
        <v>1196</v>
      </c>
      <c r="AK5" s="504" t="s">
        <v>1197</v>
      </c>
      <c r="AL5" s="504" t="s">
        <v>1198</v>
      </c>
      <c r="AM5" s="59" t="s">
        <v>1199</v>
      </c>
      <c r="AN5" s="1582" t="s">
        <v>1200</v>
      </c>
      <c r="AO5" s="1452" t="s">
        <v>1201</v>
      </c>
      <c r="AP5" s="966" t="s">
        <v>1202</v>
      </c>
      <c r="AQ5" s="1583" t="s">
        <v>1203</v>
      </c>
      <c r="AR5" s="1583"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9" customFormat="1" ht="13.8">
      <c r="A6" s="1584">
        <f>'数据-汇总表'!C19</f>
        <v>102</v>
      </c>
      <c r="B6" s="1585" t="str">
        <f>IF(A6=0,"","经营性")</f>
        <v>经营性</v>
      </c>
      <c r="C6" s="1586" t="s">
        <v>673</v>
      </c>
      <c r="D6" s="805">
        <f>SUMIF(项目基本情况!C$12:I$12,C6,项目基本情况!C$14:I$14)</f>
        <v>0</v>
      </c>
      <c r="E6" s="804">
        <f>IF(B6="","",SUMIF(项目基本情况!C$12:I$12,C6,项目基本情况!C$13:I$13))</f>
        <v>55458</v>
      </c>
      <c r="F6" s="61">
        <f>SUMIF(项目基本情况!C$12:I$12,C6,项目基本情况!C$15:I$15)</f>
        <v>26.47</v>
      </c>
      <c r="G6" s="62">
        <f>IF(ISERROR(ROUND(POWER(1+H6,D6-F6)*(POWER(1+H6,F6)-1)/(POWER(1+H6,D6)-1),3)),0,ROUND(POWER(1+H6,D6-F6)*(POWER(1+H6,F6)-1)/(POWER(1+H6,D6)-1),3))</f>
        <v>0</v>
      </c>
      <c r="H6" s="691">
        <v>0.05</v>
      </c>
      <c r="I6" s="691">
        <v>5.5E-2</v>
      </c>
      <c r="J6" s="63">
        <v>7.0000000000000007E-2</v>
      </c>
      <c r="K6" s="968">
        <f>SUMIF('数据-汇总表'!C$19:C$33,A6,'数据-汇总表'!E$19:E$33)</f>
        <v>245.74</v>
      </c>
      <c r="L6" s="692">
        <v>4000</v>
      </c>
      <c r="M6" s="64">
        <f t="shared" ref="M6:M14" si="0">ROUND(K6*L6/10000,0)</f>
        <v>98</v>
      </c>
      <c r="N6" s="690">
        <f>N21</f>
        <v>0.81</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0">
        <f>ROUND($L$14*S6/10000,0)</f>
        <v>0</v>
      </c>
      <c r="U6" s="3122">
        <f>信息!B15</f>
        <v>6.25</v>
      </c>
      <c r="V6" s="67">
        <v>0.02</v>
      </c>
      <c r="W6" s="67">
        <v>0.2</v>
      </c>
      <c r="X6" s="977"/>
      <c r="Y6" s="68">
        <f>N6</f>
        <v>0.81</v>
      </c>
      <c r="Z6" s="69"/>
      <c r="AA6" s="63"/>
      <c r="AB6" s="63"/>
      <c r="AC6" s="977"/>
      <c r="AD6" s="70"/>
      <c r="AE6" s="978">
        <f ca="1">IF(AN6="",0,SUMIF(INDIRECT("'"&amp;AN6&amp;"'"&amp;"!E:E"),$AE$5,INDIRECT("'"&amp;AN6&amp;"'"&amp;"!F:F")))</f>
        <v>26.47</v>
      </c>
      <c r="AF6" s="74"/>
      <c r="AG6" s="130">
        <f>IF(AF6="",0,AE6-AF6)</f>
        <v>0</v>
      </c>
      <c r="AH6" s="71"/>
      <c r="AI6" s="73">
        <v>365</v>
      </c>
      <c r="AJ6" s="74"/>
      <c r="AK6" s="75">
        <v>0.01</v>
      </c>
      <c r="AL6" s="76">
        <v>1E-3</v>
      </c>
      <c r="AM6" s="77">
        <v>0.01</v>
      </c>
      <c r="AN6" s="1587" t="s">
        <v>3444</v>
      </c>
      <c r="AO6" s="50">
        <f ca="1">SUMIF(INDIRECT("'"&amp;AN6&amp;"'"&amp;"!A:A"),"总价",INDIRECT("'"&amp;AN6&amp;"'"&amp;"!B:B"))</f>
        <v>605.55190000000005</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3.8">
      <c r="A7" s="1584">
        <f>'数据-汇总表'!C20</f>
        <v>0</v>
      </c>
      <c r="B7" s="1585" t="str">
        <f t="shared" ref="B7:B13" si="1">IF(A7=0,"","经营性")</f>
        <v/>
      </c>
      <c r="C7" s="1586"/>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68">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2"/>
      <c r="V7" s="67"/>
      <c r="W7" s="67"/>
      <c r="X7" s="977"/>
      <c r="Y7" s="68"/>
      <c r="Z7" s="69"/>
      <c r="AA7" s="63"/>
      <c r="AB7" s="63"/>
      <c r="AC7" s="977"/>
      <c r="AD7" s="70"/>
      <c r="AE7" s="978">
        <f t="shared" ref="AE7:AE13" ca="1" si="6">IF(AN7="",0,SUMIF(INDIRECT("'"&amp;AN7&amp;"'"&amp;"!E:E"),$AE$5,INDIRECT("'"&amp;AN7&amp;"'"&amp;"!F:F")))</f>
        <v>0</v>
      </c>
      <c r="AF7" s="74"/>
      <c r="AG7" s="130">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3.8">
      <c r="A8" s="1584">
        <f>'数据-汇总表'!C21</f>
        <v>0</v>
      </c>
      <c r="B8" s="1585" t="str">
        <f t="shared" si="1"/>
        <v/>
      </c>
      <c r="C8" s="1586"/>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68">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0">
        <f t="shared" si="5"/>
        <v>0</v>
      </c>
      <c r="U8" s="3123"/>
      <c r="V8" s="694"/>
      <c r="W8" s="694"/>
      <c r="X8" s="977"/>
      <c r="Y8" s="68"/>
      <c r="Z8" s="69"/>
      <c r="AA8" s="63"/>
      <c r="AB8" s="63"/>
      <c r="AC8" s="977"/>
      <c r="AD8" s="70"/>
      <c r="AE8" s="978">
        <f t="shared" ca="1" si="6"/>
        <v>0</v>
      </c>
      <c r="AF8" s="74"/>
      <c r="AG8" s="130">
        <f t="shared" si="7"/>
        <v>0</v>
      </c>
      <c r="AH8" s="695"/>
      <c r="AI8" s="73"/>
      <c r="AJ8" s="74"/>
      <c r="AK8" s="696"/>
      <c r="AL8" s="697"/>
      <c r="AM8" s="106"/>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3.8">
      <c r="A9" s="1584">
        <f>'数据-汇总表'!C22</f>
        <v>0</v>
      </c>
      <c r="B9" s="1585" t="str">
        <f t="shared" si="1"/>
        <v/>
      </c>
      <c r="C9" s="1586"/>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2"/>
      <c r="V9" s="67"/>
      <c r="W9" s="67"/>
      <c r="X9" s="977"/>
      <c r="Y9" s="68"/>
      <c r="Z9" s="69"/>
      <c r="AA9" s="63"/>
      <c r="AB9" s="63"/>
      <c r="AC9" s="977"/>
      <c r="AD9" s="70"/>
      <c r="AE9" s="978">
        <f t="shared" ca="1" si="6"/>
        <v>0</v>
      </c>
      <c r="AF9" s="74"/>
      <c r="AG9" s="130">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3.8">
      <c r="A10" s="1584">
        <f>'数据-汇总表'!C23</f>
        <v>0</v>
      </c>
      <c r="B10" s="1585" t="str">
        <f t="shared" si="1"/>
        <v/>
      </c>
      <c r="C10" s="1586"/>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2"/>
      <c r="V10" s="67"/>
      <c r="W10" s="67"/>
      <c r="X10" s="977"/>
      <c r="Y10" s="68"/>
      <c r="Z10" s="69"/>
      <c r="AA10" s="63"/>
      <c r="AB10" s="63"/>
      <c r="AC10" s="977"/>
      <c r="AD10" s="70"/>
      <c r="AE10" s="978">
        <f t="shared" ca="1" si="6"/>
        <v>0</v>
      </c>
      <c r="AF10" s="74"/>
      <c r="AG10" s="130">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3.8">
      <c r="A11" s="1584">
        <f>'数据-汇总表'!C24</f>
        <v>0</v>
      </c>
      <c r="B11" s="1585" t="str">
        <f t="shared" si="1"/>
        <v/>
      </c>
      <c r="C11" s="1586"/>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2"/>
      <c r="V11" s="63"/>
      <c r="W11" s="63"/>
      <c r="X11" s="977"/>
      <c r="Y11" s="68"/>
      <c r="Z11" s="81"/>
      <c r="AA11" s="63"/>
      <c r="AB11" s="63"/>
      <c r="AC11" s="977"/>
      <c r="AD11" s="70"/>
      <c r="AE11" s="978">
        <f t="shared" ca="1" si="6"/>
        <v>0</v>
      </c>
      <c r="AF11" s="74"/>
      <c r="AG11" s="130">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3.8">
      <c r="A12" s="1584">
        <f>'数据-汇总表'!C25</f>
        <v>0</v>
      </c>
      <c r="B12" s="1585" t="str">
        <f t="shared" si="1"/>
        <v/>
      </c>
      <c r="C12" s="1586"/>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2"/>
      <c r="V12" s="63"/>
      <c r="W12" s="63"/>
      <c r="X12" s="977"/>
      <c r="Y12" s="68"/>
      <c r="Z12" s="81"/>
      <c r="AA12" s="63"/>
      <c r="AB12" s="63"/>
      <c r="AC12" s="977"/>
      <c r="AD12" s="70"/>
      <c r="AE12" s="978">
        <f t="shared" ca="1" si="6"/>
        <v>0</v>
      </c>
      <c r="AF12" s="74"/>
      <c r="AG12" s="130">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3.8">
      <c r="A13" s="1584">
        <f>'数据-汇总表'!C26</f>
        <v>0</v>
      </c>
      <c r="B13" s="1585" t="str">
        <f t="shared" si="1"/>
        <v/>
      </c>
      <c r="C13" s="1586"/>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4"/>
      <c r="V13" s="67"/>
      <c r="W13" s="67"/>
      <c r="X13" s="977"/>
      <c r="Y13" s="68"/>
      <c r="Z13" s="69"/>
      <c r="AA13" s="63"/>
      <c r="AB13" s="63"/>
      <c r="AC13" s="977"/>
      <c r="AD13" s="70"/>
      <c r="AE13" s="978">
        <f t="shared" ca="1" si="6"/>
        <v>0</v>
      </c>
      <c r="AF13" s="74"/>
      <c r="AG13" s="130">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4">
      <c r="A14" s="1589" t="s">
        <v>1205</v>
      </c>
      <c r="B14" s="1585" t="s">
        <v>1206</v>
      </c>
      <c r="C14" s="1590" t="s">
        <v>1205</v>
      </c>
      <c r="D14" s="805"/>
      <c r="E14" s="804"/>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7"/>
      <c r="V14" s="973"/>
      <c r="W14" s="973"/>
      <c r="X14" s="974"/>
      <c r="Y14" s="975"/>
      <c r="Z14" s="54"/>
      <c r="AA14" s="976"/>
      <c r="AB14" s="976"/>
      <c r="AC14" s="977"/>
      <c r="AD14" s="974"/>
      <c r="AE14" s="978"/>
      <c r="AF14" s="50"/>
      <c r="AG14" s="130"/>
      <c r="AH14" s="978"/>
      <c r="AI14" s="1264"/>
      <c r="AJ14" s="50"/>
      <c r="AK14" s="979"/>
      <c r="AL14" s="980"/>
      <c r="AM14" s="981"/>
      <c r="AN14" s="2444"/>
      <c r="AO14" s="2435"/>
      <c r="AP14" s="2435"/>
      <c r="AQ14" s="2435"/>
      <c r="AR14" s="2435"/>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8.8">
      <c r="A15" s="1589" t="s">
        <v>1207</v>
      </c>
      <c r="B15" s="1585" t="s">
        <v>1206</v>
      </c>
      <c r="C15" s="1590" t="s">
        <v>1208</v>
      </c>
      <c r="D15" s="805"/>
      <c r="E15" s="804"/>
      <c r="F15" s="61"/>
      <c r="G15" s="62"/>
      <c r="H15" s="967"/>
      <c r="I15" s="967"/>
      <c r="J15" s="967"/>
      <c r="K15" s="968">
        <f>SUMIF('数据-汇总表'!C$19:C$33,A15,'数据-汇总表'!E$19:E$33)</f>
        <v>0</v>
      </c>
      <c r="L15" s="969"/>
      <c r="M15" s="64"/>
      <c r="N15" s="970"/>
      <c r="O15" s="64"/>
      <c r="P15" s="65"/>
      <c r="Q15" s="971"/>
      <c r="R15" s="66"/>
      <c r="S15" s="49"/>
      <c r="T15" s="1090"/>
      <c r="U15" s="637"/>
      <c r="V15" s="973"/>
      <c r="W15" s="973"/>
      <c r="X15" s="974"/>
      <c r="Y15" s="975"/>
      <c r="Z15" s="54"/>
      <c r="AA15" s="976"/>
      <c r="AB15" s="976"/>
      <c r="AC15" s="977"/>
      <c r="AD15" s="974"/>
      <c r="AE15" s="978"/>
      <c r="AF15" s="50"/>
      <c r="AG15" s="130"/>
      <c r="AH15" s="978"/>
      <c r="AI15" s="1264"/>
      <c r="AJ15" s="50"/>
      <c r="AK15" s="979"/>
      <c r="AL15" s="980"/>
      <c r="AM15" s="981"/>
      <c r="AN15" s="2444"/>
      <c r="AO15" s="2435"/>
      <c r="AP15" s="2435"/>
      <c r="AQ15" s="2435"/>
      <c r="AR15" s="2435"/>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 thickBot="1">
      <c r="A16" s="1591" t="s">
        <v>1209</v>
      </c>
      <c r="B16" s="82"/>
      <c r="C16" s="783"/>
      <c r="D16" s="1592"/>
      <c r="E16" s="82"/>
      <c r="F16" s="82"/>
      <c r="G16" s="83" t="e">
        <f>ROUND(SUMPRODUCT(G6:G13,K6:K13)/SUMPRODUCT((G6:G13&gt;0)*(K6:K13)),3)</f>
        <v>#DIV/0!</v>
      </c>
      <c r="H16" s="84">
        <f>ROUND(SUMPRODUCT(H6:H13,K6:K13)/SUMPRODUCT((H6:H13&gt;0)*(K6:K13)),3)</f>
        <v>0.05</v>
      </c>
      <c r="I16" s="85"/>
      <c r="J16" s="85"/>
      <c r="K16" s="86">
        <f>SUM(K6:K15)</f>
        <v>245.74</v>
      </c>
      <c r="L16" s="87">
        <f>ROUND(M16*10000/SUM(K6:K14),0)</f>
        <v>3988</v>
      </c>
      <c r="M16" s="87">
        <f>SUM(M6:M14)</f>
        <v>98</v>
      </c>
      <c r="N16" s="88">
        <f>ROUND(SUMPRODUCT(M6:M14,N6:N14)/M16,3)</f>
        <v>0.81</v>
      </c>
      <c r="O16" s="87">
        <f>SUM(O6:O14)</f>
        <v>0</v>
      </c>
      <c r="P16" s="87">
        <f>SUM(P6:P14)</f>
        <v>0</v>
      </c>
      <c r="Q16" s="89">
        <f>ROUND(SUMPRODUCT(Q6:Q13,K6:K13)/SUMPRODUCT((Q6:Q13&gt;0)*(K6:K13)),2)</f>
        <v>0.15</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5"/>
      <c r="AP16" s="2435"/>
      <c r="AQ16" s="2435"/>
      <c r="AR16" s="2435"/>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8" thickBot="1">
      <c r="A17" s="1593"/>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5"/>
      <c r="D18" s="2447"/>
      <c r="E18" s="2435"/>
      <c r="F18" s="2435"/>
      <c r="G18" s="2435"/>
      <c r="H18" s="2435"/>
      <c r="I18" s="2435"/>
      <c r="J18" s="2435"/>
      <c r="K18" s="2445"/>
      <c r="L18" s="2445"/>
      <c r="M18" s="3164" t="s">
        <v>3440</v>
      </c>
      <c r="N18" s="2444">
        <f>信息!$L$2</f>
        <v>2011</v>
      </c>
      <c r="O18" s="3164" t="s">
        <v>3441</v>
      </c>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4">
      <c r="A19" s="1594" t="s">
        <v>1211</v>
      </c>
      <c r="B19" s="97">
        <v>0</v>
      </c>
      <c r="C19" s="2556" t="s">
        <v>2297</v>
      </c>
      <c r="D19" s="2447"/>
      <c r="E19" s="2435"/>
      <c r="F19" s="2435"/>
      <c r="G19" s="2435"/>
      <c r="H19" s="2435"/>
      <c r="I19" s="2435"/>
      <c r="J19" s="2435"/>
      <c r="K19" s="2445"/>
      <c r="L19" s="2445"/>
      <c r="M19" s="3164" t="s">
        <v>3443</v>
      </c>
      <c r="N19" s="2444">
        <f>ROUND(1-(1-0)*(2025-N18)/60,2)</f>
        <v>0.77</v>
      </c>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4">
      <c r="A20" s="1595" t="s">
        <v>1212</v>
      </c>
      <c r="B20" s="98">
        <v>2</v>
      </c>
      <c r="C20" s="2557" t="s">
        <v>2295</v>
      </c>
      <c r="D20" s="2447"/>
      <c r="E20" s="2435"/>
      <c r="F20" s="2435"/>
      <c r="G20" s="2435"/>
      <c r="H20" s="2435"/>
      <c r="I20" s="2435"/>
      <c r="J20" s="2435"/>
      <c r="K20" s="2445"/>
      <c r="L20" s="2445"/>
      <c r="M20" s="3164" t="s">
        <v>3568</v>
      </c>
      <c r="N20" s="2444">
        <v>0.85</v>
      </c>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4">
      <c r="A21" s="1596" t="s">
        <v>1213</v>
      </c>
      <c r="B21" s="98">
        <f>B20</f>
        <v>2</v>
      </c>
      <c r="C21" s="2435"/>
      <c r="D21" s="2447"/>
      <c r="E21" s="2435"/>
      <c r="F21" s="2435"/>
      <c r="G21" s="2435"/>
      <c r="H21" s="2435"/>
      <c r="I21" s="2435"/>
      <c r="J21" s="2435"/>
      <c r="K21" s="2445"/>
      <c r="L21" s="2445"/>
      <c r="M21" s="3164" t="s">
        <v>3569</v>
      </c>
      <c r="N21" s="2444">
        <f>ROUND((N19+N20)/2,2)</f>
        <v>0.81</v>
      </c>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4">
      <c r="A22" s="1595" t="s">
        <v>1214</v>
      </c>
      <c r="B22" s="99">
        <f>B19+B20</f>
        <v>2</v>
      </c>
      <c r="C22" s="2435"/>
      <c r="D22" s="2447"/>
      <c r="E22" s="2435"/>
      <c r="F22" s="2435"/>
      <c r="G22" s="2435"/>
      <c r="H22" s="2435"/>
      <c r="I22" s="2435"/>
      <c r="J22" s="2435"/>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4">
      <c r="A23" s="1596" t="s">
        <v>1215</v>
      </c>
      <c r="B23" s="99">
        <f>B19+B21</f>
        <v>2</v>
      </c>
      <c r="C23" s="2435"/>
      <c r="D23" s="2447"/>
      <c r="E23" s="2435"/>
      <c r="F23" s="2435"/>
      <c r="G23" s="2435"/>
      <c r="H23" s="2435"/>
      <c r="I23" s="2435"/>
      <c r="J23" s="2435"/>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7" t="s">
        <v>1216</v>
      </c>
      <c r="B24" s="100">
        <f>B20-B21</f>
        <v>0</v>
      </c>
      <c r="C24" s="2435"/>
      <c r="D24" s="2447"/>
      <c r="E24" s="2435"/>
      <c r="F24" s="2435"/>
      <c r="G24" s="2435"/>
      <c r="H24" s="2435"/>
      <c r="I24" s="2435"/>
      <c r="J24" s="2435"/>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4.4" thickBot="1">
      <c r="A25" s="1447"/>
      <c r="B25" s="1540"/>
      <c r="C25" s="2435"/>
      <c r="D25" s="2447"/>
      <c r="E25" s="2435"/>
      <c r="F25" s="2435"/>
      <c r="G25" s="2435"/>
      <c r="H25" s="2435"/>
      <c r="I25" s="2435"/>
      <c r="J25" s="2435"/>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0" t="s">
        <v>1217</v>
      </c>
      <c r="B26" s="1598" t="s">
        <v>1218</v>
      </c>
      <c r="C26" s="2448" t="s">
        <v>1219</v>
      </c>
      <c r="D26" s="2447"/>
      <c r="E26" s="2435"/>
      <c r="F26" s="2435"/>
      <c r="G26" s="2435"/>
      <c r="H26" s="2435"/>
      <c r="I26" s="2435"/>
      <c r="J26" s="2435"/>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8.8">
      <c r="A27" s="1599" t="s">
        <v>1220</v>
      </c>
      <c r="B27" s="101">
        <v>160</v>
      </c>
      <c r="C27" s="2558" t="s">
        <v>2299</v>
      </c>
      <c r="D27" s="2450"/>
      <c r="E27" s="2436"/>
      <c r="F27" s="2436"/>
      <c r="G27" s="2435"/>
      <c r="H27" s="2435"/>
      <c r="I27" s="2435"/>
      <c r="J27" s="2435"/>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8.8">
      <c r="A28" s="1600" t="s">
        <v>1221</v>
      </c>
      <c r="B28" s="103">
        <v>200</v>
      </c>
      <c r="C28" s="2451"/>
      <c r="D28" s="2450"/>
      <c r="E28" s="2436"/>
      <c r="F28" s="2436"/>
      <c r="G28" s="2435"/>
      <c r="H28" s="2435"/>
      <c r="I28" s="2435"/>
      <c r="J28" s="2435"/>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9.4" thickBot="1">
      <c r="A29" s="1601" t="s">
        <v>1222</v>
      </c>
      <c r="B29" s="105"/>
      <c r="C29" s="2559" t="s">
        <v>2289</v>
      </c>
      <c r="D29" s="2450"/>
      <c r="E29" s="2436"/>
      <c r="F29" s="2436"/>
      <c r="G29" s="2435"/>
      <c r="H29" s="2435"/>
      <c r="I29" s="2435"/>
      <c r="J29" s="2435"/>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8.8">
      <c r="A30" s="1602" t="s">
        <v>1223</v>
      </c>
      <c r="B30" s="638">
        <v>200</v>
      </c>
      <c r="C30" s="2451"/>
      <c r="D30" s="2450"/>
      <c r="E30" s="2436"/>
      <c r="F30" s="2436"/>
      <c r="G30" s="2435"/>
      <c r="H30" s="2435"/>
      <c r="I30" s="2435"/>
      <c r="J30" s="2435"/>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8.8">
      <c r="A31" s="1600" t="s">
        <v>1224</v>
      </c>
      <c r="B31" s="104">
        <f>B30-B32</f>
        <v>200</v>
      </c>
      <c r="C31" s="2449"/>
      <c r="D31" s="2450"/>
      <c r="E31" s="2436"/>
      <c r="F31" s="2436"/>
      <c r="G31" s="2435"/>
      <c r="H31" s="2435"/>
      <c r="I31" s="2435"/>
      <c r="J31" s="2435"/>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9.4" thickBot="1">
      <c r="A32" s="1603" t="s">
        <v>1225</v>
      </c>
      <c r="B32" s="639"/>
      <c r="C32" s="2451"/>
      <c r="D32" s="2447"/>
      <c r="E32" s="2435"/>
      <c r="F32" s="2435"/>
      <c r="G32" s="2435"/>
      <c r="H32" s="2435"/>
      <c r="I32" s="2435"/>
      <c r="J32" s="2435"/>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4">
      <c r="A33" s="1599" t="s">
        <v>1226</v>
      </c>
      <c r="B33" s="640">
        <v>0.05</v>
      </c>
      <c r="C33" s="2560" t="s">
        <v>3377</v>
      </c>
      <c r="D33" s="2447"/>
      <c r="E33" s="2435"/>
      <c r="F33" s="2435"/>
      <c r="G33" s="2435"/>
      <c r="H33" s="2435"/>
      <c r="I33" s="2435"/>
      <c r="J33" s="2435"/>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4">
      <c r="A34" s="1600" t="s">
        <v>1227</v>
      </c>
      <c r="B34" s="106">
        <v>0</v>
      </c>
      <c r="C34" s="2560" t="s">
        <v>2290</v>
      </c>
      <c r="D34" s="2455" t="s">
        <v>2296</v>
      </c>
      <c r="E34" s="2453"/>
      <c r="F34" s="2435"/>
      <c r="G34" s="2435"/>
      <c r="H34" s="2435"/>
      <c r="I34" s="2435"/>
      <c r="J34" s="2435"/>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4">
      <c r="A35" s="1600" t="s">
        <v>1228</v>
      </c>
      <c r="B35" s="103">
        <v>200</v>
      </c>
      <c r="C35" s="2560" t="s">
        <v>2291</v>
      </c>
      <c r="D35" s="2450"/>
      <c r="E35" s="2436"/>
      <c r="F35" s="2436"/>
      <c r="G35" s="2435"/>
      <c r="H35" s="2435"/>
      <c r="I35" s="2435"/>
      <c r="J35" s="2435"/>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1" t="s">
        <v>1229</v>
      </c>
      <c r="B36" s="107">
        <v>0.02</v>
      </c>
      <c r="C36" s="2560" t="s">
        <v>3395</v>
      </c>
      <c r="D36" s="2447"/>
      <c r="E36" s="2435"/>
      <c r="F36" s="2435"/>
      <c r="G36" s="2435"/>
      <c r="H36" s="2435"/>
      <c r="I36" s="2435"/>
      <c r="J36" s="2435"/>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4">
      <c r="A37" s="1602" t="s">
        <v>1230</v>
      </c>
      <c r="B37" s="108">
        <v>0.02</v>
      </c>
      <c r="C37" s="2560" t="s">
        <v>3378</v>
      </c>
      <c r="D37" s="2447"/>
      <c r="E37" s="2435"/>
      <c r="F37" s="2435"/>
      <c r="G37" s="2435"/>
      <c r="H37" s="2435"/>
      <c r="I37" s="2435"/>
      <c r="J37" s="2435"/>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4">
      <c r="A38" s="1600" t="s">
        <v>1231</v>
      </c>
      <c r="B38" s="106">
        <v>0.02</v>
      </c>
      <c r="C38" s="2560" t="s">
        <v>3379</v>
      </c>
      <c r="D38" s="2447"/>
      <c r="E38" s="2435"/>
      <c r="F38" s="2435"/>
      <c r="G38" s="2435"/>
      <c r="H38" s="2435"/>
      <c r="I38" s="2435"/>
      <c r="J38" s="2435"/>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4">
      <c r="A39" s="1603" t="s">
        <v>1232</v>
      </c>
      <c r="B39" s="309">
        <f ca="1">存贷款利率!I1</f>
        <v>1.4999999999999999E-2</v>
      </c>
      <c r="C39" s="2452"/>
      <c r="D39" s="2447"/>
      <c r="E39" s="2435"/>
      <c r="F39" s="2435"/>
      <c r="G39" s="2435"/>
      <c r="H39" s="2435"/>
      <c r="I39" s="2435"/>
      <c r="J39" s="2435"/>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4.4" thickBot="1">
      <c r="A40" s="2569" t="s">
        <v>2305</v>
      </c>
      <c r="B40" s="1013">
        <f ca="1">IF(A40="利息：取LPR",存贷款利率!G1,存贷款利率!G1+C40)</f>
        <v>3.1E-2</v>
      </c>
      <c r="C40" s="2568">
        <v>5.0000000000000001E-3</v>
      </c>
      <c r="D40" s="2444"/>
      <c r="E40" s="2447"/>
      <c r="F40" s="2435"/>
      <c r="G40" s="2435"/>
      <c r="H40" s="2435"/>
      <c r="I40" s="2435"/>
      <c r="J40" s="2435"/>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4">
      <c r="A41" s="1599" t="s">
        <v>1233</v>
      </c>
      <c r="B41" s="109">
        <f>B42+B43</f>
        <v>5.6000000000000001E-2</v>
      </c>
      <c r="C41" s="2449"/>
      <c r="D41" s="2444"/>
      <c r="E41" s="2447"/>
      <c r="F41" s="2435"/>
      <c r="G41" s="2435"/>
      <c r="H41" s="2435"/>
      <c r="I41" s="2435"/>
      <c r="J41" s="2435"/>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4">
      <c r="A42" s="1604" t="s">
        <v>1234</v>
      </c>
      <c r="B42" s="110">
        <v>0.05</v>
      </c>
      <c r="C42" s="2454">
        <f>IF(B2&lt;DATE(2016,5,1),0,B42)</f>
        <v>0.05</v>
      </c>
      <c r="D42" s="2447"/>
      <c r="E42" s="2435"/>
      <c r="F42" s="2435"/>
      <c r="G42" s="2435"/>
      <c r="H42" s="2435"/>
      <c r="I42" s="2435"/>
      <c r="J42" s="2435"/>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4">
      <c r="A43" s="1604" t="s">
        <v>1235</v>
      </c>
      <c r="B43" s="111">
        <f>B42*(B44+B45+B46)+B47</f>
        <v>6.000000000000001E-3</v>
      </c>
      <c r="C43" s="2449"/>
      <c r="D43" s="3163" t="s">
        <v>3438</v>
      </c>
      <c r="E43" s="2435"/>
      <c r="F43" s="2435"/>
      <c r="G43" s="2435"/>
      <c r="H43" s="2435"/>
      <c r="I43" s="2435"/>
      <c r="J43" s="2435"/>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4">
      <c r="A44" s="1605" t="s">
        <v>1236</v>
      </c>
      <c r="B44" s="112">
        <v>7.0000000000000007E-2</v>
      </c>
      <c r="C44" s="2560" t="s">
        <v>3380</v>
      </c>
      <c r="D44" s="2447"/>
      <c r="E44" s="2435"/>
      <c r="F44" s="2435"/>
      <c r="G44" s="2435"/>
      <c r="H44" s="2435"/>
      <c r="I44" s="2435"/>
      <c r="J44" s="2435"/>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4">
      <c r="A45" s="1605" t="s">
        <v>1237</v>
      </c>
      <c r="B45" s="110">
        <v>0.03</v>
      </c>
      <c r="C45" s="2559" t="s">
        <v>2292</v>
      </c>
      <c r="D45" s="2447"/>
      <c r="E45" s="2435"/>
      <c r="F45" s="2435"/>
      <c r="G45" s="2435"/>
      <c r="H45" s="2435"/>
      <c r="I45" s="2435"/>
      <c r="J45" s="2435"/>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4">
      <c r="A46" s="1605" t="s">
        <v>1238</v>
      </c>
      <c r="B46" s="110">
        <v>0.02</v>
      </c>
      <c r="C46" s="2559" t="s">
        <v>2293</v>
      </c>
      <c r="D46" s="2447"/>
      <c r="E46" s="2435"/>
      <c r="F46" s="2435"/>
      <c r="G46" s="2435"/>
      <c r="H46" s="2435"/>
      <c r="I46" s="2435"/>
      <c r="J46" s="2435"/>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6" t="s">
        <v>1239</v>
      </c>
      <c r="B47" s="113"/>
      <c r="C47" s="2562" t="s">
        <v>2300</v>
      </c>
      <c r="D47" s="2447"/>
      <c r="E47" s="2435"/>
      <c r="F47" s="2435"/>
      <c r="G47" s="2435"/>
      <c r="H47" s="2435"/>
      <c r="I47" s="2435"/>
      <c r="J47" s="2435"/>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4">
      <c r="A48" s="1607" t="s">
        <v>1240</v>
      </c>
      <c r="B48" s="114">
        <v>0.03</v>
      </c>
      <c r="C48" s="2559" t="s">
        <v>2292</v>
      </c>
      <c r="D48" s="2447"/>
      <c r="E48" s="2435"/>
      <c r="F48" s="2435"/>
      <c r="G48" s="2435"/>
      <c r="H48" s="2435"/>
      <c r="I48" s="2435"/>
      <c r="J48" s="2435"/>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3" t="s">
        <v>1241</v>
      </c>
      <c r="B49" s="110">
        <v>5.0000000000000001E-4</v>
      </c>
      <c r="C49" s="2559" t="s">
        <v>2294</v>
      </c>
      <c r="D49" s="2447"/>
      <c r="E49" s="2435"/>
      <c r="F49" s="2435"/>
      <c r="G49" s="2435"/>
      <c r="H49" s="2435"/>
      <c r="I49" s="2435"/>
      <c r="J49" s="2435"/>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4">
      <c r="A50" s="1608" t="s">
        <v>1242</v>
      </c>
      <c r="B50" s="115">
        <v>1.2E-2</v>
      </c>
      <c r="C50" s="2436"/>
      <c r="D50" s="2447"/>
      <c r="E50" s="2435"/>
      <c r="F50" s="2435"/>
      <c r="G50" s="2435"/>
      <c r="H50" s="2435"/>
      <c r="I50" s="2435"/>
      <c r="J50" s="2435"/>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1" t="s">
        <v>1243</v>
      </c>
      <c r="B51" s="116">
        <v>0.12</v>
      </c>
      <c r="C51" s="2436"/>
      <c r="D51" s="2447"/>
      <c r="E51" s="2435"/>
      <c r="F51" s="2435"/>
      <c r="G51" s="2435"/>
      <c r="H51" s="2435"/>
      <c r="I51" s="2435"/>
      <c r="J51" s="2435"/>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4">
      <c r="A52" s="1608" t="s">
        <v>1244</v>
      </c>
      <c r="B52" s="117">
        <f>SUMIF(A54:A63,B53,B54:B63)</f>
        <v>3</v>
      </c>
      <c r="C52" s="2436"/>
      <c r="D52" s="2447"/>
      <c r="E52" s="2435"/>
      <c r="F52" s="2435"/>
      <c r="G52" s="2435"/>
      <c r="H52" s="2435"/>
      <c r="I52" s="2435"/>
      <c r="J52" s="2435"/>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8.8">
      <c r="A53" s="1600" t="s">
        <v>1245</v>
      </c>
      <c r="B53" s="1609" t="s">
        <v>303</v>
      </c>
      <c r="C53" s="2436" t="s">
        <v>1246</v>
      </c>
      <c r="D53" s="2561" t="s">
        <v>2298</v>
      </c>
      <c r="E53" s="2435"/>
      <c r="F53" s="2435"/>
      <c r="G53" s="2435"/>
      <c r="H53" s="2435"/>
      <c r="I53" s="2435"/>
      <c r="J53" s="2435"/>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4">
      <c r="A54" s="1610" t="s">
        <v>1247</v>
      </c>
      <c r="B54" s="72"/>
      <c r="C54" s="2436">
        <v>30</v>
      </c>
      <c r="D54" s="2447"/>
      <c r="E54" s="2435"/>
      <c r="F54" s="2435"/>
      <c r="G54" s="2435"/>
      <c r="H54" s="2435"/>
      <c r="I54" s="2435"/>
      <c r="J54" s="2435"/>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4">
      <c r="A55" s="1610" t="s">
        <v>1248</v>
      </c>
      <c r="B55" s="72"/>
      <c r="C55" s="2436">
        <v>24</v>
      </c>
      <c r="D55" s="2447"/>
      <c r="E55" s="2435"/>
      <c r="F55" s="2435"/>
      <c r="G55" s="2435"/>
      <c r="H55" s="2435"/>
      <c r="I55" s="2435"/>
      <c r="J55" s="2435"/>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4">
      <c r="A56" s="1610" t="s">
        <v>1249</v>
      </c>
      <c r="B56" s="72"/>
      <c r="C56" s="2436">
        <v>18</v>
      </c>
      <c r="D56" s="2447"/>
      <c r="E56" s="2435"/>
      <c r="F56" s="2435"/>
      <c r="G56" s="2435"/>
      <c r="H56" s="2435"/>
      <c r="I56" s="2435"/>
      <c r="J56" s="2435"/>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4">
      <c r="A57" s="1610" t="s">
        <v>1250</v>
      </c>
      <c r="B57" s="72"/>
      <c r="C57" s="2436">
        <v>12</v>
      </c>
      <c r="D57" s="2447"/>
      <c r="E57" s="2435"/>
      <c r="F57" s="2435"/>
      <c r="G57" s="2435"/>
      <c r="H57" s="2435"/>
      <c r="I57" s="2435"/>
      <c r="J57" s="2435"/>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4">
      <c r="A58" s="1610" t="s">
        <v>1251</v>
      </c>
      <c r="B58" s="72">
        <f>C58</f>
        <v>3</v>
      </c>
      <c r="C58" s="2436">
        <v>3</v>
      </c>
      <c r="D58" s="2447"/>
      <c r="E58" s="2435"/>
      <c r="F58" s="2435"/>
      <c r="G58" s="2435"/>
      <c r="H58" s="2435"/>
      <c r="I58" s="2435"/>
      <c r="J58" s="2435"/>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4">
      <c r="A59" s="1610" t="s">
        <v>1252</v>
      </c>
      <c r="B59" s="72"/>
      <c r="C59" s="2436">
        <v>1.5</v>
      </c>
      <c r="D59" s="2447"/>
      <c r="E59" s="2435"/>
      <c r="F59" s="2435"/>
      <c r="G59" s="2435"/>
      <c r="H59" s="2435"/>
      <c r="I59" s="2435"/>
      <c r="J59" s="2435"/>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4">
      <c r="A60" s="1610" t="s">
        <v>1253</v>
      </c>
      <c r="B60" s="72"/>
      <c r="C60" s="2435"/>
      <c r="D60" s="2447"/>
      <c r="E60" s="2435"/>
      <c r="F60" s="2435"/>
      <c r="G60" s="2435"/>
      <c r="H60" s="2435"/>
      <c r="I60" s="2435"/>
      <c r="J60" s="2435"/>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4">
      <c r="A61" s="1610" t="s">
        <v>1254</v>
      </c>
      <c r="B61" s="72"/>
      <c r="C61" s="2435"/>
      <c r="D61" s="2447"/>
      <c r="E61" s="2435"/>
      <c r="F61" s="2435"/>
      <c r="G61" s="2435"/>
      <c r="H61" s="2435"/>
      <c r="I61" s="2435"/>
      <c r="J61" s="2435"/>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4">
      <c r="A62" s="1610" t="s">
        <v>1255</v>
      </c>
      <c r="B62" s="72"/>
      <c r="C62" s="2435"/>
      <c r="D62" s="2447"/>
      <c r="E62" s="2435"/>
      <c r="F62" s="2435"/>
      <c r="G62" s="2435"/>
      <c r="H62" s="2435"/>
      <c r="I62" s="2435"/>
      <c r="J62" s="2435"/>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1" t="s">
        <v>1256</v>
      </c>
      <c r="B63" s="118"/>
      <c r="C63" s="2435"/>
      <c r="D63" s="2447"/>
      <c r="E63" s="2435"/>
      <c r="F63" s="2435"/>
      <c r="G63" s="2435"/>
      <c r="H63" s="2435"/>
      <c r="I63" s="2435"/>
      <c r="J63" s="2435"/>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4" customFormat="1">
      <c r="A64" s="2438"/>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4" customFormat="1">
      <c r="A65" s="2438"/>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4" customFormat="1">
      <c r="A66" s="2438"/>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4" customFormat="1">
      <c r="A67" s="2438"/>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4" customFormat="1">
      <c r="A68" s="2438"/>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4" customFormat="1">
      <c r="A69" s="1612"/>
      <c r="D69" s="1613"/>
      <c r="K69" s="687"/>
      <c r="L69" s="687"/>
    </row>
    <row r="70" spans="1:44" s="684" customFormat="1">
      <c r="A70" s="1612"/>
      <c r="D70" s="1613"/>
      <c r="K70" s="687"/>
      <c r="L70" s="687"/>
    </row>
    <row r="71" spans="1:44" s="684" customFormat="1">
      <c r="A71" s="1612"/>
      <c r="D71" s="1613"/>
      <c r="K71" s="687"/>
      <c r="L71" s="687"/>
    </row>
    <row r="72" spans="1:44" s="684" customFormat="1">
      <c r="A72" s="1612"/>
      <c r="D72" s="1613"/>
      <c r="K72" s="687"/>
      <c r="L72" s="687"/>
    </row>
    <row r="73" spans="1:44" s="684" customFormat="1">
      <c r="A73" s="1612"/>
      <c r="D73" s="1613"/>
      <c r="K73" s="687"/>
      <c r="L73" s="687"/>
    </row>
    <row r="74" spans="1:44" s="684" customFormat="1">
      <c r="A74" s="1612"/>
      <c r="D74" s="1613"/>
      <c r="K74" s="687"/>
      <c r="L74" s="687"/>
    </row>
    <row r="75" spans="1:44" s="684" customFormat="1">
      <c r="A75" s="1612"/>
      <c r="D75" s="1613"/>
      <c r="K75" s="687"/>
      <c r="L75" s="687"/>
    </row>
    <row r="76" spans="1:44" s="684" customFormat="1">
      <c r="A76" s="1612"/>
      <c r="D76" s="1613"/>
      <c r="K76" s="687"/>
      <c r="L76" s="687"/>
    </row>
    <row r="77" spans="1:44" s="684" customFormat="1">
      <c r="A77" s="1612"/>
      <c r="D77" s="1613"/>
      <c r="K77" s="687"/>
      <c r="L77" s="687"/>
    </row>
    <row r="78" spans="1:44" s="684" customFormat="1">
      <c r="A78" s="1612"/>
      <c r="D78" s="1613"/>
      <c r="K78" s="687"/>
      <c r="L78" s="687"/>
    </row>
    <row r="79" spans="1:44" s="684" customFormat="1">
      <c r="A79" s="1612"/>
      <c r="D79" s="1613"/>
      <c r="K79" s="687"/>
      <c r="L79" s="687"/>
    </row>
    <row r="80" spans="1:44" s="684" customFormat="1">
      <c r="A80" s="1612"/>
      <c r="D80" s="1613"/>
      <c r="K80" s="687"/>
      <c r="L80" s="687"/>
    </row>
    <row r="81" spans="1:12" s="684" customFormat="1">
      <c r="A81" s="1612"/>
      <c r="D81" s="1613"/>
      <c r="K81" s="687"/>
      <c r="L81" s="687"/>
    </row>
    <row r="82" spans="1:12" s="684" customFormat="1">
      <c r="A82" s="1612"/>
      <c r="D82" s="1613"/>
      <c r="K82" s="687"/>
      <c r="L82" s="687"/>
    </row>
    <row r="83" spans="1:12" s="684" customFormat="1">
      <c r="A83" s="1612"/>
      <c r="D83" s="1613"/>
      <c r="K83" s="687"/>
      <c r="L83" s="687"/>
    </row>
    <row r="84" spans="1:12" s="684" customFormat="1">
      <c r="A84" s="1612"/>
      <c r="D84" s="1613"/>
      <c r="K84" s="687"/>
      <c r="L84" s="687"/>
    </row>
    <row r="85" spans="1:12" s="684" customFormat="1">
      <c r="A85" s="1612"/>
      <c r="D85" s="1613"/>
      <c r="K85" s="687"/>
      <c r="L85" s="687"/>
    </row>
    <row r="86" spans="1:12" s="684" customFormat="1">
      <c r="A86" s="1612"/>
      <c r="D86" s="1613"/>
      <c r="K86" s="687"/>
      <c r="L86" s="687"/>
    </row>
    <row r="87" spans="1:12" s="684" customFormat="1">
      <c r="A87" s="1612"/>
      <c r="D87" s="1613"/>
      <c r="K87" s="687"/>
      <c r="L87" s="687"/>
    </row>
    <row r="88" spans="1:12" s="684" customFormat="1">
      <c r="A88" s="1612"/>
      <c r="D88" s="1613"/>
      <c r="K88" s="687"/>
      <c r="L88" s="687"/>
    </row>
    <row r="89" spans="1:12" s="684" customFormat="1">
      <c r="A89" s="1612"/>
      <c r="D89" s="1613"/>
      <c r="K89" s="687"/>
      <c r="L89" s="687"/>
    </row>
    <row r="90" spans="1:12" s="684" customFormat="1">
      <c r="A90" s="1612"/>
      <c r="D90" s="1613"/>
      <c r="K90" s="687"/>
      <c r="L90" s="687"/>
    </row>
    <row r="91" spans="1:12" s="684" customFormat="1">
      <c r="A91" s="1612"/>
      <c r="D91" s="1613"/>
      <c r="K91" s="687"/>
      <c r="L91" s="687"/>
    </row>
    <row r="92" spans="1:12" s="684" customFormat="1">
      <c r="A92" s="1612"/>
      <c r="D92" s="1613"/>
      <c r="K92" s="687"/>
      <c r="L92" s="687"/>
    </row>
    <row r="93" spans="1:12" s="684" customFormat="1">
      <c r="A93" s="1612"/>
      <c r="D93" s="1613"/>
      <c r="K93" s="687"/>
      <c r="L93" s="687"/>
    </row>
    <row r="94" spans="1:12" s="684" customFormat="1">
      <c r="A94" s="1612"/>
      <c r="D94" s="1613"/>
      <c r="K94" s="687"/>
      <c r="L94" s="687"/>
    </row>
    <row r="95" spans="1:12" s="684" customFormat="1">
      <c r="A95" s="1612"/>
      <c r="D95" s="1613"/>
      <c r="K95" s="687"/>
      <c r="L95" s="687"/>
    </row>
    <row r="96" spans="1:12" s="684" customFormat="1">
      <c r="A96" s="1612"/>
      <c r="D96" s="1613"/>
      <c r="K96" s="687"/>
      <c r="L96" s="687"/>
    </row>
    <row r="97" spans="1:12" s="684" customFormat="1">
      <c r="A97" s="1612"/>
      <c r="D97" s="1613"/>
      <c r="K97" s="687"/>
      <c r="L97" s="687"/>
    </row>
    <row r="98" spans="1:12" s="684" customFormat="1">
      <c r="A98" s="1612"/>
      <c r="D98" s="1613"/>
      <c r="K98" s="687"/>
      <c r="L98" s="687"/>
    </row>
    <row r="99" spans="1:12" s="684" customFormat="1">
      <c r="A99" s="1612"/>
      <c r="D99" s="1613"/>
      <c r="K99" s="687"/>
      <c r="L99" s="687"/>
    </row>
    <row r="100" spans="1:12" s="684" customFormat="1">
      <c r="A100" s="1612"/>
      <c r="D100" s="1613"/>
      <c r="K100" s="687"/>
      <c r="L100" s="687"/>
    </row>
    <row r="101" spans="1:12" s="684" customFormat="1">
      <c r="A101" s="1612"/>
      <c r="D101" s="1613"/>
      <c r="K101" s="687"/>
      <c r="L101" s="687"/>
    </row>
    <row r="102" spans="1:12" s="684" customFormat="1">
      <c r="A102" s="1612"/>
      <c r="D102" s="1613"/>
      <c r="K102" s="687"/>
      <c r="L102" s="687"/>
    </row>
    <row r="103" spans="1:12" s="684" customFormat="1">
      <c r="A103" s="1612"/>
      <c r="D103" s="1613"/>
      <c r="K103" s="687"/>
      <c r="L103" s="687"/>
    </row>
    <row r="104" spans="1:12" s="684" customFormat="1">
      <c r="A104" s="1612"/>
      <c r="D104" s="1613"/>
      <c r="K104" s="687"/>
      <c r="L104" s="687"/>
    </row>
    <row r="105" spans="1:12" s="684" customFormat="1">
      <c r="A105" s="1612"/>
      <c r="D105" s="1613"/>
      <c r="K105" s="687"/>
      <c r="L105" s="687"/>
    </row>
    <row r="106" spans="1:12" s="684" customFormat="1">
      <c r="A106" s="1612"/>
      <c r="D106" s="1613"/>
      <c r="K106" s="687"/>
      <c r="L106" s="687"/>
    </row>
    <row r="107" spans="1:12" s="684" customFormat="1">
      <c r="A107" s="1612"/>
      <c r="D107" s="1613"/>
      <c r="K107" s="687"/>
      <c r="L107" s="687"/>
    </row>
    <row r="108" spans="1:12" s="684" customFormat="1">
      <c r="A108" s="1612"/>
      <c r="D108" s="1613"/>
      <c r="K108" s="687"/>
      <c r="L108" s="687"/>
    </row>
    <row r="109" spans="1:12" s="684" customFormat="1">
      <c r="A109" s="1612"/>
      <c r="D109" s="1613"/>
      <c r="K109" s="687"/>
      <c r="L109" s="687"/>
    </row>
    <row r="110" spans="1:12" s="684" customFormat="1">
      <c r="A110" s="1612"/>
      <c r="D110" s="1613"/>
      <c r="K110" s="687"/>
      <c r="L110" s="687"/>
    </row>
    <row r="111" spans="1:12" s="684" customFormat="1">
      <c r="A111" s="1612"/>
      <c r="D111" s="1613"/>
      <c r="K111" s="687"/>
      <c r="L111" s="687"/>
    </row>
    <row r="112" spans="1:12" s="684" customFormat="1">
      <c r="A112" s="1612"/>
      <c r="D112" s="1613"/>
      <c r="K112" s="687"/>
      <c r="L112" s="687"/>
    </row>
    <row r="113" spans="1:12" s="684" customFormat="1">
      <c r="A113" s="1612"/>
      <c r="D113" s="1613"/>
      <c r="K113" s="687"/>
      <c r="L113" s="687"/>
    </row>
    <row r="114" spans="1:12" s="684" customFormat="1">
      <c r="A114" s="1612"/>
      <c r="D114" s="1613"/>
      <c r="K114" s="687"/>
      <c r="L114" s="687"/>
    </row>
    <row r="115" spans="1:12" s="684" customFormat="1">
      <c r="A115" s="1612"/>
      <c r="D115" s="1613"/>
      <c r="K115" s="687"/>
      <c r="L115" s="687"/>
    </row>
    <row r="116" spans="1:12" s="684" customFormat="1">
      <c r="A116" s="1612"/>
      <c r="D116" s="1613"/>
      <c r="K116" s="687"/>
      <c r="L116" s="687"/>
    </row>
    <row r="117" spans="1:12" s="684" customFormat="1">
      <c r="A117" s="1612"/>
      <c r="D117" s="1613"/>
      <c r="K117" s="687"/>
      <c r="L117" s="687"/>
    </row>
    <row r="118" spans="1:12" s="684" customFormat="1">
      <c r="A118" s="1612"/>
      <c r="D118" s="1613"/>
      <c r="K118" s="687"/>
      <c r="L118" s="687"/>
    </row>
    <row r="119" spans="1:12" s="684" customFormat="1">
      <c r="A119" s="1612"/>
      <c r="D119" s="1613"/>
      <c r="K119" s="687"/>
      <c r="L119" s="687"/>
    </row>
    <row r="120" spans="1:12" s="684" customFormat="1">
      <c r="A120" s="1612"/>
      <c r="D120" s="1613"/>
      <c r="K120" s="687"/>
      <c r="L120" s="687"/>
    </row>
    <row r="121" spans="1:12" s="684" customFormat="1">
      <c r="A121" s="1612"/>
      <c r="D121" s="1613"/>
      <c r="K121" s="687"/>
      <c r="L121" s="687"/>
    </row>
    <row r="122" spans="1:12" s="684" customFormat="1">
      <c r="A122" s="1612"/>
      <c r="D122" s="1613"/>
      <c r="K122" s="687"/>
      <c r="L122" s="687"/>
    </row>
    <row r="123" spans="1:12" s="684" customFormat="1">
      <c r="A123" s="1612"/>
      <c r="D123" s="1613"/>
      <c r="K123" s="687"/>
      <c r="L123" s="687"/>
    </row>
    <row r="124" spans="1:12" s="684" customFormat="1">
      <c r="A124" s="1612"/>
      <c r="D124" s="1613"/>
      <c r="K124" s="687"/>
      <c r="L124" s="687"/>
    </row>
    <row r="125" spans="1:12" s="684" customFormat="1">
      <c r="A125" s="1612"/>
      <c r="D125" s="1613"/>
      <c r="K125" s="687"/>
      <c r="L125" s="687"/>
    </row>
    <row r="126" spans="1:12" s="684" customFormat="1">
      <c r="A126" s="1612"/>
      <c r="D126" s="1613"/>
      <c r="K126" s="687"/>
      <c r="L126" s="687"/>
    </row>
    <row r="127" spans="1:12" s="684" customFormat="1">
      <c r="A127" s="1612"/>
      <c r="D127" s="1613"/>
      <c r="K127" s="687"/>
      <c r="L127" s="687"/>
    </row>
    <row r="128" spans="1:12" s="684" customFormat="1">
      <c r="A128" s="1612"/>
      <c r="D128" s="1613"/>
      <c r="K128" s="687"/>
      <c r="L128" s="687"/>
    </row>
    <row r="129" spans="1:12" s="684" customFormat="1">
      <c r="A129" s="1612"/>
      <c r="D129" s="1613"/>
      <c r="K129" s="687"/>
      <c r="L129" s="687"/>
    </row>
    <row r="130" spans="1:12" s="684" customFormat="1">
      <c r="A130" s="1612"/>
      <c r="D130" s="1613"/>
      <c r="K130" s="687"/>
      <c r="L130" s="687"/>
    </row>
    <row r="131" spans="1:12" s="684" customFormat="1">
      <c r="A131" s="1612"/>
      <c r="D131" s="1613"/>
      <c r="K131" s="687"/>
      <c r="L131" s="687"/>
    </row>
    <row r="132" spans="1:12" s="684" customFormat="1">
      <c r="A132" s="1612"/>
      <c r="D132" s="1613"/>
      <c r="K132" s="687"/>
      <c r="L132" s="687"/>
    </row>
    <row r="133" spans="1:12" s="684" customFormat="1">
      <c r="A133" s="1612"/>
      <c r="D133" s="1613"/>
      <c r="K133" s="687"/>
      <c r="L133" s="687"/>
    </row>
    <row r="134" spans="1:12" s="122" customFormat="1">
      <c r="A134" s="1614"/>
      <c r="D134" s="1615"/>
      <c r="K134" s="24"/>
      <c r="L134" s="24"/>
    </row>
    <row r="135" spans="1:12" s="122" customFormat="1">
      <c r="A135" s="1614"/>
      <c r="D135" s="1615"/>
      <c r="K135" s="24"/>
      <c r="L135" s="24"/>
    </row>
    <row r="136" spans="1:12" s="122" customFormat="1">
      <c r="A136" s="1614"/>
      <c r="D136" s="1615"/>
      <c r="K136" s="24"/>
      <c r="L136" s="24"/>
    </row>
    <row r="137" spans="1:12" s="122" customFormat="1">
      <c r="A137" s="1614"/>
      <c r="D137" s="1615"/>
      <c r="K137" s="24"/>
      <c r="L137" s="24"/>
    </row>
    <row r="138" spans="1:12" s="122" customFormat="1">
      <c r="A138" s="1614"/>
      <c r="D138" s="1615"/>
      <c r="K138" s="24"/>
      <c r="L138" s="24"/>
    </row>
    <row r="139" spans="1:12" s="122" customFormat="1">
      <c r="A139" s="1614"/>
      <c r="D139" s="1615"/>
      <c r="K139" s="24"/>
      <c r="L139" s="24"/>
    </row>
    <row r="140" spans="1:12" s="122" customFormat="1">
      <c r="A140" s="1614"/>
      <c r="D140" s="1615"/>
      <c r="K140" s="24"/>
      <c r="L140" s="24"/>
    </row>
    <row r="141" spans="1:12" s="122" customFormat="1">
      <c r="A141" s="1614"/>
      <c r="D141" s="1615"/>
      <c r="K141" s="24"/>
      <c r="L141" s="24"/>
    </row>
    <row r="142" spans="1:12" s="122" customFormat="1">
      <c r="A142" s="1614"/>
      <c r="D142" s="1615"/>
      <c r="K142" s="24"/>
      <c r="L142" s="24"/>
    </row>
    <row r="143" spans="1:12" s="122" customFormat="1">
      <c r="A143" s="1614"/>
      <c r="D143" s="1615"/>
      <c r="K143" s="24"/>
      <c r="L143" s="24"/>
    </row>
    <row r="144" spans="1:12" s="122" customFormat="1">
      <c r="A144" s="1614"/>
      <c r="D144" s="1615"/>
      <c r="K144" s="24"/>
      <c r="L144" s="24"/>
    </row>
    <row r="145" spans="1:12" s="122" customFormat="1">
      <c r="A145" s="1614"/>
      <c r="D145" s="1615"/>
      <c r="K145" s="24"/>
      <c r="L145" s="24"/>
    </row>
    <row r="146" spans="1:12" s="122" customFormat="1">
      <c r="A146" s="1614"/>
      <c r="D146" s="1615"/>
      <c r="K146" s="24"/>
      <c r="L146" s="24"/>
    </row>
    <row r="147" spans="1:12" s="122" customFormat="1">
      <c r="A147" s="1614"/>
      <c r="D147" s="1615"/>
      <c r="K147" s="24"/>
      <c r="L147" s="24"/>
    </row>
    <row r="148" spans="1:12" s="122" customFormat="1">
      <c r="A148" s="1614"/>
      <c r="D148" s="1615"/>
      <c r="K148" s="24"/>
      <c r="L148" s="24"/>
    </row>
    <row r="149" spans="1:12" s="122" customFormat="1">
      <c r="A149" s="1614"/>
      <c r="D149" s="1615"/>
      <c r="K149" s="24"/>
      <c r="L149" s="24"/>
    </row>
    <row r="150" spans="1:12" s="122" customFormat="1">
      <c r="A150" s="1614"/>
      <c r="D150" s="1615"/>
      <c r="K150" s="24"/>
      <c r="L150" s="24"/>
    </row>
    <row r="151" spans="1:12" s="122" customFormat="1">
      <c r="A151" s="1614"/>
      <c r="D151" s="1615"/>
      <c r="K151" s="24"/>
      <c r="L151" s="24"/>
    </row>
    <row r="152" spans="1:12" s="122" customFormat="1">
      <c r="A152" s="1614"/>
      <c r="D152" s="1615"/>
      <c r="K152" s="24"/>
      <c r="L152" s="24"/>
    </row>
    <row r="153" spans="1:12" s="122" customFormat="1">
      <c r="A153" s="1614"/>
      <c r="D153" s="1615"/>
      <c r="K153" s="24"/>
      <c r="L153" s="24"/>
    </row>
    <row r="154" spans="1:12" s="122" customFormat="1">
      <c r="A154" s="1614"/>
      <c r="D154" s="1615"/>
      <c r="K154" s="24"/>
      <c r="L154" s="24"/>
    </row>
    <row r="155" spans="1:12" s="122" customFormat="1">
      <c r="A155" s="1614"/>
      <c r="D155" s="1615"/>
      <c r="K155" s="24"/>
      <c r="L155" s="24"/>
    </row>
    <row r="156" spans="1:12" s="122" customFormat="1">
      <c r="A156" s="1614"/>
      <c r="D156" s="1615"/>
      <c r="K156" s="24"/>
      <c r="L156" s="24"/>
    </row>
    <row r="157" spans="1:12" s="122" customFormat="1">
      <c r="A157" s="1614"/>
      <c r="D157" s="1615"/>
      <c r="K157" s="24"/>
      <c r="L157" s="24"/>
    </row>
    <row r="158" spans="1:12" s="122" customFormat="1">
      <c r="A158" s="1614"/>
      <c r="D158" s="1615"/>
      <c r="K158" s="24"/>
      <c r="L158" s="24"/>
    </row>
    <row r="159" spans="1:12" s="122" customFormat="1">
      <c r="A159" s="1614"/>
      <c r="D159" s="1615"/>
      <c r="K159" s="24"/>
      <c r="L159" s="24"/>
    </row>
    <row r="160" spans="1:12" s="122" customFormat="1">
      <c r="A160" s="1614"/>
      <c r="D160" s="1615"/>
      <c r="K160" s="24"/>
      <c r="L160" s="24"/>
    </row>
    <row r="161" spans="1:12" s="122" customFormat="1">
      <c r="A161" s="1614"/>
      <c r="D161" s="1615"/>
      <c r="K161" s="24"/>
      <c r="L161" s="24"/>
    </row>
    <row r="162" spans="1:12" s="122" customFormat="1">
      <c r="A162" s="1614"/>
      <c r="D162" s="1615"/>
      <c r="K162" s="24"/>
      <c r="L162" s="24"/>
    </row>
    <row r="163" spans="1:12" s="122" customFormat="1">
      <c r="A163" s="1614"/>
      <c r="D163" s="1615"/>
      <c r="K163" s="24"/>
      <c r="L163" s="24"/>
    </row>
    <row r="164" spans="1:12" s="122" customFormat="1">
      <c r="A164" s="1614"/>
      <c r="D164" s="1615"/>
      <c r="K164" s="24"/>
      <c r="L164" s="24"/>
    </row>
    <row r="165" spans="1:12" s="122" customFormat="1">
      <c r="A165" s="1614"/>
      <c r="D165" s="1615"/>
      <c r="K165" s="24"/>
      <c r="L165" s="24"/>
    </row>
    <row r="166" spans="1:12" s="122" customFormat="1">
      <c r="A166" s="1614"/>
      <c r="D166" s="1615"/>
      <c r="K166" s="24"/>
      <c r="L166" s="24"/>
    </row>
    <row r="167" spans="1:12" s="122" customFormat="1">
      <c r="A167" s="1614"/>
      <c r="D167" s="1615"/>
      <c r="K167" s="24"/>
      <c r="L167" s="24"/>
    </row>
    <row r="168" spans="1:12" s="122" customFormat="1">
      <c r="A168" s="1614"/>
      <c r="D168" s="1615"/>
      <c r="K168" s="24"/>
      <c r="L168" s="24"/>
    </row>
    <row r="169" spans="1:12" s="122" customFormat="1">
      <c r="A169" s="1614"/>
      <c r="D169" s="1615"/>
      <c r="K169" s="24"/>
      <c r="L169" s="24"/>
    </row>
    <row r="170" spans="1:12" s="122" customFormat="1">
      <c r="A170" s="1614"/>
      <c r="D170" s="1615"/>
      <c r="K170" s="24"/>
      <c r="L170" s="24"/>
    </row>
    <row r="171" spans="1:12" s="122" customFormat="1">
      <c r="A171" s="1614"/>
      <c r="D171" s="1615"/>
      <c r="K171" s="24"/>
      <c r="L171" s="24"/>
    </row>
    <row r="172" spans="1:12" s="122" customFormat="1">
      <c r="A172" s="1614"/>
      <c r="D172" s="1615"/>
      <c r="K172" s="24"/>
      <c r="L172" s="24"/>
    </row>
    <row r="173" spans="1:12" s="122" customFormat="1">
      <c r="A173" s="1614"/>
      <c r="D173" s="1615"/>
      <c r="K173" s="24"/>
      <c r="L173" s="24"/>
    </row>
    <row r="174" spans="1:12" s="122" customFormat="1">
      <c r="A174" s="1614"/>
      <c r="D174" s="1615"/>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0" customWidth="1"/>
    <col min="2" max="3" width="24.44140625" style="508" customWidth="1"/>
    <col min="4" max="4" width="2.6640625" style="508" customWidth="1"/>
    <col min="5" max="5" width="5.88671875" style="508" customWidth="1"/>
    <col min="6" max="7" width="27" style="508" customWidth="1"/>
    <col min="8" max="8" width="11.88671875" style="2273" customWidth="1"/>
    <col min="9" max="9" width="16.77734375" style="2273" customWidth="1"/>
    <col min="10" max="10" width="2.6640625" style="2273" customWidth="1"/>
    <col min="11" max="11" width="11.88671875" style="2273" customWidth="1"/>
    <col min="12" max="12" width="16.77734375" style="2273" customWidth="1"/>
    <col min="13" max="13" width="2.6640625" style="2273" customWidth="1"/>
    <col min="14" max="14" width="11.88671875" style="2273" customWidth="1"/>
    <col min="15" max="15" width="16.77734375" style="2273" customWidth="1"/>
    <col min="16" max="16" width="2.6640625" style="2273" customWidth="1"/>
    <col min="17" max="17" width="11.88671875" style="2273" customWidth="1"/>
    <col min="18" max="18" width="16.77734375" style="751" customWidth="1"/>
    <col min="19" max="29" width="9" style="751"/>
    <col min="30" max="16384" width="9" style="1520"/>
  </cols>
  <sheetData>
    <row r="1" spans="1:29" s="2255" customFormat="1" ht="18" thickBot="1">
      <c r="A1" s="3268" t="s">
        <v>2281</v>
      </c>
      <c r="B1" s="3269"/>
      <c r="C1" s="3269"/>
      <c r="D1" s="3269"/>
      <c r="E1" s="3269"/>
      <c r="F1" s="3269"/>
      <c r="G1" s="3269"/>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4.4" thickBot="1">
      <c r="A2" s="2256"/>
      <c r="B2" s="2257"/>
      <c r="C2" s="2258" t="s">
        <v>2276</v>
      </c>
      <c r="D2" s="1593"/>
      <c r="E2" s="2256"/>
      <c r="F2" s="2259"/>
      <c r="G2" s="2258" t="s">
        <v>2277</v>
      </c>
      <c r="H2" s="751"/>
      <c r="I2" s="751"/>
      <c r="J2" s="751"/>
      <c r="K2" s="751"/>
      <c r="L2" s="751"/>
      <c r="M2" s="751"/>
      <c r="N2" s="751"/>
      <c r="O2" s="751"/>
      <c r="P2" s="751"/>
      <c r="Q2" s="751"/>
    </row>
    <row r="3" spans="1:29" ht="48">
      <c r="A3" s="2243" t="s">
        <v>2278</v>
      </c>
      <c r="B3" s="2260" t="s">
        <v>2247</v>
      </c>
      <c r="C3" s="2261" t="s">
        <v>2279</v>
      </c>
      <c r="D3" s="2262"/>
      <c r="E3" s="2244" t="s">
        <v>2278</v>
      </c>
      <c r="F3" s="2263" t="s">
        <v>2248</v>
      </c>
      <c r="G3" s="2264" t="s">
        <v>2280</v>
      </c>
      <c r="H3" s="751"/>
      <c r="I3" s="751"/>
      <c r="J3" s="751"/>
      <c r="K3" s="751"/>
      <c r="L3" s="751"/>
      <c r="M3" s="751"/>
      <c r="N3" s="751"/>
      <c r="O3" s="751"/>
      <c r="P3" s="751"/>
      <c r="Q3" s="751"/>
    </row>
    <row r="4" spans="1:29" ht="37.200000000000003">
      <c r="A4" s="2244"/>
      <c r="B4" s="315" t="s">
        <v>2249</v>
      </c>
      <c r="C4" s="2265" t="s">
        <v>2250</v>
      </c>
      <c r="D4" s="2262"/>
      <c r="E4" s="2266"/>
      <c r="F4" s="1279" t="s">
        <v>2251</v>
      </c>
      <c r="G4" s="2267" t="s">
        <v>2252</v>
      </c>
      <c r="H4" s="751"/>
      <c r="I4" s="751"/>
      <c r="J4" s="751"/>
      <c r="K4" s="751"/>
      <c r="L4" s="751"/>
      <c r="M4" s="751"/>
      <c r="N4" s="751"/>
      <c r="O4" s="751"/>
      <c r="P4" s="751"/>
      <c r="Q4" s="751"/>
    </row>
    <row r="5" spans="1:29" ht="37.200000000000003">
      <c r="A5" s="2244"/>
      <c r="B5" s="315" t="s">
        <v>2253</v>
      </c>
      <c r="C5" s="2265" t="s">
        <v>2254</v>
      </c>
      <c r="D5" s="2262"/>
      <c r="E5" s="2266"/>
      <c r="F5" s="315" t="s">
        <v>2255</v>
      </c>
      <c r="G5" s="2267" t="s">
        <v>2256</v>
      </c>
      <c r="H5" s="751"/>
      <c r="I5" s="751"/>
      <c r="J5" s="751"/>
      <c r="K5" s="751"/>
      <c r="L5" s="751"/>
      <c r="M5" s="751"/>
      <c r="N5" s="751"/>
      <c r="O5" s="751"/>
      <c r="P5" s="751"/>
      <c r="Q5" s="751"/>
    </row>
    <row r="6" spans="1:29" ht="48">
      <c r="A6" s="2244"/>
      <c r="B6" s="315" t="s">
        <v>2257</v>
      </c>
      <c r="C6" s="2267" t="s">
        <v>2252</v>
      </c>
      <c r="D6" s="2262"/>
      <c r="E6" s="2266"/>
      <c r="F6" s="315" t="s">
        <v>2258</v>
      </c>
      <c r="G6" s="2267" t="s">
        <v>2259</v>
      </c>
      <c r="H6" s="751"/>
      <c r="I6" s="751"/>
      <c r="J6" s="751"/>
      <c r="K6" s="751"/>
      <c r="L6" s="751"/>
      <c r="M6" s="751"/>
      <c r="N6" s="751"/>
      <c r="O6" s="751"/>
      <c r="P6" s="751"/>
      <c r="Q6" s="751"/>
    </row>
    <row r="7" spans="1:29" ht="36.6" thickBot="1">
      <c r="A7" s="2244"/>
      <c r="B7" s="315" t="s">
        <v>2255</v>
      </c>
      <c r="C7" s="2267" t="s">
        <v>2256</v>
      </c>
      <c r="D7" s="2241"/>
      <c r="E7" s="2268"/>
      <c r="F7" s="2269" t="s">
        <v>2260</v>
      </c>
      <c r="G7" s="2270" t="s">
        <v>2261</v>
      </c>
      <c r="H7" s="751"/>
      <c r="I7" s="751"/>
      <c r="J7" s="751"/>
      <c r="K7" s="751"/>
      <c r="L7" s="751"/>
      <c r="M7" s="751"/>
      <c r="N7" s="751"/>
      <c r="O7" s="751"/>
      <c r="P7" s="751"/>
      <c r="Q7" s="751"/>
    </row>
    <row r="8" spans="1:29" ht="24">
      <c r="A8" s="2244"/>
      <c r="B8" s="315" t="s">
        <v>2258</v>
      </c>
      <c r="C8" s="2267" t="s">
        <v>2259</v>
      </c>
      <c r="D8" s="2241"/>
      <c r="E8" s="2241"/>
      <c r="F8" s="121"/>
      <c r="G8" s="121"/>
      <c r="H8" s="751"/>
      <c r="I8" s="751"/>
      <c r="J8" s="751"/>
      <c r="K8" s="751"/>
      <c r="L8" s="751"/>
      <c r="M8" s="751"/>
      <c r="N8" s="751"/>
      <c r="O8" s="751"/>
      <c r="P8" s="751"/>
      <c r="Q8" s="751"/>
    </row>
    <row r="9" spans="1:29" ht="24">
      <c r="A9" s="2244"/>
      <c r="B9" s="315" t="s">
        <v>2262</v>
      </c>
      <c r="C9" s="2265" t="s">
        <v>2263</v>
      </c>
      <c r="D9" s="2262"/>
      <c r="E9" s="2241"/>
      <c r="F9" s="121"/>
      <c r="G9" s="121"/>
      <c r="H9" s="751"/>
      <c r="I9" s="751"/>
      <c r="J9" s="751"/>
      <c r="K9" s="751"/>
      <c r="L9" s="751"/>
      <c r="M9" s="751"/>
      <c r="N9" s="751"/>
      <c r="O9" s="751"/>
      <c r="P9" s="751"/>
      <c r="Q9" s="751"/>
    </row>
    <row r="10" spans="1:29" ht="14.4" thickBot="1">
      <c r="A10" s="2245"/>
      <c r="B10" s="2271" t="s">
        <v>2264</v>
      </c>
      <c r="C10" s="2272"/>
      <c r="D10" s="2262"/>
      <c r="E10" s="2262"/>
      <c r="F10" s="121"/>
      <c r="G10" s="121"/>
      <c r="J10" s="2274"/>
      <c r="M10" s="2274"/>
      <c r="P10" s="2274"/>
      <c r="R10" s="2273"/>
    </row>
    <row r="11" spans="1:29">
      <c r="A11" s="2275"/>
      <c r="B11" s="2241"/>
      <c r="C11" s="2262"/>
      <c r="D11" s="2262"/>
      <c r="E11" s="2262"/>
      <c r="F11" s="2241"/>
      <c r="G11" s="2241"/>
      <c r="J11" s="2274"/>
      <c r="M11" s="2274"/>
      <c r="P11" s="2274"/>
      <c r="R11" s="2273"/>
    </row>
    <row r="12" spans="1:29" s="2255" customFormat="1" ht="17.399999999999999">
      <c r="A12" s="2275"/>
      <c r="B12" s="2241"/>
      <c r="C12" s="2262"/>
      <c r="D12" s="2276"/>
      <c r="E12" s="2262"/>
      <c r="F12" s="2241"/>
      <c r="G12" s="2241"/>
      <c r="H12" s="2277"/>
      <c r="I12" s="2277"/>
      <c r="J12" s="2277"/>
      <c r="K12" s="2277"/>
      <c r="L12" s="2278"/>
      <c r="M12" s="2277"/>
      <c r="N12" s="2279"/>
      <c r="O12" s="2279"/>
      <c r="P12" s="2279"/>
      <c r="Q12" s="2279"/>
      <c r="R12" s="2254"/>
      <c r="S12" s="2254"/>
      <c r="T12" s="2254"/>
      <c r="U12" s="2254"/>
      <c r="V12" s="2254"/>
      <c r="W12" s="2254"/>
      <c r="X12" s="2254"/>
      <c r="Y12" s="2254"/>
      <c r="Z12" s="2254"/>
      <c r="AA12" s="2254"/>
      <c r="AB12" s="2254"/>
      <c r="AC12" s="2254"/>
    </row>
    <row r="13" spans="1:29" ht="15" thickBot="1">
      <c r="A13" s="2280" t="s">
        <v>2282</v>
      </c>
      <c r="B13" s="2276"/>
      <c r="C13" s="2276"/>
      <c r="D13" s="2275"/>
      <c r="E13" s="2276"/>
      <c r="F13" s="2276"/>
      <c r="G13" s="2276"/>
    </row>
    <row r="14" spans="1:29" ht="14.4" thickBot="1">
      <c r="A14" s="2281"/>
      <c r="B14" s="2281"/>
      <c r="C14" s="2282" t="s">
        <v>2265</v>
      </c>
      <c r="D14" s="2262"/>
      <c r="E14" s="2283"/>
      <c r="F14" s="2283"/>
      <c r="G14" s="2258" t="s">
        <v>2266</v>
      </c>
    </row>
    <row r="15" spans="1:29" ht="52.8">
      <c r="A15" s="2246" t="s">
        <v>2267</v>
      </c>
      <c r="B15" s="2284" t="s">
        <v>2247</v>
      </c>
      <c r="C15" s="2285" t="str">
        <f>C3</f>
        <v>估价对象周边居住用地比例、居住小区规模和社区发展完善程度，综合评价居住社区成熟度一般</v>
      </c>
      <c r="D15" s="2262"/>
      <c r="E15" s="2247" t="s">
        <v>2268</v>
      </c>
      <c r="F15" s="2284" t="s">
        <v>2269</v>
      </c>
      <c r="G15" s="2286" t="str">
        <f>G3</f>
        <v>估价对象位于XX开发区，园区建设成熟度XX，产业集聚程度XX</v>
      </c>
    </row>
    <row r="16" spans="1:29" ht="39.6">
      <c r="A16" s="2248"/>
      <c r="B16" s="2287" t="s">
        <v>2249</v>
      </c>
      <c r="C16" s="2288" t="str">
        <f>C4</f>
        <v>估价对象位于XX商圈，周边商业氛围成熟，人流量大，商业繁华度好</v>
      </c>
      <c r="D16" s="2262"/>
      <c r="E16" s="2249"/>
      <c r="F16" s="2289" t="s">
        <v>2251</v>
      </c>
      <c r="G16" s="2290" t="str">
        <f>G4</f>
        <v>估价对象周边道路状况、公共交通通达情况、停车便捷程度，综合评价交通便捷度较好</v>
      </c>
    </row>
    <row r="17" spans="1:17" ht="39.6">
      <c r="A17" s="2248"/>
      <c r="B17" s="2287" t="s">
        <v>2253</v>
      </c>
      <c r="C17" s="2288" t="str">
        <f>C5</f>
        <v>估价对象位于XX商圈，周边办公楼项目较多，入驻率高，办公集聚程度较好</v>
      </c>
      <c r="D17" s="2241"/>
      <c r="E17" s="2249"/>
      <c r="F17" s="2289" t="s">
        <v>2270</v>
      </c>
      <c r="G17" s="2291"/>
    </row>
    <row r="18" spans="1:17" ht="52.8">
      <c r="A18" s="2248"/>
      <c r="B18" s="2289" t="s">
        <v>2257</v>
      </c>
      <c r="C18" s="2290" t="str">
        <f>C6</f>
        <v>估价对象周边道路状况、公共交通通达情况、停车便捷程度，综合评价交通便捷度较好</v>
      </c>
      <c r="D18" s="2241"/>
      <c r="E18" s="2249"/>
      <c r="F18" s="2289" t="s">
        <v>2260</v>
      </c>
      <c r="G18" s="2290" t="str">
        <f>G7</f>
        <v>该园区内是否有污染型企业，绿化情况，卫生条件，整体环境状况判断</v>
      </c>
    </row>
    <row r="19" spans="1:17" ht="26.4">
      <c r="A19" s="2248"/>
      <c r="B19" s="2289" t="s">
        <v>2271</v>
      </c>
      <c r="C19" s="2291"/>
      <c r="D19" s="2262"/>
      <c r="E19" s="2249"/>
      <c r="F19" s="315" t="s">
        <v>2255</v>
      </c>
      <c r="G19" s="2290" t="str">
        <f>G5</f>
        <v>估价对象所在区域公共配套设施齐备情况</v>
      </c>
    </row>
    <row r="20" spans="1:17" ht="26.4">
      <c r="A20" s="2248"/>
      <c r="B20" s="2289" t="s">
        <v>2272</v>
      </c>
      <c r="C20" s="2288" t="str">
        <f>C9</f>
        <v>区域自然环境：；人文环境；综合评价环境状况一般</v>
      </c>
      <c r="D20" s="2241"/>
      <c r="E20" s="2249"/>
      <c r="F20" s="315" t="s">
        <v>2258</v>
      </c>
      <c r="G20" s="2290" t="str">
        <f>G6</f>
        <v>估价对象所在区域基础设施水平</v>
      </c>
    </row>
    <row r="21" spans="1:17" ht="26.4">
      <c r="A21" s="2248"/>
      <c r="B21" s="315" t="s">
        <v>2255</v>
      </c>
      <c r="C21" s="2290" t="str">
        <f>C7</f>
        <v>估价对象所在区域公共配套设施齐备情况</v>
      </c>
      <c r="D21" s="2262"/>
      <c r="E21" s="2249"/>
      <c r="F21" s="2289" t="s">
        <v>2273</v>
      </c>
      <c r="G21" s="2292"/>
    </row>
    <row r="22" spans="1:17" ht="13.5" customHeight="1">
      <c r="A22" s="2248"/>
      <c r="B22" s="315" t="s">
        <v>2258</v>
      </c>
      <c r="C22" s="2290" t="str">
        <f>C8</f>
        <v>估价对象所在区域基础设施水平</v>
      </c>
      <c r="D22" s="2262"/>
      <c r="E22" s="2249"/>
      <c r="F22" s="2289" t="s">
        <v>2264</v>
      </c>
      <c r="G22" s="2291"/>
    </row>
    <row r="23" spans="1:17" s="751" customFormat="1" ht="14.4" thickBot="1">
      <c r="A23" s="2248"/>
      <c r="B23" s="2289" t="s">
        <v>2273</v>
      </c>
      <c r="C23" s="2292"/>
      <c r="D23" s="1612"/>
      <c r="E23" s="2250"/>
      <c r="F23" s="2293" t="s">
        <v>2274</v>
      </c>
      <c r="G23" s="2294"/>
      <c r="H23" s="2273"/>
      <c r="I23" s="2273"/>
      <c r="J23" s="2273"/>
      <c r="K23" s="2273"/>
      <c r="L23" s="2273"/>
      <c r="M23" s="2273"/>
      <c r="N23" s="2273"/>
      <c r="O23" s="2273"/>
      <c r="P23" s="2273"/>
      <c r="Q23" s="2273"/>
    </row>
    <row r="24" spans="1:17" s="751" customFormat="1" ht="14.4" thickBot="1">
      <c r="A24" s="2251"/>
      <c r="B24" s="2293" t="s">
        <v>2275</v>
      </c>
      <c r="C24" s="2295">
        <f>C10</f>
        <v>0</v>
      </c>
      <c r="D24" s="1612"/>
      <c r="E24" s="2241"/>
      <c r="F24" s="2241"/>
      <c r="G24" s="2241"/>
      <c r="H24" s="2273"/>
      <c r="I24" s="2273"/>
      <c r="J24" s="2273"/>
      <c r="K24" s="2273"/>
      <c r="L24" s="2273"/>
      <c r="M24" s="2273"/>
      <c r="N24" s="2273"/>
      <c r="O24" s="2273"/>
      <c r="P24" s="2273"/>
      <c r="Q24" s="2273"/>
    </row>
    <row r="25" spans="1:17" s="751" customFormat="1">
      <c r="B25" s="2273"/>
      <c r="C25" s="2273"/>
      <c r="D25" s="2273"/>
      <c r="H25" s="2273"/>
      <c r="I25" s="2273"/>
      <c r="J25" s="2273"/>
      <c r="K25" s="2273"/>
      <c r="L25" s="2273"/>
      <c r="M25" s="2273"/>
      <c r="N25" s="2273"/>
      <c r="O25" s="2273"/>
      <c r="P25" s="2273"/>
      <c r="Q25" s="2273"/>
    </row>
    <row r="26" spans="1:17" s="751" customFormat="1">
      <c r="B26" s="2273"/>
      <c r="C26" s="2273"/>
      <c r="D26" s="2273"/>
      <c r="H26" s="2273"/>
      <c r="I26" s="2273"/>
      <c r="J26" s="2273"/>
      <c r="K26" s="2273"/>
      <c r="L26" s="2273"/>
      <c r="M26" s="2273"/>
      <c r="N26" s="2273"/>
      <c r="O26" s="2273"/>
      <c r="P26" s="2273"/>
      <c r="Q26" s="2273"/>
    </row>
    <row r="27" spans="1:17" s="751" customFormat="1">
      <c r="B27" s="2273"/>
      <c r="C27" s="2273"/>
      <c r="D27" s="2273"/>
      <c r="H27" s="2273"/>
      <c r="I27" s="2273"/>
      <c r="J27" s="2273"/>
      <c r="K27" s="2273"/>
      <c r="L27" s="2273"/>
      <c r="M27" s="2273"/>
      <c r="N27" s="2273"/>
      <c r="O27" s="2273"/>
      <c r="P27" s="2273"/>
      <c r="Q27" s="2273"/>
    </row>
    <row r="28" spans="1:17" s="751" customFormat="1">
      <c r="B28" s="2273"/>
      <c r="C28" s="2273"/>
      <c r="D28" s="2273"/>
      <c r="H28" s="2273"/>
      <c r="I28" s="2273"/>
      <c r="J28" s="2273"/>
      <c r="K28" s="2273"/>
      <c r="L28" s="2273"/>
      <c r="M28" s="2273"/>
      <c r="N28" s="2273"/>
      <c r="O28" s="2273"/>
      <c r="P28" s="2273"/>
      <c r="Q28" s="2273"/>
    </row>
    <row r="29" spans="1:17" s="751" customFormat="1">
      <c r="B29" s="2273"/>
      <c r="C29" s="2273"/>
      <c r="D29" s="2273"/>
      <c r="H29" s="2273"/>
      <c r="I29" s="2273"/>
      <c r="J29" s="2273"/>
      <c r="K29" s="2273"/>
      <c r="L29" s="2273"/>
      <c r="M29" s="2273"/>
      <c r="N29" s="2273"/>
      <c r="O29" s="2273"/>
      <c r="P29" s="2273"/>
      <c r="Q29" s="2273"/>
    </row>
    <row r="30" spans="1:17" s="751" customFormat="1">
      <c r="B30" s="2273"/>
      <c r="C30" s="2273"/>
      <c r="D30" s="2273"/>
      <c r="H30" s="2273"/>
      <c r="I30" s="2273"/>
      <c r="J30" s="2273"/>
      <c r="K30" s="2273"/>
      <c r="L30" s="2273"/>
      <c r="M30" s="2273"/>
      <c r="N30" s="2273"/>
      <c r="O30" s="2273"/>
      <c r="P30" s="2273"/>
      <c r="Q30" s="2273"/>
    </row>
    <row r="31" spans="1:17" s="751" customFormat="1">
      <c r="B31" s="2273"/>
      <c r="C31" s="2273"/>
      <c r="D31" s="2273"/>
      <c r="H31" s="2273"/>
      <c r="I31" s="2273"/>
      <c r="J31" s="2273"/>
      <c r="K31" s="2273"/>
      <c r="L31" s="2273"/>
      <c r="M31" s="2273"/>
      <c r="N31" s="2273"/>
      <c r="O31" s="2273"/>
      <c r="P31" s="2273"/>
      <c r="Q31" s="2273"/>
    </row>
    <row r="32" spans="1:17" s="751" customFormat="1">
      <c r="B32" s="2273"/>
      <c r="C32" s="2273"/>
      <c r="D32" s="2273"/>
      <c r="H32" s="2273"/>
      <c r="I32" s="2273"/>
      <c r="J32" s="2273"/>
      <c r="K32" s="2273"/>
      <c r="L32" s="2273"/>
      <c r="M32" s="2273"/>
      <c r="N32" s="2273"/>
      <c r="O32" s="2273"/>
      <c r="P32" s="2273"/>
      <c r="Q32" s="2273"/>
    </row>
    <row r="33" spans="2:17" s="751" customFormat="1">
      <c r="B33" s="2273"/>
      <c r="C33" s="2273"/>
      <c r="D33" s="2273"/>
      <c r="H33" s="2273"/>
      <c r="I33" s="2273"/>
      <c r="J33" s="2273"/>
      <c r="K33" s="2273"/>
      <c r="L33" s="2273"/>
      <c r="M33" s="2273"/>
      <c r="N33" s="2273"/>
      <c r="O33" s="2273"/>
      <c r="P33" s="2273"/>
      <c r="Q33" s="2273"/>
    </row>
    <row r="34" spans="2:17" s="751" customFormat="1">
      <c r="B34" s="2273"/>
      <c r="C34" s="2273"/>
      <c r="D34" s="2273"/>
      <c r="H34" s="2273"/>
      <c r="I34" s="2273"/>
      <c r="J34" s="2273"/>
      <c r="K34" s="2273"/>
      <c r="L34" s="2273"/>
      <c r="M34" s="2273"/>
      <c r="N34" s="2273"/>
      <c r="O34" s="2273"/>
      <c r="P34" s="2273"/>
      <c r="Q34" s="2273"/>
    </row>
    <row r="35" spans="2:17" s="751" customFormat="1">
      <c r="B35" s="2273"/>
      <c r="C35" s="2273"/>
      <c r="D35" s="2273"/>
      <c r="H35" s="2273"/>
      <c r="I35" s="2273"/>
      <c r="J35" s="2273"/>
      <c r="K35" s="2273"/>
      <c r="L35" s="2273"/>
      <c r="M35" s="2273"/>
      <c r="N35" s="2273"/>
      <c r="O35" s="2273"/>
      <c r="P35" s="2273"/>
      <c r="Q35" s="2273"/>
    </row>
    <row r="36" spans="2:17" s="751" customFormat="1">
      <c r="B36" s="2273"/>
      <c r="C36" s="2273"/>
      <c r="D36" s="2273"/>
      <c r="H36" s="2273"/>
      <c r="I36" s="2273"/>
      <c r="J36" s="2273"/>
      <c r="K36" s="2273"/>
      <c r="L36" s="2273"/>
      <c r="M36" s="2273"/>
      <c r="N36" s="2273"/>
      <c r="O36" s="2273"/>
      <c r="P36" s="2273"/>
      <c r="Q36" s="2273"/>
    </row>
    <row r="37" spans="2:17" s="751" customFormat="1">
      <c r="B37" s="2273"/>
      <c r="C37" s="2273"/>
      <c r="D37" s="2273"/>
      <c r="H37" s="2273"/>
      <c r="I37" s="2273"/>
      <c r="J37" s="2273"/>
      <c r="K37" s="2273"/>
      <c r="L37" s="2273"/>
      <c r="M37" s="2273"/>
      <c r="N37" s="2273"/>
      <c r="O37" s="2273"/>
      <c r="P37" s="2273"/>
      <c r="Q37" s="2273"/>
    </row>
    <row r="38" spans="2:17" s="751" customFormat="1">
      <c r="B38" s="2273"/>
      <c r="C38" s="2273"/>
      <c r="D38" s="2273"/>
      <c r="E38" s="2273"/>
      <c r="F38" s="2273"/>
      <c r="G38" s="2273"/>
      <c r="H38" s="2273"/>
      <c r="I38" s="2273"/>
      <c r="J38" s="2273"/>
      <c r="K38" s="2273"/>
      <c r="L38" s="2273"/>
      <c r="M38" s="2273"/>
      <c r="N38" s="2273"/>
      <c r="O38" s="2273"/>
      <c r="P38" s="2273"/>
      <c r="Q38" s="2273"/>
    </row>
    <row r="39" spans="2:17" s="751" customFormat="1">
      <c r="B39" s="2273"/>
      <c r="C39" s="2273"/>
      <c r="D39" s="2273"/>
      <c r="E39" s="2273"/>
      <c r="F39" s="2273"/>
      <c r="G39" s="2273"/>
      <c r="H39" s="2273"/>
      <c r="I39" s="2273"/>
      <c r="J39" s="2273"/>
      <c r="K39" s="2273"/>
      <c r="L39" s="2273"/>
      <c r="M39" s="2273"/>
      <c r="N39" s="2273"/>
      <c r="O39" s="2273"/>
      <c r="P39" s="2273"/>
      <c r="Q39" s="2273"/>
    </row>
    <row r="40" spans="2:17" s="751" customFormat="1">
      <c r="B40" s="2273"/>
      <c r="C40" s="2273"/>
      <c r="D40" s="2273"/>
      <c r="E40" s="2273"/>
      <c r="F40" s="2273"/>
      <c r="G40" s="2273"/>
      <c r="H40" s="2273"/>
      <c r="I40" s="2273"/>
      <c r="J40" s="2273"/>
      <c r="K40" s="2273"/>
      <c r="L40" s="2273"/>
      <c r="M40" s="2273"/>
      <c r="N40" s="2273"/>
      <c r="O40" s="2273"/>
      <c r="P40" s="2273"/>
      <c r="Q40" s="2273"/>
    </row>
    <row r="41" spans="2:17" s="751" customFormat="1">
      <c r="B41" s="2273"/>
      <c r="C41" s="2273"/>
      <c r="D41" s="2273"/>
      <c r="E41" s="2273"/>
      <c r="F41" s="2273"/>
      <c r="G41" s="2273"/>
      <c r="H41" s="2273"/>
      <c r="I41" s="2273"/>
      <c r="J41" s="2273"/>
      <c r="K41" s="2273"/>
      <c r="L41" s="2273"/>
      <c r="M41" s="2273"/>
      <c r="N41" s="2273"/>
      <c r="O41" s="2273"/>
      <c r="P41" s="2273"/>
      <c r="Q41" s="2273"/>
    </row>
    <row r="42" spans="2:17" s="751" customFormat="1">
      <c r="B42" s="2273"/>
      <c r="C42" s="2273"/>
      <c r="D42" s="2273"/>
      <c r="E42" s="2273"/>
      <c r="F42" s="2273"/>
      <c r="G42" s="2273"/>
      <c r="H42" s="2273"/>
      <c r="I42" s="2273"/>
      <c r="J42" s="2273"/>
      <c r="K42" s="2273"/>
      <c r="L42" s="2273"/>
      <c r="M42" s="2273"/>
      <c r="N42" s="2273"/>
      <c r="O42" s="2273"/>
      <c r="P42" s="2273"/>
      <c r="Q42" s="2273"/>
    </row>
    <row r="43" spans="2:17" s="751" customFormat="1">
      <c r="B43" s="2273"/>
      <c r="C43" s="2273"/>
      <c r="D43" s="2273"/>
      <c r="E43" s="2273"/>
      <c r="F43" s="2273"/>
      <c r="G43" s="2273"/>
      <c r="H43" s="2273"/>
      <c r="I43" s="2273"/>
      <c r="J43" s="2273"/>
      <c r="K43" s="2273"/>
      <c r="L43" s="2273"/>
      <c r="M43" s="2273"/>
      <c r="N43" s="2273"/>
      <c r="O43" s="2273"/>
      <c r="P43" s="2273"/>
      <c r="Q43" s="2273"/>
    </row>
    <row r="44" spans="2:17" s="751" customFormat="1">
      <c r="B44" s="2273"/>
      <c r="C44" s="2273"/>
      <c r="D44" s="2273"/>
      <c r="E44" s="2273"/>
      <c r="F44" s="2273"/>
      <c r="G44" s="2273"/>
      <c r="H44" s="2273"/>
      <c r="I44" s="2273"/>
      <c r="J44" s="2273"/>
      <c r="K44" s="2273"/>
      <c r="L44" s="2273"/>
      <c r="M44" s="2273"/>
      <c r="N44" s="2273"/>
      <c r="O44" s="2273"/>
      <c r="P44" s="2273"/>
      <c r="Q44" s="2273"/>
    </row>
    <row r="45" spans="2:17" s="751" customFormat="1">
      <c r="B45" s="2273"/>
      <c r="C45" s="2273"/>
      <c r="D45" s="2273"/>
      <c r="E45" s="2273"/>
      <c r="F45" s="2273"/>
      <c r="G45" s="2273"/>
      <c r="H45" s="2273"/>
      <c r="I45" s="2273"/>
      <c r="J45" s="2273"/>
      <c r="K45" s="2273"/>
      <c r="L45" s="2273"/>
      <c r="M45" s="2273"/>
      <c r="N45" s="2273"/>
      <c r="O45" s="2273"/>
      <c r="P45" s="2273"/>
      <c r="Q45" s="2273"/>
    </row>
    <row r="46" spans="2:17" s="751" customFormat="1">
      <c r="B46" s="2273"/>
      <c r="C46" s="2273"/>
      <c r="D46" s="2273"/>
      <c r="E46" s="2273"/>
      <c r="F46" s="2273"/>
      <c r="G46" s="2273"/>
      <c r="H46" s="2273"/>
      <c r="I46" s="2273"/>
      <c r="J46" s="2273"/>
      <c r="K46" s="2273"/>
      <c r="L46" s="2273"/>
      <c r="M46" s="2273"/>
      <c r="N46" s="2273"/>
      <c r="O46" s="2273"/>
      <c r="P46" s="2273"/>
      <c r="Q46" s="2273"/>
    </row>
    <row r="47" spans="2:17" s="751" customFormat="1">
      <c r="B47" s="2273"/>
      <c r="C47" s="2273"/>
      <c r="D47" s="2273"/>
      <c r="E47" s="2273"/>
      <c r="F47" s="2273"/>
      <c r="G47" s="2273"/>
      <c r="H47" s="2273"/>
      <c r="I47" s="2273"/>
      <c r="J47" s="2273"/>
      <c r="K47" s="2273"/>
      <c r="L47" s="2273"/>
      <c r="M47" s="2273"/>
      <c r="N47" s="2273"/>
      <c r="O47" s="2273"/>
      <c r="P47" s="2273"/>
      <c r="Q47" s="2273"/>
    </row>
    <row r="48" spans="2:17" s="751" customFormat="1">
      <c r="B48" s="2273"/>
      <c r="C48" s="2273"/>
      <c r="D48" s="2273"/>
      <c r="E48" s="2273"/>
      <c r="F48" s="2273"/>
      <c r="G48" s="2273"/>
      <c r="H48" s="2273"/>
      <c r="I48" s="2273"/>
      <c r="J48" s="2273"/>
      <c r="K48" s="2273"/>
      <c r="L48" s="2273"/>
      <c r="M48" s="2273"/>
      <c r="N48" s="2273"/>
      <c r="O48" s="2273"/>
      <c r="P48" s="2273"/>
      <c r="Q48" s="2273"/>
    </row>
    <row r="49" spans="2:17" s="751" customFormat="1">
      <c r="B49" s="2273"/>
      <c r="C49" s="2273"/>
      <c r="D49" s="2273"/>
      <c r="E49" s="2273"/>
      <c r="F49" s="2273"/>
      <c r="G49" s="2273"/>
      <c r="H49" s="2273"/>
      <c r="I49" s="2273"/>
      <c r="J49" s="2273"/>
      <c r="K49" s="2273"/>
      <c r="L49" s="2273"/>
      <c r="M49" s="2273"/>
      <c r="N49" s="2273"/>
      <c r="O49" s="2273"/>
      <c r="P49" s="2273"/>
      <c r="Q49" s="2273"/>
    </row>
    <row r="50" spans="2:17" s="751" customFormat="1">
      <c r="B50" s="2273"/>
      <c r="C50" s="2273"/>
      <c r="D50" s="2273"/>
      <c r="E50" s="2273"/>
      <c r="F50" s="2273"/>
      <c r="G50" s="2273"/>
      <c r="H50" s="2273"/>
      <c r="I50" s="2273"/>
      <c r="J50" s="2273"/>
      <c r="K50" s="2273"/>
      <c r="L50" s="2273"/>
      <c r="M50" s="2273"/>
      <c r="N50" s="2273"/>
      <c r="O50" s="2273"/>
      <c r="P50" s="2273"/>
      <c r="Q50" s="2273"/>
    </row>
    <row r="51" spans="2:17" s="751" customFormat="1">
      <c r="B51" s="2273"/>
      <c r="C51" s="2273"/>
      <c r="D51" s="2273"/>
      <c r="E51" s="2273"/>
      <c r="F51" s="2273"/>
      <c r="G51" s="2273"/>
      <c r="H51" s="2273"/>
      <c r="I51" s="2273"/>
      <c r="J51" s="2273"/>
      <c r="K51" s="2273"/>
      <c r="L51" s="2273"/>
      <c r="M51" s="2273"/>
      <c r="N51" s="2273"/>
      <c r="O51" s="2273"/>
      <c r="P51" s="2273"/>
      <c r="Q51" s="2273"/>
    </row>
    <row r="52" spans="2:17" s="751" customFormat="1">
      <c r="B52" s="2273"/>
      <c r="C52" s="2273"/>
      <c r="D52" s="2273"/>
      <c r="E52" s="2273"/>
      <c r="F52" s="2273"/>
      <c r="G52" s="2273"/>
      <c r="H52" s="2273"/>
      <c r="I52" s="2273"/>
      <c r="J52" s="2273"/>
      <c r="K52" s="2273"/>
      <c r="L52" s="2273"/>
      <c r="M52" s="2273"/>
      <c r="N52" s="2273"/>
      <c r="O52" s="2273"/>
      <c r="P52" s="2273"/>
      <c r="Q52" s="2273"/>
    </row>
    <row r="53" spans="2:17" s="751" customFormat="1">
      <c r="B53" s="2273"/>
      <c r="C53" s="2273"/>
      <c r="D53" s="2273"/>
      <c r="E53" s="2273"/>
      <c r="F53" s="2273"/>
      <c r="G53" s="2273"/>
      <c r="H53" s="2273"/>
      <c r="I53" s="2273"/>
      <c r="J53" s="2273"/>
      <c r="K53" s="2273"/>
      <c r="L53" s="2273"/>
      <c r="M53" s="2273"/>
      <c r="N53" s="2273"/>
      <c r="O53" s="2273"/>
      <c r="P53" s="2273"/>
      <c r="Q53" s="2273"/>
    </row>
    <row r="54" spans="2:17" s="751" customFormat="1">
      <c r="B54" s="2273"/>
      <c r="C54" s="2273"/>
      <c r="D54" s="2273"/>
      <c r="E54" s="2273"/>
      <c r="F54" s="2273"/>
      <c r="G54" s="2273"/>
      <c r="H54" s="2273"/>
      <c r="I54" s="2273"/>
      <c r="J54" s="2273"/>
      <c r="K54" s="2273"/>
      <c r="L54" s="2273"/>
      <c r="M54" s="2273"/>
      <c r="N54" s="2273"/>
      <c r="O54" s="2273"/>
      <c r="P54" s="2273"/>
      <c r="Q54" s="2273"/>
    </row>
    <row r="55" spans="2:17" s="751" customFormat="1">
      <c r="B55" s="2273"/>
      <c r="C55" s="2273"/>
      <c r="D55" s="2273"/>
      <c r="E55" s="2273"/>
      <c r="F55" s="2273"/>
      <c r="G55" s="2273"/>
      <c r="H55" s="2273"/>
      <c r="I55" s="2273"/>
      <c r="J55" s="2273"/>
      <c r="K55" s="2273"/>
      <c r="L55" s="2273"/>
      <c r="M55" s="2273"/>
      <c r="N55" s="2273"/>
      <c r="O55" s="2273"/>
      <c r="P55" s="2273"/>
      <c r="Q55" s="2273"/>
    </row>
    <row r="56" spans="2:17" s="751" customFormat="1">
      <c r="B56" s="2273"/>
      <c r="C56" s="2273"/>
      <c r="D56" s="2273"/>
      <c r="E56" s="2273"/>
      <c r="F56" s="2273"/>
      <c r="G56" s="2273"/>
      <c r="H56" s="2273"/>
      <c r="I56" s="2273"/>
      <c r="J56" s="2273"/>
      <c r="K56" s="2273"/>
      <c r="L56" s="2273"/>
      <c r="M56" s="2273"/>
      <c r="N56" s="2273"/>
      <c r="O56" s="2273"/>
      <c r="P56" s="2273"/>
      <c r="Q56" s="2273"/>
    </row>
    <row r="57" spans="2:17" s="751" customFormat="1">
      <c r="B57" s="2273"/>
      <c r="C57" s="2273"/>
      <c r="D57" s="2273"/>
      <c r="E57" s="2273"/>
      <c r="F57" s="2273"/>
      <c r="G57" s="2273"/>
      <c r="H57" s="2273"/>
      <c r="I57" s="2273"/>
      <c r="J57" s="2273"/>
      <c r="K57" s="2273"/>
      <c r="L57" s="2273"/>
      <c r="M57" s="2273"/>
      <c r="N57" s="2273"/>
      <c r="O57" s="2273"/>
      <c r="P57" s="2273"/>
      <c r="Q57" s="2273"/>
    </row>
    <row r="58" spans="2:17" s="751" customFormat="1">
      <c r="B58" s="2273"/>
      <c r="C58" s="2273"/>
      <c r="D58" s="2273"/>
      <c r="E58" s="2273"/>
      <c r="F58" s="2273"/>
      <c r="G58" s="2273"/>
      <c r="H58" s="2273"/>
      <c r="I58" s="2273"/>
      <c r="J58" s="2273"/>
      <c r="K58" s="2273"/>
      <c r="L58" s="2273"/>
      <c r="M58" s="2273"/>
      <c r="N58" s="2273"/>
      <c r="O58" s="2273"/>
      <c r="P58" s="2273"/>
      <c r="Q58" s="2273"/>
    </row>
    <row r="59" spans="2:17" s="751" customFormat="1">
      <c r="B59" s="2273"/>
      <c r="C59" s="2273"/>
      <c r="D59" s="2273"/>
      <c r="E59" s="2273"/>
      <c r="F59" s="2273"/>
      <c r="G59" s="2273"/>
      <c r="H59" s="2273"/>
      <c r="I59" s="2273"/>
      <c r="J59" s="2273"/>
      <c r="K59" s="2273"/>
      <c r="L59" s="2273"/>
      <c r="M59" s="2273"/>
      <c r="N59" s="2273"/>
      <c r="O59" s="2273"/>
      <c r="P59" s="2273"/>
      <c r="Q59" s="2273"/>
    </row>
    <row r="60" spans="2:17" s="751" customFormat="1">
      <c r="B60" s="2273"/>
      <c r="C60" s="2273"/>
      <c r="D60" s="2273"/>
      <c r="E60" s="2273"/>
      <c r="F60" s="2273"/>
      <c r="G60" s="2273"/>
      <c r="H60" s="2273"/>
      <c r="I60" s="2273"/>
      <c r="J60" s="2273"/>
      <c r="K60" s="2273"/>
      <c r="L60" s="2273"/>
      <c r="M60" s="2273"/>
      <c r="N60" s="2273"/>
      <c r="O60" s="2273"/>
      <c r="P60" s="2273"/>
      <c r="Q60" s="2273"/>
    </row>
    <row r="61" spans="2:17" s="751" customFormat="1">
      <c r="B61" s="2273"/>
      <c r="C61" s="2273"/>
      <c r="D61" s="2273"/>
      <c r="E61" s="2273"/>
      <c r="F61" s="2273"/>
      <c r="G61" s="2273"/>
      <c r="H61" s="2273"/>
      <c r="I61" s="2273"/>
      <c r="J61" s="2273"/>
      <c r="K61" s="2273"/>
      <c r="L61" s="2273"/>
      <c r="M61" s="2273"/>
      <c r="N61" s="2273"/>
      <c r="O61" s="2273"/>
      <c r="P61" s="2273"/>
      <c r="Q61" s="2273"/>
    </row>
    <row r="62" spans="2:17" s="751" customFormat="1">
      <c r="B62" s="2273"/>
      <c r="C62" s="2273"/>
      <c r="D62" s="2273"/>
      <c r="E62" s="2273"/>
      <c r="F62" s="2273"/>
      <c r="G62" s="2273"/>
      <c r="H62" s="2273"/>
      <c r="I62" s="2273"/>
      <c r="J62" s="2273"/>
      <c r="K62" s="2273"/>
      <c r="L62" s="2273"/>
      <c r="M62" s="2273"/>
      <c r="N62" s="2273"/>
      <c r="O62" s="2273"/>
      <c r="P62" s="2273"/>
      <c r="Q62" s="2273"/>
    </row>
    <row r="63" spans="2:17" s="751" customFormat="1">
      <c r="B63" s="2273"/>
      <c r="C63" s="2273"/>
      <c r="D63" s="2273"/>
      <c r="E63" s="2273"/>
      <c r="F63" s="2273"/>
      <c r="G63" s="2273"/>
      <c r="H63" s="2273"/>
      <c r="I63" s="2273"/>
      <c r="J63" s="2273"/>
      <c r="K63" s="2273"/>
      <c r="L63" s="2273"/>
      <c r="M63" s="2273"/>
      <c r="N63" s="2273"/>
      <c r="O63" s="2273"/>
      <c r="P63" s="2273"/>
      <c r="Q63" s="2273"/>
    </row>
    <row r="64" spans="2:17" s="751" customFormat="1">
      <c r="B64" s="2273"/>
      <c r="C64" s="2273"/>
      <c r="D64" s="2273"/>
      <c r="E64" s="2273"/>
      <c r="F64" s="2273"/>
      <c r="G64" s="2273"/>
      <c r="H64" s="2273"/>
      <c r="I64" s="2273"/>
      <c r="J64" s="2273"/>
      <c r="K64" s="2273"/>
      <c r="L64" s="2273"/>
      <c r="M64" s="2273"/>
      <c r="N64" s="2273"/>
      <c r="O64" s="2273"/>
      <c r="P64" s="2273"/>
      <c r="Q64" s="2273"/>
    </row>
    <row r="65" spans="2:17" s="751" customFormat="1">
      <c r="B65" s="2273"/>
      <c r="C65" s="2273"/>
      <c r="D65" s="2273"/>
      <c r="E65" s="2273"/>
      <c r="F65" s="2273"/>
      <c r="G65" s="2273"/>
      <c r="H65" s="2273"/>
      <c r="I65" s="2273"/>
      <c r="J65" s="2273"/>
      <c r="K65" s="2273"/>
      <c r="L65" s="2273"/>
      <c r="M65" s="2273"/>
      <c r="N65" s="2273"/>
      <c r="O65" s="2273"/>
      <c r="P65" s="2273"/>
      <c r="Q65" s="2273"/>
    </row>
    <row r="66" spans="2:17" s="751" customFormat="1">
      <c r="B66" s="2273"/>
      <c r="C66" s="2273"/>
      <c r="D66" s="2273"/>
      <c r="E66" s="2273"/>
      <c r="F66" s="2273"/>
      <c r="G66" s="2273"/>
      <c r="H66" s="2273"/>
      <c r="I66" s="2273"/>
      <c r="J66" s="2273"/>
      <c r="K66" s="2273"/>
      <c r="L66" s="2273"/>
      <c r="M66" s="2273"/>
      <c r="N66" s="2273"/>
      <c r="O66" s="2273"/>
      <c r="P66" s="2273"/>
      <c r="Q66" s="2273"/>
    </row>
    <row r="67" spans="2:17" s="751" customFormat="1">
      <c r="B67" s="2273"/>
      <c r="C67" s="2273"/>
      <c r="D67" s="2273"/>
      <c r="E67" s="2273"/>
      <c r="F67" s="2273"/>
      <c r="G67" s="2273"/>
      <c r="H67" s="2273"/>
      <c r="I67" s="2273"/>
      <c r="J67" s="2273"/>
      <c r="K67" s="2273"/>
      <c r="L67" s="2273"/>
      <c r="M67" s="2273"/>
      <c r="N67" s="2273"/>
      <c r="O67" s="2273"/>
      <c r="P67" s="2273"/>
      <c r="Q67" s="2273"/>
    </row>
    <row r="68" spans="2:17" s="751" customFormat="1">
      <c r="B68" s="2273"/>
      <c r="C68" s="2273"/>
      <c r="D68" s="2273"/>
      <c r="E68" s="2273"/>
      <c r="F68" s="2273"/>
      <c r="G68" s="2273"/>
      <c r="H68" s="2273"/>
      <c r="I68" s="2273"/>
      <c r="J68" s="2273"/>
      <c r="K68" s="2273"/>
      <c r="L68" s="2273"/>
      <c r="M68" s="2273"/>
      <c r="N68" s="2273"/>
      <c r="O68" s="2273"/>
      <c r="P68" s="2273"/>
      <c r="Q68" s="2273"/>
    </row>
    <row r="69" spans="2:17" s="751" customFormat="1">
      <c r="B69" s="2273"/>
      <c r="C69" s="2273"/>
      <c r="D69" s="2273"/>
      <c r="E69" s="2273"/>
      <c r="F69" s="2273"/>
      <c r="G69" s="2273"/>
      <c r="H69" s="2273"/>
      <c r="I69" s="2273"/>
      <c r="J69" s="2273"/>
      <c r="K69" s="2273"/>
      <c r="L69" s="2273"/>
      <c r="M69" s="2273"/>
      <c r="N69" s="2273"/>
      <c r="O69" s="2273"/>
      <c r="P69" s="2273"/>
      <c r="Q69" s="2273"/>
    </row>
    <row r="70" spans="2:17" s="751" customFormat="1">
      <c r="B70" s="2273"/>
      <c r="C70" s="2273"/>
      <c r="D70" s="2273"/>
      <c r="E70" s="2273"/>
      <c r="F70" s="2273"/>
      <c r="G70" s="2273"/>
      <c r="H70" s="2273"/>
      <c r="I70" s="2273"/>
      <c r="J70" s="2273"/>
      <c r="K70" s="2273"/>
      <c r="L70" s="2273"/>
      <c r="M70" s="2273"/>
      <c r="N70" s="2273"/>
      <c r="O70" s="2273"/>
      <c r="P70" s="2273"/>
      <c r="Q70" s="2273"/>
    </row>
    <row r="71" spans="2:17" s="751" customFormat="1">
      <c r="B71" s="2273"/>
      <c r="C71" s="2273"/>
      <c r="D71" s="2273"/>
      <c r="E71" s="2273"/>
      <c r="F71" s="2273"/>
      <c r="G71" s="2273"/>
      <c r="H71" s="2273"/>
      <c r="I71" s="2273"/>
      <c r="J71" s="2273"/>
      <c r="K71" s="2273"/>
      <c r="L71" s="2273"/>
      <c r="M71" s="2273"/>
      <c r="N71" s="2273"/>
      <c r="O71" s="2273"/>
      <c r="P71" s="2273"/>
      <c r="Q71" s="2273"/>
    </row>
    <row r="72" spans="2:17" s="751" customFormat="1">
      <c r="B72" s="2273"/>
      <c r="C72" s="2273"/>
      <c r="D72" s="2273"/>
      <c r="E72" s="2273"/>
      <c r="F72" s="2273"/>
      <c r="G72" s="2273"/>
      <c r="H72" s="2273"/>
      <c r="I72" s="2273"/>
      <c r="J72" s="2273"/>
      <c r="K72" s="2273"/>
      <c r="L72" s="2273"/>
      <c r="M72" s="2273"/>
      <c r="N72" s="2273"/>
      <c r="O72" s="2273"/>
      <c r="P72" s="2273"/>
      <c r="Q72" s="2273"/>
    </row>
    <row r="73" spans="2:17" s="751" customFormat="1">
      <c r="B73" s="2273"/>
      <c r="C73" s="2273"/>
      <c r="D73" s="2273"/>
      <c r="E73" s="2273"/>
      <c r="F73" s="2273"/>
      <c r="G73" s="2273"/>
      <c r="H73" s="2273"/>
      <c r="I73" s="2273"/>
      <c r="J73" s="2273"/>
      <c r="K73" s="2273"/>
      <c r="L73" s="2273"/>
      <c r="M73" s="2273"/>
      <c r="N73" s="2273"/>
      <c r="O73" s="2273"/>
      <c r="P73" s="2273"/>
      <c r="Q73" s="2273"/>
    </row>
    <row r="74" spans="2:17" s="751" customFormat="1">
      <c r="B74" s="2273"/>
      <c r="C74" s="2273"/>
      <c r="D74" s="2273"/>
      <c r="E74" s="2273"/>
      <c r="F74" s="2273"/>
      <c r="G74" s="2273"/>
      <c r="H74" s="2273"/>
      <c r="I74" s="2273"/>
      <c r="J74" s="2273"/>
      <c r="K74" s="2273"/>
      <c r="L74" s="2273"/>
      <c r="M74" s="2273"/>
      <c r="N74" s="2273"/>
      <c r="O74" s="2273"/>
      <c r="P74" s="2273"/>
      <c r="Q74" s="2273"/>
    </row>
    <row r="75" spans="2:17" s="751" customFormat="1">
      <c r="B75" s="2273"/>
      <c r="C75" s="2273"/>
      <c r="D75" s="2273"/>
      <c r="E75" s="2273"/>
      <c r="F75" s="2273"/>
      <c r="G75" s="2273"/>
      <c r="H75" s="2273"/>
      <c r="I75" s="2273"/>
      <c r="J75" s="2273"/>
      <c r="K75" s="2273"/>
      <c r="L75" s="2273"/>
      <c r="M75" s="2273"/>
      <c r="N75" s="2273"/>
      <c r="O75" s="2273"/>
      <c r="P75" s="2273"/>
      <c r="Q75" s="2273"/>
    </row>
    <row r="76" spans="2:17" s="751" customFormat="1">
      <c r="B76" s="2273"/>
      <c r="C76" s="2273"/>
      <c r="D76" s="2273"/>
      <c r="E76" s="2273"/>
      <c r="F76" s="2273"/>
      <c r="G76" s="2273"/>
      <c r="H76" s="2273"/>
      <c r="I76" s="2273"/>
      <c r="J76" s="2273"/>
      <c r="K76" s="2273"/>
      <c r="L76" s="2273"/>
      <c r="M76" s="2273"/>
      <c r="N76" s="2273"/>
      <c r="O76" s="2273"/>
      <c r="P76" s="2273"/>
      <c r="Q76" s="2273"/>
    </row>
    <row r="77" spans="2:17" s="751" customFormat="1">
      <c r="B77" s="2273"/>
      <c r="C77" s="2273"/>
      <c r="D77" s="2273"/>
      <c r="E77" s="2273"/>
      <c r="F77" s="2273"/>
      <c r="G77" s="2273"/>
      <c r="H77" s="2273"/>
      <c r="I77" s="2273"/>
      <c r="J77" s="2273"/>
      <c r="K77" s="2273"/>
      <c r="L77" s="2273"/>
      <c r="M77" s="2273"/>
      <c r="N77" s="2273"/>
      <c r="O77" s="2273"/>
      <c r="P77" s="2273"/>
      <c r="Q77" s="2273"/>
    </row>
    <row r="78" spans="2:17" s="751" customFormat="1">
      <c r="B78" s="2273"/>
      <c r="C78" s="2273"/>
      <c r="D78" s="2273"/>
      <c r="E78" s="2273"/>
      <c r="F78" s="2273"/>
      <c r="G78" s="2273"/>
      <c r="H78" s="2273"/>
      <c r="I78" s="2273"/>
      <c r="J78" s="2273"/>
      <c r="K78" s="2273"/>
      <c r="L78" s="2273"/>
      <c r="M78" s="2273"/>
      <c r="N78" s="2273"/>
      <c r="O78" s="2273"/>
      <c r="P78" s="2273"/>
      <c r="Q78" s="2273"/>
    </row>
    <row r="79" spans="2:17" s="751" customFormat="1">
      <c r="B79" s="2273"/>
      <c r="C79" s="2273"/>
      <c r="D79" s="2273"/>
      <c r="E79" s="2273"/>
      <c r="F79" s="2273"/>
      <c r="G79" s="2273"/>
      <c r="H79" s="2273"/>
      <c r="I79" s="2273"/>
      <c r="J79" s="2273"/>
      <c r="K79" s="2273"/>
      <c r="L79" s="2273"/>
      <c r="M79" s="2273"/>
      <c r="N79" s="2273"/>
      <c r="O79" s="2273"/>
      <c r="P79" s="2273"/>
      <c r="Q79" s="2273"/>
    </row>
    <row r="80" spans="2:17" s="751" customFormat="1">
      <c r="B80" s="2273"/>
      <c r="C80" s="2273"/>
      <c r="D80" s="2273"/>
      <c r="E80" s="2273"/>
      <c r="F80" s="2273"/>
      <c r="G80" s="2273"/>
      <c r="H80" s="2273"/>
      <c r="I80" s="2273"/>
      <c r="J80" s="2273"/>
      <c r="K80" s="2273"/>
      <c r="L80" s="2273"/>
      <c r="M80" s="2273"/>
      <c r="N80" s="2273"/>
      <c r="O80" s="2273"/>
      <c r="P80" s="2273"/>
      <c r="Q80" s="2273"/>
    </row>
    <row r="81" spans="2:17" s="751" customFormat="1">
      <c r="B81" s="2273"/>
      <c r="C81" s="2273"/>
      <c r="D81" s="2273"/>
      <c r="E81" s="2273"/>
      <c r="F81" s="2273"/>
      <c r="G81" s="2273"/>
      <c r="H81" s="2273"/>
      <c r="I81" s="2273"/>
      <c r="J81" s="2273"/>
      <c r="K81" s="2273"/>
      <c r="L81" s="2273"/>
      <c r="M81" s="2273"/>
      <c r="N81" s="2273"/>
      <c r="O81" s="2273"/>
      <c r="P81" s="2273"/>
      <c r="Q81" s="2273"/>
    </row>
    <row r="82" spans="2:17" s="751" customFormat="1">
      <c r="B82" s="2273"/>
      <c r="C82" s="2273"/>
      <c r="D82" s="2273"/>
      <c r="E82" s="2273"/>
      <c r="F82" s="2273"/>
      <c r="G82" s="2273"/>
      <c r="H82" s="2273"/>
      <c r="I82" s="2273"/>
      <c r="J82" s="2273"/>
      <c r="K82" s="2273"/>
      <c r="L82" s="2273"/>
      <c r="M82" s="2273"/>
      <c r="N82" s="2273"/>
      <c r="O82" s="2273"/>
      <c r="P82" s="2273"/>
      <c r="Q82" s="2273"/>
    </row>
    <row r="83" spans="2:17" s="751" customFormat="1">
      <c r="B83" s="2273"/>
      <c r="C83" s="2273"/>
      <c r="D83" s="2273"/>
      <c r="E83" s="2273"/>
      <c r="F83" s="2273"/>
      <c r="G83" s="2273"/>
      <c r="H83" s="2273"/>
      <c r="I83" s="2273"/>
      <c r="J83" s="2273"/>
      <c r="K83" s="2273"/>
      <c r="L83" s="2273"/>
      <c r="M83" s="2273"/>
      <c r="N83" s="2273"/>
      <c r="O83" s="2273"/>
      <c r="P83" s="2273"/>
      <c r="Q83" s="2273"/>
    </row>
    <row r="84" spans="2:17" s="751" customFormat="1">
      <c r="B84" s="2273"/>
      <c r="C84" s="2273"/>
      <c r="D84" s="2273"/>
      <c r="E84" s="2273"/>
      <c r="F84" s="2273"/>
      <c r="G84" s="2273"/>
      <c r="H84" s="2273"/>
      <c r="I84" s="2273"/>
      <c r="J84" s="2273"/>
      <c r="K84" s="2273"/>
      <c r="L84" s="2273"/>
      <c r="M84" s="2273"/>
      <c r="N84" s="2273"/>
      <c r="O84" s="2273"/>
      <c r="P84" s="2273"/>
      <c r="Q84" s="2273"/>
    </row>
    <row r="85" spans="2:17" s="751" customFormat="1">
      <c r="B85" s="2273"/>
      <c r="C85" s="2273"/>
      <c r="D85" s="2273"/>
      <c r="E85" s="2273"/>
      <c r="F85" s="2273"/>
      <c r="G85" s="2273"/>
      <c r="H85" s="2273"/>
      <c r="I85" s="2273"/>
      <c r="J85" s="2273"/>
      <c r="K85" s="2273"/>
      <c r="L85" s="2273"/>
      <c r="M85" s="2273"/>
      <c r="N85" s="2273"/>
      <c r="O85" s="2273"/>
      <c r="P85" s="2273"/>
      <c r="Q85" s="2273"/>
    </row>
    <row r="86" spans="2:17" s="751" customFormat="1">
      <c r="B86" s="2273"/>
      <c r="C86" s="2273"/>
      <c r="D86" s="2273"/>
      <c r="E86" s="2273"/>
      <c r="F86" s="2273"/>
      <c r="G86" s="2273"/>
      <c r="H86" s="2273"/>
      <c r="I86" s="2273"/>
      <c r="J86" s="2273"/>
      <c r="K86" s="2273"/>
      <c r="L86" s="2273"/>
      <c r="M86" s="2273"/>
      <c r="N86" s="2273"/>
      <c r="O86" s="2273"/>
      <c r="P86" s="2273"/>
      <c r="Q86" s="2273"/>
    </row>
    <row r="87" spans="2:17" s="751" customFormat="1">
      <c r="B87" s="2273"/>
      <c r="C87" s="2273"/>
      <c r="D87" s="2273"/>
      <c r="E87" s="2273"/>
      <c r="F87" s="2273"/>
      <c r="G87" s="2273"/>
      <c r="H87" s="2273"/>
      <c r="I87" s="2273"/>
      <c r="J87" s="2273"/>
      <c r="K87" s="2273"/>
      <c r="L87" s="2273"/>
      <c r="M87" s="2273"/>
      <c r="N87" s="2273"/>
      <c r="O87" s="2273"/>
      <c r="P87" s="2273"/>
      <c r="Q87" s="2273"/>
    </row>
    <row r="88" spans="2:17" s="751" customFormat="1">
      <c r="B88" s="2273"/>
      <c r="C88" s="2273"/>
      <c r="D88" s="2273"/>
      <c r="E88" s="2273"/>
      <c r="F88" s="2273"/>
      <c r="G88" s="2273"/>
      <c r="H88" s="2273"/>
      <c r="I88" s="2273"/>
      <c r="J88" s="2273"/>
      <c r="K88" s="2273"/>
      <c r="L88" s="2273"/>
      <c r="M88" s="2273"/>
      <c r="N88" s="2273"/>
      <c r="O88" s="2273"/>
      <c r="P88" s="2273"/>
      <c r="Q88" s="2273"/>
    </row>
    <row r="89" spans="2:17" s="751" customFormat="1">
      <c r="B89" s="2273"/>
      <c r="C89" s="2273"/>
      <c r="D89" s="2273"/>
      <c r="E89" s="2273"/>
      <c r="F89" s="2273"/>
      <c r="G89" s="2273"/>
      <c r="H89" s="2273"/>
      <c r="I89" s="2273"/>
      <c r="J89" s="2273"/>
      <c r="K89" s="2273"/>
      <c r="L89" s="2273"/>
      <c r="M89" s="2273"/>
      <c r="N89" s="2273"/>
      <c r="O89" s="2273"/>
      <c r="P89" s="2273"/>
      <c r="Q89" s="2273"/>
    </row>
    <row r="90" spans="2:17" s="751" customFormat="1">
      <c r="B90" s="2273"/>
      <c r="C90" s="2273"/>
      <c r="D90" s="2273"/>
      <c r="E90" s="2273"/>
      <c r="F90" s="2273"/>
      <c r="G90" s="2273"/>
      <c r="H90" s="2273"/>
      <c r="I90" s="2273"/>
      <c r="J90" s="2273"/>
      <c r="K90" s="2273"/>
      <c r="L90" s="2273"/>
      <c r="M90" s="2273"/>
      <c r="N90" s="2273"/>
      <c r="O90" s="2273"/>
      <c r="P90" s="2273"/>
      <c r="Q90" s="2273"/>
    </row>
    <row r="91" spans="2:17" s="751" customFormat="1">
      <c r="B91" s="2273"/>
      <c r="C91" s="2273"/>
      <c r="D91" s="2273"/>
      <c r="E91" s="2273"/>
      <c r="F91" s="2273"/>
      <c r="G91" s="2273"/>
      <c r="H91" s="2273"/>
      <c r="I91" s="2273"/>
      <c r="J91" s="2273"/>
      <c r="K91" s="2273"/>
      <c r="L91" s="2273"/>
      <c r="M91" s="2273"/>
      <c r="N91" s="2273"/>
      <c r="O91" s="2273"/>
      <c r="P91" s="2273"/>
      <c r="Q91" s="2273"/>
    </row>
    <row r="92" spans="2:17" s="751" customFormat="1">
      <c r="B92" s="2273"/>
      <c r="C92" s="2273"/>
      <c r="D92" s="2273"/>
      <c r="E92" s="2273"/>
      <c r="F92" s="2273"/>
      <c r="G92" s="2273"/>
      <c r="H92" s="2273"/>
      <c r="I92" s="2273"/>
      <c r="J92" s="2273"/>
      <c r="K92" s="2273"/>
      <c r="L92" s="2273"/>
      <c r="M92" s="2273"/>
      <c r="N92" s="2273"/>
      <c r="O92" s="2273"/>
      <c r="P92" s="2273"/>
      <c r="Q92" s="2273"/>
    </row>
    <row r="93" spans="2:17" s="751" customFormat="1">
      <c r="B93" s="2273"/>
      <c r="C93" s="2273"/>
      <c r="D93" s="2273"/>
      <c r="E93" s="2273"/>
      <c r="F93" s="2273"/>
      <c r="G93" s="2273"/>
      <c r="H93" s="2273"/>
      <c r="I93" s="2273"/>
      <c r="J93" s="2273"/>
      <c r="K93" s="2273"/>
      <c r="L93" s="2273"/>
      <c r="M93" s="2273"/>
      <c r="N93" s="2273"/>
      <c r="O93" s="2273"/>
      <c r="P93" s="2273"/>
      <c r="Q93" s="2273"/>
    </row>
    <row r="94" spans="2:17" s="751" customFormat="1">
      <c r="B94" s="2273"/>
      <c r="C94" s="2273"/>
      <c r="D94" s="2273"/>
      <c r="E94" s="2273"/>
      <c r="F94" s="2273"/>
      <c r="G94" s="2273"/>
      <c r="H94" s="2273"/>
      <c r="I94" s="2273"/>
      <c r="J94" s="2273"/>
      <c r="K94" s="2273"/>
      <c r="L94" s="2273"/>
      <c r="M94" s="2273"/>
      <c r="N94" s="2273"/>
      <c r="O94" s="2273"/>
      <c r="P94" s="2273"/>
      <c r="Q94" s="2273"/>
    </row>
    <row r="95" spans="2:17" s="751" customFormat="1">
      <c r="B95" s="2273"/>
      <c r="C95" s="2273"/>
      <c r="D95" s="2273"/>
      <c r="E95" s="2273"/>
      <c r="F95" s="2273"/>
      <c r="G95" s="2273"/>
      <c r="H95" s="2273"/>
      <c r="I95" s="2273"/>
      <c r="J95" s="2273"/>
      <c r="K95" s="2273"/>
      <c r="L95" s="2273"/>
      <c r="M95" s="2273"/>
      <c r="N95" s="2273"/>
      <c r="O95" s="2273"/>
      <c r="P95" s="2273"/>
      <c r="Q95" s="2273"/>
    </row>
    <row r="96" spans="2:17" s="751" customFormat="1">
      <c r="B96" s="2273"/>
      <c r="C96" s="2273"/>
      <c r="D96" s="2273"/>
      <c r="E96" s="2273"/>
      <c r="F96" s="2273"/>
      <c r="G96" s="2273"/>
      <c r="H96" s="2273"/>
      <c r="I96" s="2273"/>
      <c r="J96" s="2273"/>
      <c r="K96" s="2273"/>
      <c r="L96" s="2273"/>
      <c r="M96" s="2273"/>
      <c r="N96" s="2273"/>
      <c r="O96" s="2273"/>
      <c r="P96" s="2273"/>
      <c r="Q96" s="2273"/>
    </row>
    <row r="97" spans="2:17" s="751" customFormat="1">
      <c r="B97" s="2273"/>
      <c r="C97" s="2273"/>
      <c r="D97" s="2273"/>
      <c r="E97" s="2273"/>
      <c r="F97" s="2273"/>
      <c r="G97" s="2273"/>
      <c r="H97" s="2273"/>
      <c r="I97" s="2273"/>
      <c r="J97" s="2273"/>
      <c r="K97" s="2273"/>
      <c r="L97" s="2273"/>
      <c r="M97" s="2273"/>
      <c r="N97" s="2273"/>
      <c r="O97" s="2273"/>
      <c r="P97" s="2273"/>
      <c r="Q97" s="2273"/>
    </row>
    <row r="98" spans="2:17" s="751" customFormat="1">
      <c r="B98" s="2273"/>
      <c r="C98" s="2273"/>
      <c r="D98" s="2273"/>
      <c r="E98" s="2273"/>
      <c r="F98" s="2273"/>
      <c r="G98" s="2273"/>
      <c r="H98" s="2273"/>
      <c r="I98" s="2273"/>
      <c r="J98" s="2273"/>
      <c r="K98" s="2273"/>
      <c r="L98" s="2273"/>
      <c r="M98" s="2273"/>
      <c r="N98" s="2273"/>
      <c r="O98" s="2273"/>
      <c r="P98" s="2273"/>
      <c r="Q98" s="2273"/>
    </row>
    <row r="99" spans="2:17" s="751" customFormat="1">
      <c r="B99" s="2273"/>
      <c r="C99" s="2273"/>
      <c r="D99" s="2273"/>
      <c r="E99" s="2273"/>
      <c r="F99" s="2273"/>
      <c r="G99" s="2273"/>
      <c r="H99" s="2273"/>
      <c r="I99" s="2273"/>
      <c r="J99" s="2273"/>
      <c r="K99" s="2273"/>
      <c r="L99" s="2273"/>
      <c r="M99" s="2273"/>
      <c r="N99" s="2273"/>
      <c r="O99" s="2273"/>
      <c r="P99" s="2273"/>
      <c r="Q99" s="2273"/>
    </row>
    <row r="100" spans="2:17" s="751" customFormat="1">
      <c r="B100" s="2273"/>
      <c r="C100" s="2273"/>
      <c r="D100" s="2273"/>
      <c r="E100" s="2273"/>
      <c r="F100" s="2273"/>
      <c r="G100" s="2273"/>
      <c r="H100" s="2273"/>
      <c r="I100" s="2273"/>
      <c r="J100" s="2273"/>
      <c r="K100" s="2273"/>
      <c r="L100" s="2273"/>
      <c r="M100" s="2273"/>
      <c r="N100" s="2273"/>
      <c r="O100" s="2273"/>
      <c r="P100" s="2273"/>
      <c r="Q100" s="2273"/>
    </row>
    <row r="101" spans="2:17" s="751" customFormat="1">
      <c r="B101" s="2273"/>
      <c r="C101" s="2273"/>
      <c r="D101" s="2273"/>
      <c r="E101" s="2273"/>
      <c r="F101" s="2273"/>
      <c r="G101" s="2273"/>
      <c r="H101" s="2273"/>
      <c r="I101" s="2273"/>
      <c r="J101" s="2273"/>
      <c r="K101" s="2273"/>
      <c r="L101" s="2273"/>
      <c r="M101" s="2273"/>
      <c r="N101" s="2273"/>
      <c r="O101" s="2273"/>
      <c r="P101" s="2273"/>
      <c r="Q101" s="2273"/>
    </row>
    <row r="102" spans="2:17" s="751" customFormat="1">
      <c r="B102" s="2273"/>
      <c r="C102" s="2273"/>
      <c r="D102" s="2273"/>
      <c r="E102" s="2273"/>
      <c r="F102" s="2273"/>
      <c r="G102" s="2273"/>
      <c r="H102" s="2273"/>
      <c r="I102" s="2273"/>
      <c r="J102" s="2273"/>
      <c r="K102" s="2273"/>
      <c r="L102" s="2273"/>
      <c r="M102" s="2273"/>
      <c r="N102" s="2273"/>
      <c r="O102" s="2273"/>
      <c r="P102" s="2273"/>
      <c r="Q102" s="2273"/>
    </row>
    <row r="103" spans="2:17" s="751" customFormat="1">
      <c r="B103" s="2273"/>
      <c r="C103" s="2273"/>
      <c r="D103" s="2273"/>
      <c r="E103" s="2273"/>
      <c r="F103" s="2273"/>
      <c r="G103" s="2273"/>
      <c r="H103" s="2273"/>
      <c r="I103" s="2273"/>
      <c r="J103" s="2273"/>
      <c r="K103" s="2273"/>
      <c r="L103" s="2273"/>
      <c r="M103" s="2273"/>
      <c r="N103" s="2273"/>
      <c r="O103" s="2273"/>
      <c r="P103" s="2273"/>
      <c r="Q103" s="2273"/>
    </row>
    <row r="104" spans="2:17" s="751" customFormat="1">
      <c r="B104" s="2273"/>
      <c r="C104" s="2273"/>
      <c r="D104" s="2273"/>
      <c r="E104" s="2273"/>
      <c r="F104" s="2273"/>
      <c r="G104" s="2273"/>
      <c r="H104" s="2273"/>
      <c r="I104" s="2273"/>
      <c r="J104" s="2273"/>
      <c r="K104" s="2273"/>
      <c r="L104" s="2273"/>
      <c r="M104" s="2273"/>
      <c r="N104" s="2273"/>
      <c r="O104" s="2273"/>
      <c r="P104" s="2273"/>
      <c r="Q104" s="2273"/>
    </row>
    <row r="105" spans="2:17" s="751" customFormat="1">
      <c r="B105" s="2273"/>
      <c r="C105" s="2273"/>
      <c r="D105" s="2273"/>
      <c r="E105" s="2273"/>
      <c r="F105" s="2273"/>
      <c r="G105" s="2273"/>
      <c r="H105" s="2273"/>
      <c r="I105" s="2273"/>
      <c r="J105" s="2273"/>
      <c r="K105" s="2273"/>
      <c r="L105" s="2273"/>
      <c r="M105" s="2273"/>
      <c r="N105" s="2273"/>
      <c r="O105" s="2273"/>
      <c r="P105" s="2273"/>
      <c r="Q105" s="2273"/>
    </row>
    <row r="106" spans="2:17" s="751" customFormat="1">
      <c r="B106" s="2273"/>
      <c r="C106" s="2273"/>
      <c r="D106" s="2273"/>
      <c r="E106" s="2273"/>
      <c r="F106" s="2273"/>
      <c r="G106" s="2273"/>
      <c r="H106" s="2273"/>
      <c r="I106" s="2273"/>
      <c r="J106" s="2273"/>
      <c r="K106" s="2273"/>
      <c r="L106" s="2273"/>
      <c r="M106" s="2273"/>
      <c r="N106" s="2273"/>
      <c r="O106" s="2273"/>
      <c r="P106" s="2273"/>
      <c r="Q106" s="2273"/>
    </row>
    <row r="107" spans="2:17" s="751" customFormat="1">
      <c r="B107" s="2273"/>
      <c r="C107" s="2273"/>
      <c r="D107" s="2273"/>
      <c r="E107" s="2273"/>
      <c r="F107" s="2273"/>
      <c r="G107" s="2273"/>
      <c r="H107" s="2273"/>
      <c r="I107" s="2273"/>
      <c r="J107" s="2273"/>
      <c r="K107" s="2273"/>
      <c r="L107" s="2273"/>
      <c r="M107" s="2273"/>
      <c r="N107" s="2273"/>
      <c r="O107" s="2273"/>
      <c r="P107" s="2273"/>
      <c r="Q107" s="2273"/>
    </row>
    <row r="108" spans="2:17" s="751" customFormat="1">
      <c r="B108" s="2273"/>
      <c r="C108" s="2273"/>
      <c r="D108" s="2273"/>
      <c r="E108" s="2273"/>
      <c r="F108" s="2273"/>
      <c r="G108" s="2273"/>
      <c r="H108" s="2273"/>
      <c r="I108" s="2273"/>
      <c r="J108" s="2273"/>
      <c r="K108" s="2273"/>
      <c r="L108" s="2273"/>
      <c r="M108" s="2273"/>
      <c r="N108" s="2273"/>
      <c r="O108" s="2273"/>
      <c r="P108" s="2273"/>
      <c r="Q108" s="2273"/>
    </row>
    <row r="109" spans="2:17" s="751" customFormat="1">
      <c r="B109" s="2273"/>
      <c r="C109" s="2273"/>
      <c r="D109" s="2273"/>
      <c r="E109" s="2273"/>
      <c r="F109" s="2273"/>
      <c r="G109" s="2273"/>
      <c r="H109" s="2273"/>
      <c r="I109" s="2273"/>
      <c r="J109" s="2273"/>
      <c r="K109" s="2273"/>
      <c r="L109" s="2273"/>
      <c r="M109" s="2273"/>
      <c r="N109" s="2273"/>
      <c r="O109" s="2273"/>
      <c r="P109" s="2273"/>
      <c r="Q109" s="2273"/>
    </row>
    <row r="110" spans="2:17" s="751" customFormat="1">
      <c r="B110" s="2273"/>
      <c r="C110" s="2273"/>
      <c r="D110" s="2273"/>
      <c r="E110" s="2273"/>
      <c r="F110" s="2273"/>
      <c r="G110" s="2273"/>
      <c r="H110" s="2273"/>
      <c r="I110" s="2273"/>
      <c r="J110" s="2273"/>
      <c r="K110" s="2273"/>
      <c r="L110" s="2273"/>
      <c r="M110" s="2273"/>
      <c r="N110" s="2273"/>
      <c r="O110" s="2273"/>
      <c r="P110" s="2273"/>
      <c r="Q110" s="2273"/>
    </row>
    <row r="111" spans="2:17" s="751" customFormat="1">
      <c r="B111" s="2273"/>
      <c r="C111" s="2273"/>
      <c r="D111" s="2273"/>
      <c r="E111" s="2273"/>
      <c r="F111" s="2273"/>
      <c r="G111" s="2273"/>
      <c r="H111" s="2273"/>
      <c r="I111" s="2273"/>
      <c r="J111" s="2273"/>
      <c r="K111" s="2273"/>
      <c r="L111" s="2273"/>
      <c r="M111" s="2273"/>
      <c r="N111" s="2273"/>
      <c r="O111" s="2273"/>
      <c r="P111" s="2273"/>
      <c r="Q111" s="2273"/>
    </row>
    <row r="112" spans="2:17" s="751" customFormat="1">
      <c r="B112" s="2273"/>
      <c r="C112" s="2273"/>
      <c r="D112" s="2273"/>
      <c r="E112" s="2273"/>
      <c r="F112" s="2273"/>
      <c r="G112" s="2273"/>
      <c r="H112" s="2273"/>
      <c r="I112" s="2273"/>
      <c r="J112" s="2273"/>
      <c r="K112" s="2273"/>
      <c r="L112" s="2273"/>
      <c r="M112" s="2273"/>
      <c r="N112" s="2273"/>
      <c r="O112" s="2273"/>
      <c r="P112" s="2273"/>
      <c r="Q112" s="2273"/>
    </row>
    <row r="113" spans="2:17" s="751" customFormat="1">
      <c r="B113" s="2273"/>
      <c r="C113" s="2273"/>
      <c r="D113" s="2273"/>
      <c r="E113" s="2273"/>
      <c r="F113" s="2273"/>
      <c r="G113" s="2273"/>
      <c r="H113" s="2273"/>
      <c r="I113" s="2273"/>
      <c r="J113" s="2273"/>
      <c r="K113" s="2273"/>
      <c r="L113" s="2273"/>
      <c r="M113" s="2273"/>
      <c r="N113" s="2273"/>
      <c r="O113" s="2273"/>
      <c r="P113" s="2273"/>
      <c r="Q113" s="2273"/>
    </row>
    <row r="114" spans="2:17" s="751" customFormat="1">
      <c r="B114" s="2273"/>
      <c r="C114" s="2273"/>
      <c r="D114" s="2273"/>
      <c r="E114" s="2273"/>
      <c r="F114" s="2273"/>
      <c r="G114" s="2273"/>
      <c r="H114" s="2273"/>
      <c r="I114" s="2273"/>
      <c r="J114" s="2273"/>
      <c r="K114" s="2273"/>
      <c r="L114" s="2273"/>
      <c r="M114" s="2273"/>
      <c r="N114" s="2273"/>
      <c r="O114" s="2273"/>
      <c r="P114" s="2273"/>
      <c r="Q114" s="2273"/>
    </row>
    <row r="115" spans="2:17" s="751" customFormat="1">
      <c r="B115" s="2273"/>
      <c r="C115" s="2273"/>
      <c r="D115" s="2273"/>
      <c r="E115" s="2273"/>
      <c r="F115" s="2273"/>
      <c r="G115" s="2273"/>
      <c r="H115" s="2273"/>
      <c r="I115" s="2273"/>
      <c r="J115" s="2273"/>
      <c r="K115" s="2273"/>
      <c r="L115" s="2273"/>
      <c r="M115" s="2273"/>
      <c r="N115" s="2273"/>
      <c r="O115" s="2273"/>
      <c r="P115" s="2273"/>
      <c r="Q115" s="2273"/>
    </row>
    <row r="116" spans="2:17" s="751" customFormat="1">
      <c r="B116" s="2273"/>
      <c r="C116" s="2273"/>
      <c r="D116" s="2273"/>
      <c r="E116" s="2273"/>
      <c r="F116" s="2273"/>
      <c r="G116" s="2273"/>
      <c r="H116" s="2273"/>
      <c r="I116" s="2273"/>
      <c r="J116" s="2273"/>
      <c r="K116" s="2273"/>
      <c r="L116" s="2273"/>
      <c r="M116" s="2273"/>
      <c r="N116" s="2273"/>
      <c r="O116" s="2273"/>
      <c r="P116" s="2273"/>
      <c r="Q116" s="2273"/>
    </row>
    <row r="117" spans="2:17" s="751" customFormat="1">
      <c r="B117" s="2273"/>
      <c r="C117" s="2273"/>
      <c r="D117" s="2273"/>
      <c r="E117" s="2273"/>
      <c r="F117" s="2273"/>
      <c r="G117" s="2273"/>
      <c r="H117" s="2273"/>
      <c r="I117" s="2273"/>
      <c r="J117" s="2273"/>
      <c r="K117" s="2273"/>
      <c r="L117" s="2273"/>
      <c r="M117" s="2273"/>
      <c r="N117" s="2273"/>
      <c r="O117" s="2273"/>
      <c r="P117" s="2273"/>
      <c r="Q117" s="2273"/>
    </row>
    <row r="118" spans="2:17" s="751" customFormat="1">
      <c r="B118" s="2273"/>
      <c r="C118" s="2273"/>
      <c r="D118" s="2273"/>
      <c r="E118" s="2273"/>
      <c r="F118" s="2273"/>
      <c r="G118" s="2273"/>
      <c r="H118" s="2273"/>
      <c r="I118" s="2273"/>
      <c r="J118" s="2273"/>
      <c r="K118" s="2273"/>
      <c r="L118" s="2273"/>
      <c r="M118" s="2273"/>
      <c r="N118" s="2273"/>
      <c r="O118" s="2273"/>
      <c r="P118" s="2273"/>
      <c r="Q118" s="2273"/>
    </row>
    <row r="119" spans="2:17" s="751" customFormat="1">
      <c r="B119" s="2273"/>
      <c r="C119" s="2273"/>
      <c r="D119" s="2273"/>
      <c r="E119" s="2273"/>
      <c r="F119" s="2273"/>
      <c r="G119" s="2273"/>
      <c r="H119" s="2273"/>
      <c r="I119" s="2273"/>
      <c r="J119" s="2273"/>
      <c r="K119" s="2273"/>
      <c r="L119" s="2273"/>
      <c r="M119" s="2273"/>
      <c r="N119" s="2273"/>
      <c r="O119" s="2273"/>
      <c r="P119" s="2273"/>
      <c r="Q119" s="2273"/>
    </row>
    <row r="120" spans="2:17" s="751" customFormat="1">
      <c r="B120" s="2273"/>
      <c r="C120" s="2273"/>
      <c r="D120" s="2273"/>
      <c r="E120" s="2273"/>
      <c r="F120" s="2273"/>
      <c r="G120" s="2273"/>
      <c r="H120" s="2273"/>
      <c r="I120" s="2273"/>
      <c r="J120" s="2273"/>
      <c r="K120" s="2273"/>
      <c r="L120" s="2273"/>
      <c r="M120" s="2273"/>
      <c r="N120" s="2273"/>
      <c r="O120" s="2273"/>
      <c r="P120" s="2273"/>
      <c r="Q120" s="2273"/>
    </row>
    <row r="121" spans="2:17" s="751" customFormat="1">
      <c r="B121" s="2273"/>
      <c r="C121" s="2273"/>
      <c r="D121" s="2273"/>
      <c r="E121" s="2273"/>
      <c r="F121" s="2273"/>
      <c r="G121" s="2273"/>
      <c r="H121" s="2273"/>
      <c r="I121" s="2273"/>
      <c r="J121" s="2273"/>
      <c r="K121" s="2273"/>
      <c r="L121" s="2273"/>
      <c r="M121" s="2273"/>
      <c r="N121" s="2273"/>
      <c r="O121" s="2273"/>
      <c r="P121" s="2273"/>
      <c r="Q121" s="2273"/>
    </row>
    <row r="122" spans="2:17" s="751" customFormat="1">
      <c r="B122" s="2273"/>
      <c r="C122" s="2273"/>
      <c r="D122" s="2273"/>
      <c r="E122" s="2273"/>
      <c r="F122" s="2273"/>
      <c r="G122" s="2273"/>
      <c r="H122" s="2273"/>
      <c r="I122" s="2273"/>
      <c r="J122" s="2273"/>
      <c r="K122" s="2273"/>
      <c r="L122" s="2273"/>
      <c r="M122" s="2273"/>
      <c r="N122" s="2273"/>
      <c r="O122" s="2273"/>
      <c r="P122" s="2273"/>
      <c r="Q122" s="2273"/>
    </row>
    <row r="123" spans="2:17" s="751" customFormat="1">
      <c r="B123" s="2273"/>
      <c r="C123" s="2273"/>
      <c r="D123" s="2273"/>
      <c r="E123" s="2273"/>
      <c r="F123" s="2273"/>
      <c r="G123" s="2273"/>
      <c r="H123" s="2273"/>
      <c r="I123" s="2273"/>
      <c r="J123" s="2273"/>
      <c r="K123" s="2273"/>
      <c r="L123" s="2273"/>
      <c r="M123" s="2273"/>
      <c r="N123" s="2273"/>
      <c r="O123" s="2273"/>
      <c r="P123" s="2273"/>
      <c r="Q123" s="2273"/>
    </row>
    <row r="124" spans="2:17" s="751" customFormat="1">
      <c r="B124" s="2273"/>
      <c r="C124" s="2273"/>
      <c r="D124" s="2273"/>
      <c r="E124" s="2273"/>
      <c r="F124" s="2273"/>
      <c r="G124" s="2273"/>
      <c r="H124" s="2273"/>
      <c r="I124" s="2273"/>
      <c r="J124" s="2273"/>
      <c r="K124" s="2273"/>
      <c r="L124" s="2273"/>
      <c r="M124" s="2273"/>
      <c r="N124" s="2273"/>
      <c r="O124" s="2273"/>
      <c r="P124" s="2273"/>
      <c r="Q124" s="2273"/>
    </row>
    <row r="125" spans="2:17" s="751" customFormat="1">
      <c r="B125" s="2273"/>
      <c r="C125" s="2273"/>
      <c r="D125" s="2273"/>
      <c r="E125" s="2273"/>
      <c r="F125" s="2273"/>
      <c r="G125" s="2273"/>
      <c r="H125" s="2273"/>
      <c r="I125" s="2273"/>
      <c r="J125" s="2273"/>
      <c r="K125" s="2273"/>
      <c r="L125" s="2273"/>
      <c r="M125" s="2273"/>
      <c r="N125" s="2273"/>
      <c r="O125" s="2273"/>
      <c r="P125" s="2273"/>
      <c r="Q125" s="2273"/>
    </row>
    <row r="126" spans="2:17" s="751" customFormat="1">
      <c r="B126" s="2273"/>
      <c r="C126" s="2273"/>
      <c r="D126" s="2273"/>
      <c r="E126" s="2273"/>
      <c r="F126" s="2273"/>
      <c r="G126" s="2273"/>
      <c r="H126" s="2273"/>
      <c r="I126" s="2273"/>
      <c r="J126" s="2273"/>
      <c r="K126" s="2273"/>
      <c r="L126" s="2273"/>
      <c r="M126" s="2273"/>
      <c r="N126" s="2273"/>
      <c r="O126" s="2273"/>
      <c r="P126" s="2273"/>
      <c r="Q126" s="2273"/>
    </row>
    <row r="127" spans="2:17" s="751" customFormat="1">
      <c r="B127" s="2273"/>
      <c r="C127" s="2273"/>
      <c r="D127" s="2273"/>
      <c r="E127" s="2273"/>
      <c r="F127" s="2273"/>
      <c r="G127" s="2273"/>
      <c r="H127" s="2273"/>
      <c r="I127" s="2273"/>
      <c r="J127" s="2273"/>
      <c r="K127" s="2273"/>
      <c r="L127" s="2273"/>
      <c r="M127" s="2273"/>
      <c r="N127" s="2273"/>
      <c r="O127" s="2273"/>
      <c r="P127" s="2273"/>
      <c r="Q127" s="2273"/>
    </row>
    <row r="128" spans="2:17" s="751" customFormat="1">
      <c r="B128" s="2273"/>
      <c r="C128" s="2273"/>
      <c r="D128" s="2273"/>
      <c r="E128" s="2273"/>
      <c r="F128" s="2273"/>
      <c r="G128" s="2273"/>
      <c r="H128" s="2273"/>
      <c r="I128" s="2273"/>
      <c r="J128" s="2273"/>
      <c r="K128" s="2273"/>
      <c r="L128" s="2273"/>
      <c r="M128" s="2273"/>
      <c r="N128" s="2273"/>
      <c r="O128" s="2273"/>
      <c r="P128" s="2273"/>
      <c r="Q128" s="2273"/>
    </row>
    <row r="129" spans="2:17" s="751" customFormat="1">
      <c r="B129" s="2273"/>
      <c r="C129" s="2273"/>
      <c r="D129" s="2273"/>
      <c r="E129" s="2273"/>
      <c r="F129" s="2273"/>
      <c r="G129" s="2273"/>
      <c r="H129" s="2273"/>
      <c r="I129" s="2273"/>
      <c r="J129" s="2273"/>
      <c r="K129" s="2273"/>
      <c r="L129" s="2273"/>
      <c r="M129" s="2273"/>
      <c r="N129" s="2273"/>
      <c r="O129" s="2273"/>
      <c r="P129" s="2273"/>
      <c r="Q129" s="2273"/>
    </row>
    <row r="130" spans="2:17" s="751" customFormat="1">
      <c r="B130" s="2273"/>
      <c r="C130" s="2273"/>
      <c r="D130" s="2273"/>
      <c r="E130" s="2273"/>
      <c r="F130" s="2273"/>
      <c r="G130" s="2273"/>
      <c r="H130" s="2273"/>
      <c r="I130" s="2273"/>
      <c r="J130" s="2273"/>
      <c r="K130" s="2273"/>
      <c r="L130" s="2273"/>
      <c r="M130" s="2273"/>
      <c r="N130" s="2273"/>
      <c r="O130" s="2273"/>
      <c r="P130" s="2273"/>
      <c r="Q130" s="2273"/>
    </row>
    <row r="131" spans="2:17" s="751" customFormat="1">
      <c r="B131" s="2273"/>
      <c r="C131" s="2273"/>
      <c r="D131" s="2273"/>
      <c r="E131" s="2273"/>
      <c r="F131" s="2273"/>
      <c r="G131" s="2273"/>
      <c r="H131" s="2273"/>
      <c r="I131" s="2273"/>
      <c r="J131" s="2273"/>
      <c r="K131" s="2273"/>
      <c r="L131" s="2273"/>
      <c r="M131" s="2273"/>
      <c r="N131" s="2273"/>
      <c r="O131" s="2273"/>
      <c r="P131" s="2273"/>
      <c r="Q131" s="2273"/>
    </row>
    <row r="132" spans="2:17" s="751" customFormat="1">
      <c r="B132" s="2273"/>
      <c r="C132" s="2273"/>
      <c r="D132" s="2273"/>
      <c r="E132" s="2273"/>
      <c r="F132" s="2273"/>
      <c r="G132" s="2273"/>
      <c r="H132" s="2273"/>
      <c r="I132" s="2273"/>
      <c r="J132" s="2273"/>
      <c r="K132" s="2273"/>
      <c r="L132" s="2273"/>
      <c r="M132" s="2273"/>
      <c r="N132" s="2273"/>
      <c r="O132" s="2273"/>
      <c r="P132" s="2273"/>
      <c r="Q132" s="2273"/>
    </row>
    <row r="133" spans="2:17" s="751" customFormat="1">
      <c r="B133" s="2273"/>
      <c r="C133" s="2273"/>
      <c r="D133" s="2273"/>
      <c r="E133" s="2273"/>
      <c r="F133" s="2273"/>
      <c r="G133" s="2273"/>
      <c r="H133" s="2273"/>
      <c r="I133" s="2273"/>
      <c r="J133" s="2273"/>
      <c r="K133" s="2273"/>
      <c r="L133" s="2273"/>
      <c r="M133" s="2273"/>
      <c r="N133" s="2273"/>
      <c r="O133" s="2273"/>
      <c r="P133" s="2273"/>
      <c r="Q133" s="2273"/>
    </row>
    <row r="134" spans="2:17" s="751" customFormat="1">
      <c r="B134" s="2273"/>
      <c r="C134" s="2273"/>
      <c r="D134" s="2273"/>
      <c r="E134" s="2273"/>
      <c r="F134" s="2273"/>
      <c r="G134" s="2273"/>
      <c r="H134" s="2273"/>
      <c r="I134" s="2273"/>
      <c r="J134" s="2273"/>
      <c r="K134" s="2273"/>
      <c r="L134" s="2273"/>
      <c r="M134" s="2273"/>
      <c r="N134" s="2273"/>
      <c r="O134" s="2273"/>
      <c r="P134" s="2273"/>
      <c r="Q134" s="2273"/>
    </row>
    <row r="135" spans="2:17" s="751" customFormat="1">
      <c r="B135" s="2273"/>
      <c r="C135" s="2273"/>
      <c r="D135" s="2273"/>
      <c r="E135" s="2273"/>
      <c r="F135" s="2273"/>
      <c r="G135" s="2273"/>
      <c r="H135" s="2273"/>
      <c r="I135" s="2273"/>
      <c r="J135" s="2273"/>
      <c r="K135" s="2273"/>
      <c r="L135" s="2273"/>
      <c r="M135" s="2273"/>
      <c r="N135" s="2273"/>
      <c r="O135" s="2273"/>
      <c r="P135" s="2273"/>
      <c r="Q135" s="2273"/>
    </row>
    <row r="136" spans="2:17" s="751" customFormat="1">
      <c r="B136" s="2273"/>
      <c r="C136" s="2273"/>
      <c r="D136" s="2273"/>
      <c r="E136" s="2273"/>
      <c r="F136" s="2273"/>
      <c r="G136" s="2273"/>
      <c r="H136" s="2273"/>
      <c r="I136" s="2273"/>
      <c r="J136" s="2273"/>
      <c r="K136" s="2273"/>
      <c r="L136" s="2273"/>
      <c r="M136" s="2273"/>
      <c r="N136" s="2273"/>
      <c r="O136" s="2273"/>
      <c r="P136" s="2273"/>
      <c r="Q136" s="2273"/>
    </row>
    <row r="137" spans="2:17" s="751" customFormat="1">
      <c r="B137" s="2273"/>
      <c r="C137" s="2273"/>
      <c r="D137" s="2273"/>
      <c r="E137" s="2273"/>
      <c r="F137" s="2273"/>
      <c r="G137" s="2273"/>
      <c r="H137" s="2273"/>
      <c r="I137" s="2273"/>
      <c r="J137" s="2273"/>
      <c r="K137" s="2273"/>
      <c r="L137" s="2273"/>
      <c r="M137" s="2273"/>
      <c r="N137" s="2273"/>
      <c r="O137" s="2273"/>
      <c r="P137" s="2273"/>
      <c r="Q137" s="2273"/>
    </row>
    <row r="138" spans="2:17" s="751" customFormat="1">
      <c r="B138" s="2273"/>
      <c r="C138" s="2273"/>
      <c r="D138" s="2273"/>
      <c r="E138" s="2273"/>
      <c r="F138" s="2273"/>
      <c r="G138" s="2273"/>
      <c r="H138" s="2273"/>
      <c r="I138" s="2273"/>
      <c r="J138" s="2273"/>
      <c r="K138" s="2273"/>
      <c r="L138" s="2273"/>
      <c r="M138" s="2273"/>
      <c r="N138" s="2273"/>
      <c r="O138" s="2273"/>
      <c r="P138" s="2273"/>
      <c r="Q138" s="2273"/>
    </row>
    <row r="139" spans="2:17" s="751" customFormat="1">
      <c r="B139" s="2273"/>
      <c r="C139" s="2273"/>
      <c r="D139" s="2273"/>
      <c r="E139" s="2273"/>
      <c r="F139" s="2273"/>
      <c r="G139" s="2273"/>
      <c r="H139" s="2273"/>
      <c r="I139" s="2273"/>
      <c r="J139" s="2273"/>
      <c r="K139" s="2273"/>
      <c r="L139" s="2273"/>
      <c r="M139" s="2273"/>
      <c r="N139" s="2273"/>
      <c r="O139" s="2273"/>
      <c r="P139" s="2273"/>
      <c r="Q139" s="2273"/>
    </row>
    <row r="140" spans="2:17" s="751" customFormat="1">
      <c r="B140" s="2273"/>
      <c r="C140" s="2273"/>
      <c r="D140" s="2273"/>
      <c r="E140" s="2273"/>
      <c r="F140" s="2273"/>
      <c r="G140" s="2273"/>
      <c r="H140" s="2273"/>
      <c r="I140" s="2273"/>
      <c r="J140" s="2273"/>
      <c r="K140" s="2273"/>
      <c r="L140" s="2273"/>
      <c r="M140" s="2273"/>
      <c r="N140" s="2273"/>
      <c r="O140" s="2273"/>
      <c r="P140" s="2273"/>
      <c r="Q140" s="2273"/>
    </row>
    <row r="141" spans="2:17" s="751" customFormat="1">
      <c r="B141" s="2273"/>
      <c r="C141" s="2273"/>
      <c r="D141" s="2273"/>
      <c r="E141" s="2273"/>
      <c r="F141" s="2273"/>
      <c r="G141" s="2273"/>
      <c r="H141" s="2273"/>
      <c r="I141" s="2273"/>
      <c r="J141" s="2273"/>
      <c r="K141" s="2273"/>
      <c r="L141" s="2273"/>
      <c r="M141" s="2273"/>
      <c r="N141" s="2273"/>
      <c r="O141" s="2273"/>
      <c r="P141" s="2273"/>
      <c r="Q141" s="2273"/>
    </row>
    <row r="142" spans="2:17" s="751" customFormat="1">
      <c r="B142" s="2273"/>
      <c r="C142" s="2273"/>
      <c r="D142" s="2273"/>
      <c r="E142" s="2273"/>
      <c r="F142" s="2273"/>
      <c r="G142" s="2273"/>
      <c r="H142" s="2273"/>
      <c r="I142" s="2273"/>
      <c r="J142" s="2273"/>
      <c r="K142" s="2273"/>
      <c r="L142" s="2273"/>
      <c r="M142" s="2273"/>
      <c r="N142" s="2273"/>
      <c r="O142" s="2273"/>
      <c r="P142" s="2273"/>
      <c r="Q142" s="2273"/>
    </row>
    <row r="143" spans="2:17" s="751" customFormat="1">
      <c r="B143" s="2273"/>
      <c r="C143" s="2273"/>
      <c r="D143" s="2273"/>
      <c r="E143" s="2273"/>
      <c r="F143" s="2273"/>
      <c r="G143" s="2273"/>
      <c r="H143" s="2273"/>
      <c r="I143" s="2273"/>
      <c r="J143" s="2273"/>
      <c r="K143" s="2273"/>
      <c r="L143" s="2273"/>
      <c r="M143" s="2273"/>
      <c r="N143" s="2273"/>
      <c r="O143" s="2273"/>
      <c r="P143" s="2273"/>
      <c r="Q143" s="2273"/>
    </row>
    <row r="144" spans="2:17" s="751" customFormat="1">
      <c r="B144" s="2273"/>
      <c r="C144" s="2273"/>
      <c r="D144" s="2273"/>
      <c r="E144" s="2273"/>
      <c r="F144" s="2273"/>
      <c r="G144" s="2273"/>
      <c r="H144" s="2273"/>
      <c r="I144" s="2273"/>
      <c r="J144" s="2273"/>
      <c r="K144" s="2273"/>
      <c r="L144" s="2273"/>
      <c r="M144" s="2273"/>
      <c r="N144" s="2273"/>
      <c r="O144" s="2273"/>
      <c r="P144" s="2273"/>
      <c r="Q144" s="2273"/>
    </row>
    <row r="145" spans="2:17" s="751" customFormat="1">
      <c r="B145" s="2273"/>
      <c r="C145" s="2273"/>
      <c r="D145" s="2273"/>
      <c r="E145" s="2273"/>
      <c r="F145" s="2273"/>
      <c r="G145" s="2273"/>
      <c r="H145" s="2273"/>
      <c r="I145" s="2273"/>
      <c r="J145" s="2273"/>
      <c r="K145" s="2273"/>
      <c r="L145" s="2273"/>
      <c r="M145" s="2273"/>
      <c r="N145" s="2273"/>
      <c r="O145" s="2273"/>
      <c r="P145" s="2273"/>
      <c r="Q145" s="2273"/>
    </row>
    <row r="146" spans="2:17" s="751" customFormat="1">
      <c r="B146" s="2273"/>
      <c r="C146" s="2273"/>
      <c r="D146" s="2273"/>
      <c r="E146" s="2273"/>
      <c r="F146" s="2273"/>
      <c r="G146" s="2273"/>
      <c r="H146" s="2273"/>
      <c r="I146" s="2273"/>
      <c r="J146" s="2273"/>
      <c r="K146" s="2273"/>
      <c r="L146" s="2273"/>
      <c r="M146" s="2273"/>
      <c r="N146" s="2273"/>
      <c r="O146" s="2273"/>
      <c r="P146" s="2273"/>
      <c r="Q146" s="2273"/>
    </row>
    <row r="147" spans="2:17" s="751" customFormat="1">
      <c r="B147" s="2273"/>
      <c r="C147" s="2273"/>
      <c r="D147" s="2273"/>
      <c r="E147" s="2273"/>
      <c r="F147" s="2273"/>
      <c r="G147" s="2273"/>
      <c r="H147" s="2273"/>
      <c r="I147" s="2273"/>
      <c r="J147" s="2273"/>
      <c r="K147" s="2273"/>
      <c r="L147" s="2273"/>
      <c r="M147" s="2273"/>
      <c r="N147" s="2273"/>
      <c r="O147" s="2273"/>
      <c r="P147" s="2273"/>
      <c r="Q147" s="2273"/>
    </row>
    <row r="148" spans="2:17" s="751" customFormat="1">
      <c r="B148" s="2273"/>
      <c r="C148" s="2273"/>
      <c r="D148" s="2273"/>
      <c r="E148" s="2273"/>
      <c r="F148" s="2273"/>
      <c r="G148" s="2273"/>
      <c r="H148" s="2273"/>
      <c r="I148" s="2273"/>
      <c r="J148" s="2273"/>
      <c r="K148" s="2273"/>
      <c r="L148" s="2273"/>
      <c r="M148" s="2273"/>
      <c r="N148" s="2273"/>
      <c r="O148" s="2273"/>
      <c r="P148" s="2273"/>
      <c r="Q148" s="2273"/>
    </row>
    <row r="149" spans="2:17" s="751" customFormat="1">
      <c r="B149" s="2273"/>
      <c r="C149" s="2273"/>
      <c r="D149" s="2273"/>
      <c r="E149" s="2273"/>
      <c r="F149" s="2273"/>
      <c r="G149" s="2273"/>
      <c r="H149" s="2273"/>
      <c r="I149" s="2273"/>
      <c r="J149" s="2273"/>
      <c r="K149" s="2273"/>
      <c r="L149" s="2273"/>
      <c r="M149" s="2273"/>
      <c r="N149" s="2273"/>
      <c r="O149" s="2273"/>
      <c r="P149" s="2273"/>
      <c r="Q149" s="2273"/>
    </row>
    <row r="150" spans="2:17" s="751" customFormat="1">
      <c r="B150" s="2273"/>
      <c r="C150" s="2273"/>
      <c r="D150" s="2273"/>
      <c r="E150" s="2273"/>
      <c r="F150" s="2273"/>
      <c r="G150" s="2273"/>
      <c r="H150" s="2273"/>
      <c r="I150" s="2273"/>
      <c r="J150" s="2273"/>
      <c r="K150" s="2273"/>
      <c r="L150" s="2273"/>
      <c r="M150" s="2273"/>
      <c r="N150" s="2273"/>
      <c r="O150" s="2273"/>
      <c r="P150" s="2273"/>
      <c r="Q150" s="2273"/>
    </row>
    <row r="151" spans="2:17" s="751" customFormat="1">
      <c r="B151" s="2273"/>
      <c r="C151" s="2273"/>
      <c r="D151" s="2273"/>
      <c r="E151" s="2273"/>
      <c r="F151" s="2273"/>
      <c r="G151" s="2273"/>
      <c r="H151" s="2273"/>
      <c r="I151" s="2273"/>
      <c r="J151" s="2273"/>
      <c r="K151" s="2273"/>
      <c r="L151" s="2273"/>
      <c r="M151" s="2273"/>
      <c r="N151" s="2273"/>
      <c r="O151" s="2273"/>
      <c r="P151" s="2273"/>
      <c r="Q151" s="2273"/>
    </row>
    <row r="152" spans="2:17" s="751" customFormat="1">
      <c r="B152" s="2273"/>
      <c r="C152" s="2273"/>
      <c r="D152" s="2273"/>
      <c r="E152" s="2273"/>
      <c r="F152" s="2273"/>
      <c r="G152" s="2273"/>
      <c r="H152" s="2273"/>
      <c r="I152" s="2273"/>
      <c r="J152" s="2273"/>
      <c r="K152" s="2273"/>
      <c r="L152" s="2273"/>
      <c r="M152" s="2273"/>
      <c r="N152" s="2273"/>
      <c r="O152" s="2273"/>
      <c r="P152" s="2273"/>
      <c r="Q152" s="2273"/>
    </row>
    <row r="153" spans="2:17" s="751" customFormat="1">
      <c r="B153" s="2273"/>
      <c r="C153" s="2273"/>
      <c r="D153" s="2273"/>
      <c r="E153" s="2273"/>
      <c r="F153" s="2273"/>
      <c r="G153" s="2273"/>
      <c r="H153" s="2273"/>
      <c r="I153" s="2273"/>
      <c r="J153" s="2273"/>
      <c r="K153" s="2273"/>
      <c r="L153" s="2273"/>
      <c r="M153" s="2273"/>
      <c r="N153" s="2273"/>
      <c r="O153" s="2273"/>
      <c r="P153" s="2273"/>
      <c r="Q153" s="2273"/>
    </row>
    <row r="154" spans="2:17" s="751" customFormat="1">
      <c r="B154" s="2273"/>
      <c r="C154" s="2273"/>
      <c r="D154" s="2273"/>
      <c r="E154" s="2273"/>
      <c r="F154" s="2273"/>
      <c r="G154" s="2273"/>
      <c r="H154" s="2273"/>
      <c r="I154" s="2273"/>
      <c r="J154" s="2273"/>
      <c r="K154" s="2273"/>
      <c r="L154" s="2273"/>
      <c r="M154" s="2273"/>
      <c r="N154" s="2273"/>
      <c r="O154" s="2273"/>
      <c r="P154" s="2273"/>
      <c r="Q154" s="2273"/>
    </row>
    <row r="155" spans="2:17" s="751" customFormat="1">
      <c r="B155" s="2273"/>
      <c r="C155" s="2273"/>
      <c r="D155" s="2273"/>
      <c r="E155" s="2273"/>
      <c r="F155" s="2273"/>
      <c r="G155" s="2273"/>
      <c r="H155" s="2273"/>
      <c r="I155" s="2273"/>
      <c r="J155" s="2273"/>
      <c r="K155" s="2273"/>
      <c r="L155" s="2273"/>
      <c r="M155" s="2273"/>
      <c r="N155" s="2273"/>
      <c r="O155" s="2273"/>
      <c r="P155" s="2273"/>
      <c r="Q155" s="2273"/>
    </row>
    <row r="156" spans="2:17" s="751" customFormat="1">
      <c r="B156" s="2273"/>
      <c r="C156" s="2273"/>
      <c r="D156" s="2273"/>
      <c r="E156" s="2273"/>
      <c r="F156" s="2273"/>
      <c r="G156" s="2273"/>
      <c r="H156" s="2273"/>
      <c r="I156" s="2273"/>
      <c r="J156" s="2273"/>
      <c r="K156" s="2273"/>
      <c r="L156" s="2273"/>
      <c r="M156" s="2273"/>
      <c r="N156" s="2273"/>
      <c r="O156" s="2273"/>
      <c r="P156" s="2273"/>
      <c r="Q156" s="2273"/>
    </row>
    <row r="157" spans="2:17" s="751" customFormat="1">
      <c r="B157" s="2273"/>
      <c r="C157" s="2273"/>
      <c r="D157" s="2273"/>
      <c r="E157" s="2273"/>
      <c r="F157" s="2273"/>
      <c r="G157" s="2273"/>
      <c r="H157" s="2273"/>
      <c r="I157" s="2273"/>
      <c r="J157" s="2273"/>
      <c r="K157" s="2273"/>
      <c r="L157" s="2273"/>
      <c r="M157" s="2273"/>
      <c r="N157" s="2273"/>
      <c r="O157" s="2273"/>
      <c r="P157" s="2273"/>
      <c r="Q157" s="2273"/>
    </row>
    <row r="158" spans="2:17" s="751" customFormat="1">
      <c r="B158" s="2273"/>
      <c r="C158" s="2273"/>
      <c r="D158" s="2273"/>
      <c r="E158" s="2273"/>
      <c r="F158" s="2273"/>
      <c r="G158" s="2273"/>
      <c r="H158" s="2273"/>
      <c r="I158" s="2273"/>
      <c r="J158" s="2273"/>
      <c r="K158" s="2273"/>
      <c r="L158" s="2273"/>
      <c r="M158" s="2273"/>
      <c r="N158" s="2273"/>
      <c r="O158" s="2273"/>
      <c r="P158" s="2273"/>
      <c r="Q158" s="2273"/>
    </row>
    <row r="159" spans="2:17" s="751" customFormat="1">
      <c r="B159" s="2273"/>
      <c r="C159" s="2273"/>
      <c r="D159" s="2273"/>
      <c r="E159" s="2273"/>
      <c r="F159" s="2273"/>
      <c r="G159" s="2273"/>
      <c r="H159" s="2273"/>
      <c r="I159" s="2273"/>
      <c r="J159" s="2273"/>
      <c r="K159" s="2273"/>
      <c r="L159" s="2273"/>
      <c r="M159" s="2273"/>
      <c r="N159" s="2273"/>
      <c r="O159" s="2273"/>
      <c r="P159" s="2273"/>
      <c r="Q159" s="2273"/>
    </row>
    <row r="160" spans="2:17" s="751" customFormat="1">
      <c r="B160" s="2273"/>
      <c r="C160" s="2273"/>
      <c r="D160" s="2273"/>
      <c r="E160" s="2273"/>
      <c r="F160" s="2273"/>
      <c r="G160" s="2273"/>
      <c r="H160" s="2273"/>
      <c r="I160" s="2273"/>
      <c r="J160" s="2273"/>
      <c r="K160" s="2273"/>
      <c r="L160" s="2273"/>
      <c r="M160" s="2273"/>
      <c r="N160" s="2273"/>
      <c r="O160" s="2273"/>
      <c r="P160" s="2273"/>
      <c r="Q160" s="2273"/>
    </row>
    <row r="161" spans="2:17" s="751" customFormat="1">
      <c r="B161" s="2273"/>
      <c r="C161" s="2273"/>
      <c r="D161" s="2273"/>
      <c r="E161" s="2273"/>
      <c r="F161" s="2273"/>
      <c r="G161" s="2273"/>
      <c r="H161" s="2273"/>
      <c r="I161" s="2273"/>
      <c r="J161" s="2273"/>
      <c r="K161" s="2273"/>
      <c r="L161" s="2273"/>
      <c r="M161" s="2273"/>
      <c r="N161" s="2273"/>
      <c r="O161" s="2273"/>
      <c r="P161" s="2273"/>
      <c r="Q161" s="2273"/>
    </row>
    <row r="162" spans="2:17" s="751" customFormat="1">
      <c r="B162" s="2273"/>
      <c r="C162" s="2273"/>
      <c r="D162" s="2273"/>
      <c r="E162" s="2273"/>
      <c r="F162" s="2273"/>
      <c r="G162" s="2273"/>
      <c r="H162" s="2273"/>
      <c r="I162" s="2273"/>
      <c r="J162" s="2273"/>
      <c r="K162" s="2273"/>
      <c r="L162" s="2273"/>
      <c r="M162" s="2273"/>
      <c r="N162" s="2273"/>
      <c r="O162" s="2273"/>
      <c r="P162" s="2273"/>
      <c r="Q162" s="2273"/>
    </row>
    <row r="163" spans="2:17" s="751" customFormat="1">
      <c r="B163" s="2273"/>
      <c r="C163" s="2273"/>
      <c r="D163" s="2273"/>
      <c r="E163" s="2273"/>
      <c r="F163" s="2273"/>
      <c r="G163" s="2273"/>
      <c r="H163" s="2273"/>
      <c r="I163" s="2273"/>
      <c r="J163" s="2273"/>
      <c r="K163" s="2273"/>
      <c r="L163" s="2273"/>
      <c r="M163" s="2273"/>
      <c r="N163" s="2273"/>
      <c r="O163" s="2273"/>
      <c r="P163" s="2273"/>
      <c r="Q163" s="2273"/>
    </row>
    <row r="164" spans="2:17" s="751" customFormat="1">
      <c r="B164" s="2273"/>
      <c r="C164" s="2273"/>
      <c r="D164" s="2273"/>
      <c r="E164" s="2273"/>
      <c r="F164" s="2273"/>
      <c r="G164" s="2273"/>
      <c r="H164" s="2273"/>
      <c r="I164" s="2273"/>
      <c r="J164" s="2273"/>
      <c r="K164" s="2273"/>
      <c r="L164" s="2273"/>
      <c r="M164" s="2273"/>
      <c r="N164" s="2273"/>
      <c r="O164" s="2273"/>
      <c r="P164" s="2273"/>
      <c r="Q164" s="2273"/>
    </row>
    <row r="165" spans="2:17" s="751" customFormat="1">
      <c r="B165" s="2273"/>
      <c r="C165" s="2273"/>
      <c r="D165" s="2273"/>
      <c r="E165" s="2273"/>
      <c r="F165" s="2273"/>
      <c r="G165" s="2273"/>
      <c r="H165" s="2273"/>
      <c r="I165" s="2273"/>
      <c r="J165" s="2273"/>
      <c r="K165" s="2273"/>
      <c r="L165" s="2273"/>
      <c r="M165" s="2273"/>
      <c r="N165" s="2273"/>
      <c r="O165" s="2273"/>
      <c r="P165" s="2273"/>
      <c r="Q165" s="2273"/>
    </row>
    <row r="166" spans="2:17" s="751" customFormat="1">
      <c r="B166" s="2273"/>
      <c r="C166" s="2273"/>
      <c r="D166" s="2273"/>
      <c r="E166" s="2273"/>
      <c r="F166" s="2273"/>
      <c r="G166" s="2273"/>
      <c r="H166" s="2273"/>
      <c r="I166" s="2273"/>
      <c r="J166" s="2273"/>
      <c r="K166" s="2273"/>
      <c r="L166" s="2273"/>
      <c r="M166" s="2273"/>
      <c r="N166" s="2273"/>
      <c r="O166" s="2273"/>
      <c r="P166" s="2273"/>
      <c r="Q166" s="2273"/>
    </row>
    <row r="167" spans="2:17" s="751" customFormat="1">
      <c r="B167" s="2273"/>
      <c r="C167" s="2273"/>
      <c r="D167" s="2273"/>
      <c r="E167" s="2273"/>
      <c r="F167" s="2273"/>
      <c r="G167" s="2273"/>
      <c r="H167" s="2273"/>
      <c r="I167" s="2273"/>
      <c r="J167" s="2273"/>
      <c r="K167" s="2273"/>
      <c r="L167" s="2273"/>
      <c r="M167" s="2273"/>
      <c r="N167" s="2273"/>
      <c r="O167" s="2273"/>
      <c r="P167" s="2273"/>
      <c r="Q167" s="2273"/>
    </row>
    <row r="168" spans="2:17" s="751" customFormat="1">
      <c r="B168" s="2273"/>
      <c r="C168" s="2273"/>
      <c r="D168" s="2273"/>
      <c r="E168" s="2273"/>
      <c r="F168" s="2273"/>
      <c r="G168" s="2273"/>
      <c r="H168" s="2273"/>
      <c r="I168" s="2273"/>
      <c r="J168" s="2273"/>
      <c r="K168" s="2273"/>
      <c r="L168" s="2273"/>
      <c r="M168" s="2273"/>
      <c r="N168" s="2273"/>
      <c r="O168" s="2273"/>
      <c r="P168" s="2273"/>
      <c r="Q168" s="2273"/>
    </row>
    <row r="169" spans="2:17" s="751" customFormat="1">
      <c r="B169" s="2273"/>
      <c r="C169" s="2273"/>
      <c r="D169" s="2273"/>
      <c r="E169" s="2273"/>
      <c r="F169" s="2273"/>
      <c r="G169" s="2273"/>
      <c r="H169" s="2273"/>
      <c r="I169" s="2273"/>
      <c r="J169" s="2273"/>
      <c r="K169" s="2273"/>
      <c r="L169" s="2273"/>
      <c r="M169" s="2273"/>
      <c r="N169" s="2273"/>
      <c r="O169" s="2273"/>
      <c r="P169" s="2273"/>
      <c r="Q169" s="2273"/>
    </row>
    <row r="170" spans="2:17" s="751" customFormat="1">
      <c r="B170" s="2273"/>
      <c r="C170" s="2273"/>
      <c r="D170" s="2273"/>
      <c r="E170" s="2273"/>
      <c r="F170" s="2273"/>
      <c r="G170" s="2273"/>
      <c r="H170" s="2273"/>
      <c r="I170" s="2273"/>
      <c r="J170" s="2273"/>
      <c r="K170" s="2273"/>
      <c r="L170" s="2273"/>
      <c r="M170" s="2273"/>
      <c r="N170" s="2273"/>
      <c r="O170" s="2273"/>
      <c r="P170" s="2273"/>
      <c r="Q170" s="2273"/>
    </row>
    <row r="171" spans="2:17" s="751" customFormat="1">
      <c r="B171" s="2273"/>
      <c r="C171" s="2273"/>
      <c r="D171" s="2273"/>
      <c r="E171" s="2273"/>
      <c r="F171" s="2273"/>
      <c r="G171" s="2273"/>
      <c r="H171" s="2273"/>
      <c r="I171" s="2273"/>
      <c r="J171" s="2273"/>
      <c r="K171" s="2273"/>
      <c r="L171" s="2273"/>
      <c r="M171" s="2273"/>
      <c r="N171" s="2273"/>
      <c r="O171" s="2273"/>
      <c r="P171" s="2273"/>
      <c r="Q171" s="2273"/>
    </row>
    <row r="172" spans="2:17" s="751" customFormat="1">
      <c r="B172" s="2273"/>
      <c r="C172" s="2273"/>
      <c r="D172" s="2273"/>
      <c r="E172" s="2273"/>
      <c r="F172" s="2273"/>
      <c r="G172" s="2273"/>
      <c r="H172" s="2273"/>
      <c r="I172" s="2273"/>
      <c r="J172" s="2273"/>
      <c r="K172" s="2273"/>
      <c r="L172" s="2273"/>
      <c r="M172" s="2273"/>
      <c r="N172" s="2273"/>
      <c r="O172" s="2273"/>
      <c r="P172" s="2273"/>
      <c r="Q172" s="2273"/>
    </row>
    <row r="173" spans="2:17" s="751" customFormat="1">
      <c r="B173" s="2273"/>
      <c r="C173" s="2273"/>
      <c r="D173" s="2273"/>
      <c r="E173" s="2273"/>
      <c r="F173" s="2273"/>
      <c r="G173" s="2273"/>
      <c r="H173" s="2273"/>
      <c r="I173" s="2273"/>
      <c r="J173" s="2273"/>
      <c r="K173" s="2273"/>
      <c r="L173" s="2273"/>
      <c r="M173" s="2273"/>
      <c r="N173" s="2273"/>
      <c r="O173" s="2273"/>
      <c r="P173" s="2273"/>
      <c r="Q173" s="2273"/>
    </row>
    <row r="174" spans="2:17" s="751" customFormat="1">
      <c r="B174" s="2273"/>
      <c r="C174" s="2273"/>
      <c r="D174" s="2273"/>
      <c r="E174" s="2273"/>
      <c r="F174" s="2273"/>
      <c r="G174" s="2273"/>
      <c r="H174" s="2273"/>
      <c r="I174" s="2273"/>
      <c r="J174" s="2273"/>
      <c r="K174" s="2273"/>
      <c r="L174" s="2273"/>
      <c r="M174" s="2273"/>
      <c r="N174" s="2273"/>
      <c r="O174" s="2273"/>
      <c r="P174" s="2273"/>
      <c r="Q174" s="2273"/>
    </row>
    <row r="175" spans="2:17" s="751" customFormat="1">
      <c r="B175" s="2273"/>
      <c r="C175" s="2273"/>
      <c r="D175" s="2273"/>
      <c r="E175" s="2273"/>
      <c r="F175" s="2273"/>
      <c r="G175" s="2273"/>
      <c r="H175" s="2273"/>
      <c r="I175" s="2273"/>
      <c r="J175" s="2273"/>
      <c r="K175" s="2273"/>
      <c r="L175" s="2273"/>
      <c r="M175" s="2273"/>
      <c r="N175" s="2273"/>
      <c r="O175" s="2273"/>
      <c r="P175" s="2273"/>
      <c r="Q175" s="2273"/>
    </row>
    <row r="176" spans="2:17" s="751" customFormat="1">
      <c r="B176" s="2273"/>
      <c r="C176" s="2273"/>
      <c r="D176" s="2273"/>
      <c r="E176" s="2273"/>
      <c r="F176" s="2273"/>
      <c r="G176" s="2273"/>
      <c r="H176" s="2273"/>
      <c r="I176" s="2273"/>
      <c r="J176" s="2273"/>
      <c r="K176" s="2273"/>
      <c r="L176" s="2273"/>
      <c r="M176" s="2273"/>
      <c r="N176" s="2273"/>
      <c r="O176" s="2273"/>
      <c r="P176" s="2273"/>
      <c r="Q176" s="2273"/>
    </row>
    <row r="177" spans="1:17" s="751" customFormat="1">
      <c r="B177" s="2273"/>
      <c r="C177" s="2273"/>
      <c r="D177" s="2273"/>
      <c r="E177" s="2273"/>
      <c r="F177" s="2273"/>
      <c r="G177" s="2273"/>
      <c r="H177" s="2273"/>
      <c r="I177" s="2273"/>
      <c r="J177" s="2273"/>
      <c r="K177" s="2273"/>
      <c r="L177" s="2273"/>
      <c r="M177" s="2273"/>
      <c r="N177" s="2273"/>
      <c r="O177" s="2273"/>
      <c r="P177" s="2273"/>
      <c r="Q177" s="2273"/>
    </row>
    <row r="178" spans="1:17" s="751" customFormat="1">
      <c r="B178" s="2273"/>
      <c r="C178" s="2273"/>
      <c r="D178" s="2273"/>
      <c r="E178" s="2273"/>
      <c r="F178" s="2273"/>
      <c r="G178" s="2273"/>
      <c r="H178" s="2273"/>
      <c r="I178" s="2273"/>
      <c r="J178" s="2273"/>
      <c r="K178" s="2273"/>
      <c r="L178" s="2273"/>
      <c r="M178" s="2273"/>
      <c r="N178" s="2273"/>
      <c r="O178" s="2273"/>
      <c r="P178" s="2273"/>
      <c r="Q178" s="2273"/>
    </row>
    <row r="179" spans="1:17" s="751" customFormat="1">
      <c r="B179" s="2273"/>
      <c r="C179" s="2273"/>
      <c r="D179" s="2273"/>
      <c r="E179" s="2273"/>
      <c r="F179" s="2273"/>
      <c r="G179" s="2273"/>
      <c r="H179" s="2273"/>
      <c r="I179" s="2273"/>
      <c r="J179" s="2273"/>
      <c r="K179" s="2273"/>
      <c r="L179" s="2273"/>
      <c r="M179" s="2273"/>
      <c r="N179" s="2273"/>
      <c r="O179" s="2273"/>
      <c r="P179" s="2273"/>
      <c r="Q179" s="2273"/>
    </row>
    <row r="180" spans="1:17" s="751" customFormat="1">
      <c r="B180" s="2273"/>
      <c r="C180" s="2273"/>
      <c r="D180" s="2273"/>
      <c r="E180" s="2273"/>
      <c r="F180" s="2273"/>
      <c r="G180" s="2273"/>
      <c r="H180" s="2273"/>
      <c r="I180" s="2273"/>
      <c r="J180" s="2273"/>
      <c r="K180" s="2273"/>
      <c r="L180" s="2273"/>
      <c r="M180" s="2273"/>
      <c r="N180" s="2273"/>
      <c r="O180" s="2273"/>
      <c r="P180" s="2273"/>
      <c r="Q180" s="2273"/>
    </row>
    <row r="181" spans="1:17" s="751" customFormat="1">
      <c r="B181" s="2273"/>
      <c r="C181" s="2273"/>
      <c r="D181" s="2273"/>
      <c r="E181" s="2273"/>
      <c r="F181" s="2273"/>
      <c r="G181" s="2273"/>
      <c r="H181" s="2273"/>
      <c r="I181" s="2273"/>
      <c r="J181" s="2273"/>
      <c r="K181" s="2273"/>
      <c r="L181" s="2273"/>
      <c r="M181" s="2273"/>
      <c r="N181" s="2273"/>
      <c r="O181" s="2273"/>
      <c r="P181" s="2273"/>
      <c r="Q181" s="2273"/>
    </row>
    <row r="182" spans="1:17" s="751" customFormat="1">
      <c r="B182" s="2273"/>
      <c r="C182" s="2273"/>
      <c r="D182" s="2273"/>
      <c r="E182" s="2273"/>
      <c r="F182" s="2273"/>
      <c r="G182" s="2273"/>
      <c r="H182" s="2273"/>
      <c r="I182" s="2273"/>
      <c r="J182" s="2273"/>
      <c r="K182" s="2273"/>
      <c r="L182" s="2273"/>
      <c r="M182" s="2273"/>
      <c r="N182" s="2273"/>
      <c r="O182" s="2273"/>
      <c r="P182" s="2273"/>
      <c r="Q182" s="2273"/>
    </row>
    <row r="183" spans="1:17" s="751" customFormat="1">
      <c r="B183" s="2273"/>
      <c r="C183" s="2273"/>
      <c r="D183" s="2273"/>
      <c r="E183" s="2273"/>
      <c r="F183" s="2273"/>
      <c r="G183" s="2273"/>
      <c r="H183" s="2273"/>
      <c r="I183" s="2273"/>
      <c r="J183" s="2273"/>
      <c r="K183" s="2273"/>
      <c r="L183" s="2273"/>
      <c r="M183" s="2273"/>
      <c r="N183" s="2273"/>
      <c r="O183" s="2273"/>
      <c r="P183" s="2273"/>
      <c r="Q183" s="2273"/>
    </row>
    <row r="184" spans="1:17" s="751" customFormat="1">
      <c r="B184" s="2273"/>
      <c r="C184" s="2273"/>
      <c r="D184" s="2273"/>
      <c r="E184" s="2273"/>
      <c r="F184" s="2273"/>
      <c r="G184" s="2273"/>
      <c r="H184" s="2273"/>
      <c r="I184" s="2273"/>
      <c r="J184" s="2273"/>
      <c r="K184" s="2273"/>
      <c r="L184" s="2273"/>
      <c r="M184" s="2273"/>
      <c r="N184" s="2273"/>
      <c r="O184" s="2273"/>
      <c r="P184" s="2273"/>
      <c r="Q184" s="2273"/>
    </row>
    <row r="185" spans="1:17" s="751" customFormat="1">
      <c r="B185" s="2273"/>
      <c r="C185" s="2273"/>
      <c r="D185" s="2273"/>
      <c r="E185" s="2273"/>
      <c r="F185" s="2273"/>
      <c r="G185" s="2273"/>
      <c r="H185" s="2273"/>
      <c r="I185" s="2273"/>
      <c r="J185" s="2273"/>
      <c r="K185" s="2273"/>
      <c r="L185" s="2273"/>
      <c r="M185" s="2273"/>
      <c r="N185" s="2273"/>
      <c r="O185" s="2273"/>
      <c r="P185" s="2273"/>
      <c r="Q185" s="2273"/>
    </row>
    <row r="186" spans="1:17">
      <c r="A186" s="751"/>
      <c r="B186" s="2273"/>
      <c r="C186" s="2273"/>
      <c r="E186" s="2273"/>
      <c r="F186" s="2273"/>
      <c r="G186" s="2273"/>
    </row>
    <row r="187" spans="1:17">
      <c r="A187" s="751"/>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4.4"/>
  <cols>
    <col min="1" max="1" width="25" style="2297" customWidth="1"/>
    <col min="2" max="9" width="15.77734375" style="2297" customWidth="1"/>
    <col min="10" max="16384" width="9" style="2297"/>
  </cols>
  <sheetData>
    <row r="1" spans="1:11" ht="16.2">
      <c r="A1" s="2296" t="s">
        <v>665</v>
      </c>
      <c r="B1" s="2296">
        <f>SUM(B14:B23)</f>
        <v>245.74</v>
      </c>
      <c r="C1" s="2457"/>
      <c r="D1" s="2457"/>
      <c r="E1" s="2457"/>
      <c r="F1" s="2457"/>
      <c r="G1" s="2458"/>
      <c r="H1" s="2458"/>
      <c r="I1" s="2458"/>
      <c r="J1" s="2458"/>
      <c r="K1" s="2458"/>
    </row>
    <row r="2" spans="1:11" ht="16.2">
      <c r="A2" s="2296" t="s">
        <v>653</v>
      </c>
      <c r="B2" s="2296">
        <f>SUM(C14:C23)</f>
        <v>0</v>
      </c>
      <c r="C2" s="2457"/>
      <c r="D2" s="2457"/>
      <c r="E2" s="2457"/>
      <c r="F2" s="2457"/>
      <c r="G2" s="2458"/>
      <c r="H2" s="2458"/>
      <c r="I2" s="2458"/>
      <c r="J2" s="2458"/>
      <c r="K2" s="2458"/>
    </row>
    <row r="3" spans="1:11" ht="15.6">
      <c r="A3" s="2296" t="s">
        <v>662</v>
      </c>
      <c r="B3" s="2298">
        <f>项目基本情况!D3</f>
        <v>45793</v>
      </c>
      <c r="C3" s="2457"/>
      <c r="D3" s="2457"/>
      <c r="E3" s="2457"/>
      <c r="F3" s="2457"/>
      <c r="G3" s="2458"/>
      <c r="H3" s="2458"/>
      <c r="I3" s="2458"/>
      <c r="J3" s="2458"/>
      <c r="K3" s="2458"/>
    </row>
    <row r="4" spans="1:11" ht="31.2">
      <c r="A4" s="2296" t="s">
        <v>661</v>
      </c>
      <c r="B4" s="2296" t="s">
        <v>660</v>
      </c>
      <c r="C4" s="2296" t="s">
        <v>659</v>
      </c>
      <c r="D4" s="2296" t="s">
        <v>658</v>
      </c>
      <c r="E4" s="2457"/>
      <c r="F4" s="2458"/>
      <c r="G4" s="2458"/>
      <c r="H4" s="2458"/>
      <c r="I4" s="2458"/>
      <c r="J4" s="2458"/>
      <c r="K4" s="2458"/>
    </row>
    <row r="5" spans="1:11" ht="15.6">
      <c r="A5" s="2296" t="s">
        <v>657</v>
      </c>
      <c r="B5" s="2296">
        <f ca="1">SUM(D14:D23)</f>
        <v>887</v>
      </c>
      <c r="C5" s="2296">
        <f ca="1">IF(B5=D14,结果表!H102,ROUND(B5*10000/$B$1,0))</f>
        <v>36113</v>
      </c>
      <c r="D5" s="2296" t="e">
        <f ca="1">ROUND(B5*10000/$B$2,0)</f>
        <v>#DIV/0!</v>
      </c>
      <c r="E5" s="2457"/>
      <c r="F5" s="2458"/>
      <c r="G5" s="2458"/>
      <c r="H5" s="2458"/>
      <c r="I5" s="2458"/>
      <c r="J5" s="2458"/>
      <c r="K5" s="2458"/>
    </row>
    <row r="6" spans="1:11" ht="15.6">
      <c r="A6" s="2296" t="s">
        <v>656</v>
      </c>
      <c r="B6" s="2296">
        <f ca="1">SUM(G14:G23)</f>
        <v>887</v>
      </c>
      <c r="C6" s="2296">
        <f ca="1">IF(B6=G14,结果表!H108,ROUND(B6*10000/$B$1,0))</f>
        <v>36113</v>
      </c>
      <c r="D6" s="2296" t="e">
        <f ca="1">ROUND(B6*10000/$B$2,0)</f>
        <v>#DIV/0!</v>
      </c>
      <c r="E6" s="2457"/>
      <c r="F6" s="2458"/>
      <c r="G6" s="2458"/>
      <c r="H6" s="2458"/>
      <c r="I6" s="2458"/>
      <c r="J6" s="2458"/>
      <c r="K6" s="2458"/>
    </row>
    <row r="7" spans="1:11" ht="15.6">
      <c r="A7" s="2296" t="s">
        <v>664</v>
      </c>
      <c r="B7" s="2296">
        <f>SUM(H14:H23)</f>
        <v>0</v>
      </c>
      <c r="C7" s="2296" t="str">
        <f>IF(B7=H14,结果表!H110,ROUND(B7*10000/$B$1,0))</f>
        <v>——</v>
      </c>
      <c r="D7" s="2296" t="e">
        <f>ROUND(B7*10000/$B$2,0)</f>
        <v>#DIV/0!</v>
      </c>
      <c r="E7" s="2457"/>
      <c r="F7" s="2458"/>
      <c r="G7" s="2458"/>
      <c r="H7" s="2458"/>
      <c r="I7" s="2458"/>
      <c r="J7" s="2458"/>
      <c r="K7" s="2458"/>
    </row>
    <row r="8" spans="1:11" ht="15.6">
      <c r="A8" s="2296" t="s">
        <v>587</v>
      </c>
      <c r="B8" s="2296">
        <f>SUM(I14:I23)</f>
        <v>0</v>
      </c>
      <c r="C8" s="2296" t="str">
        <f>IF(B8=I14,结果表!H112,ROUND(B8*10000/$B$1,0))</f>
        <v>——</v>
      </c>
      <c r="D8" s="2296" t="e">
        <f>ROUND(B8*10000/$B$2,0)</f>
        <v>#DIV/0!</v>
      </c>
      <c r="E8" s="2457"/>
      <c r="F8" s="2458"/>
      <c r="G8" s="2458"/>
      <c r="H8" s="2458"/>
      <c r="I8" s="2458"/>
      <c r="J8" s="2458"/>
      <c r="K8" s="2458"/>
    </row>
    <row r="9" spans="1:11" ht="15.6">
      <c r="A9" s="2296" t="s">
        <v>655</v>
      </c>
      <c r="B9" s="1242"/>
      <c r="C9" s="2457"/>
      <c r="D9" s="2457"/>
      <c r="E9" s="2457"/>
      <c r="F9" s="2458"/>
      <c r="G9" s="2458"/>
      <c r="H9" s="2458"/>
      <c r="I9" s="2458"/>
      <c r="J9" s="2458"/>
      <c r="K9" s="2458"/>
    </row>
    <row r="10" spans="1:11" ht="15.6">
      <c r="A10" s="2296" t="s">
        <v>654</v>
      </c>
      <c r="B10" s="2296">
        <f>IF(E10="",0,ROUND(B1*(E10*365/G10)/10000,0))</f>
        <v>0</v>
      </c>
      <c r="C10" s="2296" t="s">
        <v>3350</v>
      </c>
      <c r="D10" s="2296" t="s">
        <v>3351</v>
      </c>
      <c r="E10" s="3132"/>
      <c r="F10" s="3136" t="s">
        <v>3352</v>
      </c>
      <c r="G10" s="3133"/>
      <c r="H10" s="2458"/>
      <c r="I10" s="2458"/>
      <c r="J10" s="2458"/>
      <c r="K10" s="2458"/>
    </row>
    <row r="11" spans="1:11" ht="15.6">
      <c r="A11" s="2296" t="s">
        <v>670</v>
      </c>
      <c r="B11" s="1242"/>
      <c r="C11" s="2457"/>
      <c r="D11" s="2457"/>
      <c r="E11" s="2457"/>
      <c r="F11" s="2458"/>
      <c r="G11" s="2458"/>
      <c r="H11" s="2458"/>
      <c r="I11" s="2458"/>
      <c r="J11" s="2458"/>
      <c r="K11" s="2458"/>
    </row>
    <row r="12" spans="1:11" ht="15.6">
      <c r="A12" s="2457"/>
      <c r="B12" s="2457"/>
      <c r="C12" s="2457"/>
      <c r="D12" s="2457"/>
      <c r="E12" s="2457"/>
      <c r="F12" s="2458"/>
      <c r="G12" s="2458"/>
      <c r="H12" s="2458"/>
      <c r="I12" s="2458"/>
      <c r="J12" s="2458"/>
      <c r="K12" s="2458"/>
    </row>
    <row r="13" spans="1:11" ht="31.8">
      <c r="A13" s="2299" t="s">
        <v>669</v>
      </c>
      <c r="B13" s="2300" t="s">
        <v>666</v>
      </c>
      <c r="C13" s="2300" t="s">
        <v>668</v>
      </c>
      <c r="D13" s="2300" t="s">
        <v>667</v>
      </c>
      <c r="E13" s="2296" t="s">
        <v>659</v>
      </c>
      <c r="F13" s="2296" t="s">
        <v>658</v>
      </c>
      <c r="G13" s="2300" t="s">
        <v>652</v>
      </c>
      <c r="H13" s="2300" t="s">
        <v>663</v>
      </c>
      <c r="I13" s="2300" t="s">
        <v>651</v>
      </c>
      <c r="J13" s="2458"/>
      <c r="K13" s="2458"/>
    </row>
    <row r="14" spans="1:11" ht="15.6">
      <c r="A14" s="2301" t="s">
        <v>650</v>
      </c>
      <c r="B14" s="2302">
        <f>'数据-汇总表'!E19</f>
        <v>245.74</v>
      </c>
      <c r="C14" s="2302"/>
      <c r="D14" s="2302">
        <f ca="1">结果表!H101</f>
        <v>887</v>
      </c>
      <c r="E14" s="2302">
        <f ca="1">ROUND(D14*10000/B14,0)</f>
        <v>36095</v>
      </c>
      <c r="F14" s="2302" t="e">
        <f ca="1">ROUND(D14*10000/C14,0)</f>
        <v>#DIV/0!</v>
      </c>
      <c r="G14" s="2302">
        <f ca="1">结果表!H107</f>
        <v>887</v>
      </c>
      <c r="H14" s="2302"/>
      <c r="I14" s="2302"/>
      <c r="J14" s="2458"/>
      <c r="K14" s="2458"/>
    </row>
    <row r="15" spans="1:11" ht="15.6">
      <c r="A15" s="2301" t="s">
        <v>649</v>
      </c>
      <c r="B15" s="2303"/>
      <c r="C15" s="2303"/>
      <c r="D15" s="2303"/>
      <c r="E15" s="2302" t="e">
        <f t="shared" ref="E15:E23" si="0">ROUND(D15*10000/B15,0)</f>
        <v>#DIV/0!</v>
      </c>
      <c r="F15" s="2302" t="e">
        <f t="shared" ref="F15:F23" si="1">ROUND(D15*10000/C15,0)</f>
        <v>#DIV/0!</v>
      </c>
      <c r="G15" s="1242"/>
      <c r="H15" s="1242"/>
      <c r="I15" s="2303"/>
      <c r="J15" s="2458"/>
      <c r="K15" s="2458"/>
    </row>
    <row r="16" spans="1:11" ht="15.6">
      <c r="A16" s="2301" t="s">
        <v>648</v>
      </c>
      <c r="B16" s="2303"/>
      <c r="C16" s="2303"/>
      <c r="D16" s="2303"/>
      <c r="E16" s="2302" t="e">
        <f t="shared" si="0"/>
        <v>#DIV/0!</v>
      </c>
      <c r="F16" s="2302" t="e">
        <f t="shared" si="1"/>
        <v>#DIV/0!</v>
      </c>
      <c r="G16" s="1242"/>
      <c r="H16" s="1242"/>
      <c r="I16" s="2303"/>
      <c r="J16" s="2458"/>
      <c r="K16" s="2458"/>
    </row>
    <row r="17" spans="1:11" ht="15.6">
      <c r="A17" s="2301" t="s">
        <v>647</v>
      </c>
      <c r="B17" s="2303"/>
      <c r="C17" s="2303"/>
      <c r="D17" s="2303"/>
      <c r="E17" s="2302" t="e">
        <f t="shared" si="0"/>
        <v>#DIV/0!</v>
      </c>
      <c r="F17" s="2302" t="e">
        <f t="shared" si="1"/>
        <v>#DIV/0!</v>
      </c>
      <c r="G17" s="1242"/>
      <c r="H17" s="1242"/>
      <c r="I17" s="2303"/>
      <c r="J17" s="2458"/>
      <c r="K17" s="2458"/>
    </row>
    <row r="18" spans="1:11" ht="15.6">
      <c r="A18" s="2301" t="s">
        <v>646</v>
      </c>
      <c r="B18" s="2303"/>
      <c r="C18" s="2303"/>
      <c r="D18" s="2303"/>
      <c r="E18" s="2302" t="e">
        <f t="shared" si="0"/>
        <v>#DIV/0!</v>
      </c>
      <c r="F18" s="2302" t="e">
        <f t="shared" si="1"/>
        <v>#DIV/0!</v>
      </c>
      <c r="G18" s="2303"/>
      <c r="H18" s="2303"/>
      <c r="I18" s="2303"/>
      <c r="J18" s="2458"/>
      <c r="K18" s="2458"/>
    </row>
    <row r="19" spans="1:11" ht="15.6">
      <c r="A19" s="2301" t="s">
        <v>645</v>
      </c>
      <c r="B19" s="2303"/>
      <c r="C19" s="2303"/>
      <c r="D19" s="2303"/>
      <c r="E19" s="2302" t="e">
        <f t="shared" si="0"/>
        <v>#DIV/0!</v>
      </c>
      <c r="F19" s="2302" t="e">
        <f t="shared" si="1"/>
        <v>#DIV/0!</v>
      </c>
      <c r="G19" s="2303"/>
      <c r="H19" s="2303"/>
      <c r="I19" s="2303"/>
      <c r="J19" s="2458"/>
      <c r="K19" s="2458"/>
    </row>
    <row r="20" spans="1:11" ht="15.6">
      <c r="A20" s="2301" t="s">
        <v>644</v>
      </c>
      <c r="B20" s="2303"/>
      <c r="C20" s="2303"/>
      <c r="D20" s="2303"/>
      <c r="E20" s="2302" t="e">
        <f t="shared" si="0"/>
        <v>#DIV/0!</v>
      </c>
      <c r="F20" s="2302" t="e">
        <f t="shared" si="1"/>
        <v>#DIV/0!</v>
      </c>
      <c r="G20" s="2303"/>
      <c r="H20" s="2303"/>
      <c r="I20" s="2303"/>
      <c r="J20" s="2458"/>
      <c r="K20" s="2458"/>
    </row>
    <row r="21" spans="1:11" ht="15.6">
      <c r="A21" s="2301" t="s">
        <v>643</v>
      </c>
      <c r="B21" s="2303"/>
      <c r="C21" s="2303"/>
      <c r="D21" s="2303"/>
      <c r="E21" s="2302" t="e">
        <f t="shared" si="0"/>
        <v>#DIV/0!</v>
      </c>
      <c r="F21" s="2302" t="e">
        <f t="shared" si="1"/>
        <v>#DIV/0!</v>
      </c>
      <c r="G21" s="2303"/>
      <c r="H21" s="2303"/>
      <c r="I21" s="2303"/>
      <c r="J21" s="2458"/>
      <c r="K21" s="2458"/>
    </row>
    <row r="22" spans="1:11" ht="15.6">
      <c r="A22" s="2301" t="s">
        <v>642</v>
      </c>
      <c r="B22" s="2303"/>
      <c r="C22" s="2303"/>
      <c r="D22" s="2303"/>
      <c r="E22" s="2302" t="e">
        <f t="shared" si="0"/>
        <v>#DIV/0!</v>
      </c>
      <c r="F22" s="2302" t="e">
        <f t="shared" si="1"/>
        <v>#DIV/0!</v>
      </c>
      <c r="G22" s="2303"/>
      <c r="H22" s="2303"/>
      <c r="I22" s="2303"/>
      <c r="J22" s="2458"/>
      <c r="K22" s="2458"/>
    </row>
    <row r="23" spans="1:11" ht="15.6">
      <c r="A23" s="2301" t="s">
        <v>641</v>
      </c>
      <c r="B23" s="2303"/>
      <c r="C23" s="2303"/>
      <c r="D23" s="2303"/>
      <c r="E23" s="1242" t="e">
        <f t="shared" si="0"/>
        <v>#DIV/0!</v>
      </c>
      <c r="F23" s="1242" t="e">
        <f t="shared" si="1"/>
        <v>#DIV/0!</v>
      </c>
      <c r="G23" s="2303"/>
      <c r="H23" s="2303"/>
      <c r="I23" s="2303"/>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25" zoomScale="70" zoomScaleNormal="100" zoomScaleSheetLayoutView="70" zoomScalePageLayoutView="80" workbookViewId="0">
      <selection activeCell="M7" sqref="M7"/>
    </sheetView>
  </sheetViews>
  <sheetFormatPr defaultColWidth="12.6640625" defaultRowHeight="21.75" customHeight="1"/>
  <cols>
    <col min="1" max="2" width="12.6640625" style="1559"/>
    <col min="3" max="4" width="12.6640625" style="1559" customWidth="1"/>
    <col min="5" max="9" width="12.6640625" style="1559"/>
    <col min="10" max="11" width="12.6640625" style="684" customWidth="1"/>
    <col min="12" max="12" width="12.6640625" style="684"/>
    <col min="13" max="13" width="14.109375" style="684" bestFit="1" customWidth="1"/>
    <col min="14" max="26" width="12.6640625" style="684"/>
    <col min="27" max="35" width="12.6640625" style="1621"/>
    <col min="36" max="16384" width="12.6640625" style="1559"/>
  </cols>
  <sheetData>
    <row r="1" spans="1:12" ht="21.75" customHeight="1" thickBot="1">
      <c r="A1" s="1519" t="s">
        <v>1262</v>
      </c>
      <c r="B1" s="646"/>
      <c r="C1" s="1618">
        <v>102</v>
      </c>
      <c r="D1" s="646"/>
      <c r="E1" s="646"/>
      <c r="F1" s="1619" t="s">
        <v>1263</v>
      </c>
      <c r="G1" s="1451" t="s">
        <v>3436</v>
      </c>
      <c r="H1" s="1619" t="str">
        <f>IF(G1="现房","——","估价对象范围")</f>
        <v>——</v>
      </c>
      <c r="I1" s="1620"/>
    </row>
    <row r="2" spans="1:12" ht="21.75" customHeight="1" thickBot="1">
      <c r="A2" s="3304" t="str">
        <f>项目基本情况!S2</f>
        <v>北京市石景山区古城西路68号院3号楼1至2层102、105房地产</v>
      </c>
      <c r="B2" s="3305"/>
      <c r="C2" s="3305"/>
      <c r="D2" s="3305"/>
      <c r="E2" s="3305"/>
      <c r="F2" s="3305"/>
      <c r="G2" s="3305"/>
      <c r="H2" s="3305"/>
      <c r="I2" s="3306"/>
    </row>
    <row r="3" spans="1:12" ht="13.2">
      <c r="A3" s="3308" t="s">
        <v>1264</v>
      </c>
      <c r="B3" s="3309"/>
      <c r="C3" s="3309"/>
      <c r="D3" s="3309"/>
      <c r="E3" s="3309"/>
      <c r="F3" s="3309"/>
      <c r="G3" s="3309"/>
      <c r="H3" s="3309"/>
      <c r="I3" s="3309"/>
    </row>
    <row r="4" spans="1:12" ht="14.4">
      <c r="A4" s="1622" t="s">
        <v>1265</v>
      </c>
      <c r="B4" s="1623" t="s">
        <v>1266</v>
      </c>
      <c r="C4" s="1624" t="s">
        <v>3570</v>
      </c>
      <c r="D4" s="1624" t="s">
        <v>3444</v>
      </c>
      <c r="E4" s="3310" t="s">
        <v>1267</v>
      </c>
      <c r="F4" s="3311"/>
      <c r="G4" s="3311"/>
      <c r="H4" s="3311"/>
      <c r="I4" s="3312"/>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84" t="s">
        <v>1268</v>
      </c>
      <c r="B5" s="3271">
        <v>25</v>
      </c>
      <c r="C5" s="3287"/>
      <c r="D5" s="3307"/>
      <c r="E5" s="123" t="s">
        <v>1269</v>
      </c>
      <c r="F5" s="1625"/>
      <c r="G5" s="1625"/>
      <c r="H5" s="1625"/>
      <c r="I5" s="1279"/>
    </row>
    <row r="6" spans="1:12" ht="13.2">
      <c r="A6" s="3284"/>
      <c r="B6" s="3271"/>
      <c r="C6" s="3288"/>
      <c r="D6" s="3307"/>
      <c r="E6" s="123" t="s">
        <v>1270</v>
      </c>
      <c r="F6" s="1625"/>
      <c r="G6" s="1625"/>
      <c r="H6" s="1625"/>
      <c r="I6" s="1279"/>
    </row>
    <row r="7" spans="1:12" ht="13.2">
      <c r="A7" s="3284"/>
      <c r="B7" s="3271"/>
      <c r="C7" s="3289"/>
      <c r="D7" s="3307"/>
      <c r="E7" s="123" t="s">
        <v>1271</v>
      </c>
      <c r="F7" s="1625"/>
      <c r="G7" s="1625"/>
      <c r="H7" s="1625"/>
      <c r="I7" s="1279"/>
    </row>
    <row r="8" spans="1:12" ht="13.2">
      <c r="A8" s="3284" t="s">
        <v>1272</v>
      </c>
      <c r="B8" s="3271">
        <v>15</v>
      </c>
      <c r="C8" s="3287"/>
      <c r="D8" s="3307"/>
      <c r="E8" s="123" t="s">
        <v>1273</v>
      </c>
      <c r="F8" s="1625"/>
      <c r="G8" s="1625"/>
      <c r="H8" s="1625"/>
      <c r="I8" s="1279"/>
    </row>
    <row r="9" spans="1:12" ht="13.2">
      <c r="A9" s="3284"/>
      <c r="B9" s="3271"/>
      <c r="C9" s="3289"/>
      <c r="D9" s="3307"/>
      <c r="E9" s="123" t="s">
        <v>1274</v>
      </c>
      <c r="F9" s="1625"/>
      <c r="G9" s="1625"/>
      <c r="H9" s="1625"/>
      <c r="I9" s="1279"/>
    </row>
    <row r="10" spans="1:12" ht="13.2">
      <c r="A10" s="3284" t="s">
        <v>1275</v>
      </c>
      <c r="B10" s="3271">
        <v>15</v>
      </c>
      <c r="C10" s="3287"/>
      <c r="D10" s="3307"/>
      <c r="E10" s="123" t="s">
        <v>1276</v>
      </c>
      <c r="F10" s="1625"/>
      <c r="G10" s="1625"/>
      <c r="H10" s="1625"/>
      <c r="I10" s="1279"/>
    </row>
    <row r="11" spans="1:12" ht="13.2">
      <c r="A11" s="3284"/>
      <c r="B11" s="3271"/>
      <c r="C11" s="3289"/>
      <c r="D11" s="3307"/>
      <c r="E11" s="123" t="s">
        <v>1277</v>
      </c>
      <c r="F11" s="1625"/>
      <c r="G11" s="1625"/>
      <c r="H11" s="1625"/>
      <c r="I11" s="1279"/>
    </row>
    <row r="12" spans="1:12" ht="13.2">
      <c r="A12" s="3284" t="s">
        <v>1278</v>
      </c>
      <c r="B12" s="3271">
        <v>15</v>
      </c>
      <c r="C12" s="3287"/>
      <c r="D12" s="3307"/>
      <c r="E12" s="123" t="s">
        <v>1279</v>
      </c>
      <c r="F12" s="1625"/>
      <c r="G12" s="1625"/>
      <c r="H12" s="1625"/>
      <c r="I12" s="1279"/>
    </row>
    <row r="13" spans="1:12" ht="13.2">
      <c r="A13" s="3284"/>
      <c r="B13" s="3271"/>
      <c r="C13" s="3289"/>
      <c r="D13" s="3307"/>
      <c r="E13" s="123" t="s">
        <v>1280</v>
      </c>
      <c r="F13" s="1625"/>
      <c r="G13" s="1625"/>
      <c r="H13" s="1625"/>
      <c r="I13" s="1279"/>
    </row>
    <row r="14" spans="1:12" ht="13.2">
      <c r="A14" s="3284" t="s">
        <v>1281</v>
      </c>
      <c r="B14" s="3271">
        <v>30</v>
      </c>
      <c r="C14" s="3287">
        <v>4</v>
      </c>
      <c r="D14" s="3307">
        <v>6</v>
      </c>
      <c r="E14" s="123" t="s">
        <v>1282</v>
      </c>
      <c r="F14" s="1625"/>
      <c r="G14" s="1625"/>
      <c r="H14" s="1625"/>
      <c r="I14" s="1279"/>
    </row>
    <row r="15" spans="1:12" ht="13.2">
      <c r="A15" s="3284"/>
      <c r="B15" s="3271"/>
      <c r="C15" s="3288"/>
      <c r="D15" s="3307"/>
      <c r="E15" s="123" t="s">
        <v>1283</v>
      </c>
      <c r="F15" s="1625"/>
      <c r="G15" s="1625"/>
      <c r="H15" s="1625"/>
      <c r="I15" s="1279"/>
    </row>
    <row r="16" spans="1:12" ht="13.2">
      <c r="A16" s="3284"/>
      <c r="B16" s="3271"/>
      <c r="C16" s="3289"/>
      <c r="D16" s="3307"/>
      <c r="E16" s="123" t="s">
        <v>1284</v>
      </c>
      <c r="F16" s="1625"/>
      <c r="G16" s="1625"/>
      <c r="H16" s="1625"/>
      <c r="I16" s="1279"/>
    </row>
    <row r="17" spans="1:36" ht="14.4">
      <c r="A17" s="1626" t="s">
        <v>1285</v>
      </c>
      <c r="B17" s="54"/>
      <c r="C17" s="124">
        <f>SUM(C5:C16)</f>
        <v>4</v>
      </c>
      <c r="D17" s="124">
        <f>SUM(D5:D16)</f>
        <v>6</v>
      </c>
      <c r="E17" s="121"/>
      <c r="F17" s="121"/>
      <c r="G17" s="121"/>
      <c r="H17" s="121"/>
      <c r="I17" s="121"/>
      <c r="K17" s="294"/>
      <c r="L17" s="294" t="s">
        <v>1286</v>
      </c>
      <c r="M17" s="294" t="s">
        <v>1287</v>
      </c>
    </row>
    <row r="18" spans="1:36" ht="31.95" customHeight="1" thickBot="1">
      <c r="A18" s="1627" t="s">
        <v>1288</v>
      </c>
      <c r="B18" s="1540"/>
      <c r="C18" s="125">
        <f>ROUND(C17/SUM(C17:D17),2)</f>
        <v>0.4</v>
      </c>
      <c r="D18" s="125">
        <f>1-C18</f>
        <v>0.6</v>
      </c>
      <c r="E18" s="3294" t="s">
        <v>2126</v>
      </c>
      <c r="F18" s="3295"/>
      <c r="G18" s="3295"/>
      <c r="H18" s="3295"/>
      <c r="I18" s="3295"/>
      <c r="K18" s="294" t="s">
        <v>1289</v>
      </c>
      <c r="L18" s="294">
        <f>IF(C1="",'数据-汇总表'!E3,SUMIF(项目类型,C1,'数据-汇总表'!E17:E26)+SUMIF(项目类型,C1,'数据-汇总表'!I17:I26))</f>
        <v>245.74</v>
      </c>
      <c r="M18" s="294">
        <f>IF(C1="",'数据-汇总表'!E3,SUMIF(项目类型,C1,'数据-汇总表'!E17:E26))</f>
        <v>245.74</v>
      </c>
    </row>
    <row r="19" spans="1:36" ht="14.4">
      <c r="A19" s="1628" t="s">
        <v>1290</v>
      </c>
      <c r="B19" s="1629" t="s">
        <v>1291</v>
      </c>
      <c r="C19" s="126">
        <f ca="1">SUMIF(INDIRECT("'"&amp;C4&amp;"'"&amp;"!A:A"),结果表!B19,INDIRECT("'"&amp;C4&amp;"'"&amp;"!B:B"))</f>
        <v>1310.2856999999999</v>
      </c>
      <c r="D19" s="127">
        <f ca="1">SUMIF(INDIRECT("'"&amp;D4&amp;"'"&amp;"!A:A"),结果表!B19,INDIRECT("'"&amp;D4&amp;"'"&amp;"!B:B"))</f>
        <v>605.55190000000005</v>
      </c>
      <c r="E19" s="1628" t="s">
        <v>1292</v>
      </c>
      <c r="F19" s="1629" t="s">
        <v>1291</v>
      </c>
      <c r="G19" s="128">
        <f ca="1">ROUND(C19*$C$18+D19*$D$18,0)</f>
        <v>887</v>
      </c>
      <c r="H19" s="1630"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1"/>
      <c r="B20" s="43" t="s">
        <v>1295</v>
      </c>
      <c r="C20" s="129">
        <f ca="1">SUMIF(INDIRECT("'"&amp;C4&amp;"'"&amp;"!A:A"),结果表!B20,INDIRECT("'"&amp;C4&amp;"'"&amp;"!B:B"))</f>
        <v>53320</v>
      </c>
      <c r="D20" s="130">
        <f ca="1">SUMIF(INDIRECT("'"&amp;D4&amp;"'"&amp;"!A:A"),结果表!B20,INDIRECT("'"&amp;D4&amp;"'"&amp;"!B:B"))</f>
        <v>24642</v>
      </c>
      <c r="E20" s="1631"/>
      <c r="F20" s="43" t="s">
        <v>1295</v>
      </c>
      <c r="G20" s="131">
        <f ca="1">ROUND(C20*$C$18+D20*$D$18,0)</f>
        <v>36113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2" t="s">
        <v>1296</v>
      </c>
      <c r="I21" s="121"/>
    </row>
    <row r="22" spans="1:36" ht="15" thickBot="1">
      <c r="A22" s="1562" t="s">
        <v>1298</v>
      </c>
      <c r="B22" s="1633"/>
      <c r="C22" s="1634"/>
      <c r="D22" s="680">
        <f ca="1">IF(C19&lt;D19,D19/C19-1,C19/D19-1)</f>
        <v>1.1637876125894406</v>
      </c>
      <c r="E22" s="121"/>
      <c r="F22" s="121"/>
      <c r="G22" s="121"/>
      <c r="H22" s="121"/>
      <c r="I22" s="121"/>
    </row>
    <row r="23" spans="1:36" ht="13.8" thickBot="1">
      <c r="A23" s="646"/>
      <c r="B23" s="646"/>
      <c r="C23" s="646"/>
      <c r="D23" s="646"/>
      <c r="E23" s="121"/>
      <c r="F23" s="121"/>
      <c r="G23" s="121"/>
      <c r="H23" s="121"/>
      <c r="I23" s="121"/>
    </row>
    <row r="24" spans="1:36" ht="14.4">
      <c r="A24" s="3278" t="s">
        <v>1299</v>
      </c>
      <c r="B24" s="1629" t="s">
        <v>1291</v>
      </c>
      <c r="C24" s="128">
        <f>IF(B30=0,0,D30)</f>
        <v>0</v>
      </c>
      <c r="D24" s="1635"/>
      <c r="E24" s="121"/>
      <c r="F24" s="121"/>
      <c r="G24" s="121"/>
      <c r="H24" s="121"/>
      <c r="I24" s="121"/>
    </row>
    <row r="25" spans="1:36" ht="14.4">
      <c r="A25" s="3279"/>
      <c r="B25" s="43" t="s">
        <v>1295</v>
      </c>
      <c r="C25" s="133">
        <f>IF(B30=0,0,C30)</f>
        <v>0</v>
      </c>
      <c r="D25" s="1636"/>
      <c r="E25" s="121"/>
      <c r="F25" s="121"/>
      <c r="G25" s="121"/>
      <c r="H25" s="121"/>
      <c r="I25" s="121"/>
    </row>
    <row r="26" spans="1:36" ht="13.5" customHeight="1">
      <c r="A26" s="1637" t="s">
        <v>1300</v>
      </c>
      <c r="B26" s="134" t="s">
        <v>1301</v>
      </c>
      <c r="C26" s="134" t="s">
        <v>1302</v>
      </c>
      <c r="D26" s="135" t="s">
        <v>1303</v>
      </c>
      <c r="E26" s="121"/>
      <c r="F26" s="121"/>
      <c r="G26" s="121"/>
      <c r="H26" s="121"/>
      <c r="I26" s="121"/>
    </row>
    <row r="27" spans="1:36" ht="13.8">
      <c r="A27" s="1637"/>
      <c r="B27" s="134">
        <v>0</v>
      </c>
      <c r="C27" s="134">
        <v>0</v>
      </c>
      <c r="D27" s="135">
        <f>ROUND(C27*B27/10000,0)</f>
        <v>0</v>
      </c>
      <c r="E27" s="121"/>
      <c r="F27" s="121"/>
      <c r="G27" s="121"/>
      <c r="H27" s="121"/>
      <c r="I27" s="121"/>
    </row>
    <row r="28" spans="1:36" ht="13.8">
      <c r="A28" s="1637"/>
      <c r="B28" s="134"/>
      <c r="C28" s="134"/>
      <c r="D28" s="135"/>
      <c r="E28" s="121"/>
      <c r="F28" s="121"/>
      <c r="G28" s="121"/>
      <c r="H28" s="121"/>
      <c r="I28" s="121"/>
    </row>
    <row r="29" spans="1:36" ht="13.8">
      <c r="A29" s="1637"/>
      <c r="B29" s="134"/>
      <c r="C29" s="134"/>
      <c r="D29" s="135"/>
      <c r="E29" s="121"/>
      <c r="F29" s="121"/>
      <c r="G29" s="121"/>
      <c r="H29" s="121"/>
      <c r="I29" s="121"/>
    </row>
    <row r="30" spans="1:36" ht="15" thickBot="1">
      <c r="A30" s="134" t="s">
        <v>1304</v>
      </c>
      <c r="B30" s="134"/>
      <c r="C30" s="134"/>
      <c r="D30" s="134"/>
      <c r="E30" s="2124" t="s">
        <v>2127</v>
      </c>
      <c r="F30" s="121"/>
      <c r="G30" s="121"/>
      <c r="H30" s="121"/>
      <c r="I30" s="121"/>
    </row>
    <row r="31" spans="1:36" s="2130" customFormat="1" ht="26.4" customHeight="1" thickTop="1" thickBot="1">
      <c r="A31" s="2125"/>
      <c r="B31" s="2126"/>
      <c r="C31" s="2126"/>
      <c r="D31" s="2126"/>
      <c r="E31" s="2126"/>
      <c r="F31" s="2126"/>
      <c r="G31" s="2126"/>
      <c r="H31" s="2126"/>
      <c r="I31" s="2127" t="s">
        <v>2128</v>
      </c>
      <c r="J31" s="2459"/>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8" t="s">
        <v>1305</v>
      </c>
      <c r="B32" s="1533"/>
      <c r="C32" s="136">
        <f ca="1">IF(D32="总价",G19-C24,G20-C25)</f>
        <v>36113</v>
      </c>
      <c r="D32" s="1639" t="s">
        <v>3579</v>
      </c>
      <c r="E32" s="121"/>
      <c r="F32" s="121"/>
      <c r="G32" s="121"/>
      <c r="H32" s="121"/>
      <c r="I32" s="121"/>
    </row>
    <row r="33" spans="1:15" ht="14.4">
      <c r="A33" s="740" t="s">
        <v>1306</v>
      </c>
      <c r="B33" s="123"/>
      <c r="C33" s="1640" t="s">
        <v>3580</v>
      </c>
      <c r="D33" s="1641"/>
      <c r="E33" s="1642" t="s">
        <v>1307</v>
      </c>
      <c r="F33" s="1643" t="str">
        <f>IF(D32="楼面单价","取值（单价）","取值（总价）")</f>
        <v>取值（单价）</v>
      </c>
      <c r="G33" s="121"/>
      <c r="H33" s="121"/>
      <c r="I33" s="121"/>
    </row>
    <row r="34" spans="1:15" ht="14.4">
      <c r="A34" s="1644"/>
      <c r="B34" s="1645" t="s">
        <v>1308</v>
      </c>
      <c r="C34" s="140">
        <f>IF(C33="自定义",F34,C32-C35)</f>
        <v>0</v>
      </c>
      <c r="D34" s="808">
        <f ca="1">IF(C33="自定义",ROUND(C34/C32,3),IF(C33="收益比率",SUMIF(INDIRECT("'"&amp;D33&amp;"'"&amp;"!b:b"),"土地收益比率",INDIRECT("'"&amp;D33&amp;"'"&amp;"!c:c")),SUMIF(INDIRECT("'"&amp;D33&amp;"'"&amp;"!b:b"),"土地成本比率",INDIRECT("'"&amp;D33&amp;"'"&amp;"!c:c"))))</f>
        <v>0</v>
      </c>
      <c r="E34" s="1646" t="s">
        <v>1309</v>
      </c>
      <c r="F34" s="1241"/>
      <c r="G34" s="121"/>
      <c r="H34" s="121"/>
      <c r="I34" s="121"/>
    </row>
    <row r="35" spans="1:15" ht="15" thickBot="1">
      <c r="A35" s="1647"/>
      <c r="B35" s="1648" t="s">
        <v>1310</v>
      </c>
      <c r="C35" s="1088">
        <f>IF(C33="自定义",F35,ROUND(C32*D35,0))</f>
        <v>0</v>
      </c>
      <c r="D35" s="1089">
        <f ca="1">IF(C33="自定义",ROUND(C35/C32,3),IF(C33="收益比率",SUMIF(INDIRECT("'"&amp;D33&amp;"'"&amp;"!b:b"),"建筑物收益比率",INDIRECT("'"&amp;D33&amp;"'"&amp;"!c:c")),SUMIF(INDIRECT("'"&amp;D33&amp;"'"&amp;"!b:b"),"建筑物成本比率",INDIRECT("'"&amp;D33&amp;"'"&amp;"!c:c"))))</f>
        <v>0</v>
      </c>
      <c r="E35" s="1649" t="s">
        <v>1311</v>
      </c>
      <c r="F35" s="146"/>
      <c r="G35" s="121"/>
      <c r="H35" s="121"/>
      <c r="I35" s="121"/>
    </row>
    <row r="36" spans="1:15" ht="15" thickBot="1">
      <c r="A36" s="3298" t="s">
        <v>1312</v>
      </c>
      <c r="B36" s="1650" t="s">
        <v>1313</v>
      </c>
      <c r="C36" s="137"/>
      <c r="D36" s="1651"/>
      <c r="E36" s="1565"/>
      <c r="F36" s="1652"/>
      <c r="G36" s="121"/>
      <c r="H36" s="121"/>
      <c r="I36" s="121"/>
    </row>
    <row r="37" spans="1:15" ht="15" thickBot="1">
      <c r="A37" s="3299"/>
      <c r="B37" s="1553" t="s">
        <v>1314</v>
      </c>
      <c r="C37" s="139"/>
      <c r="D37" s="1069"/>
      <c r="E37" s="1069"/>
      <c r="F37" s="1652"/>
      <c r="G37" s="121"/>
      <c r="H37" s="121"/>
      <c r="I37" s="121"/>
    </row>
    <row r="38" spans="1:15" ht="15" thickBot="1">
      <c r="A38" s="3300"/>
      <c r="B38" s="1653" t="s">
        <v>1315</v>
      </c>
      <c r="C38" s="641"/>
      <c r="D38" s="1654" t="s">
        <v>1316</v>
      </c>
      <c r="E38" s="1069"/>
      <c r="F38" s="1652"/>
      <c r="G38" s="121"/>
      <c r="H38" s="121"/>
      <c r="I38" s="121"/>
    </row>
    <row r="39" spans="1:15" ht="14.4">
      <c r="A39" s="1631" t="s">
        <v>1317</v>
      </c>
      <c r="B39" s="1655" t="s">
        <v>1318</v>
      </c>
      <c r="C39" s="1656" t="s">
        <v>1319</v>
      </c>
      <c r="D39" s="1656" t="s">
        <v>1320</v>
      </c>
      <c r="E39" s="1657" t="s">
        <v>1321</v>
      </c>
      <c r="F39" s="1652"/>
      <c r="G39" s="121"/>
      <c r="H39" s="121"/>
      <c r="I39" s="121"/>
    </row>
    <row r="40" spans="1:15" ht="13.8">
      <c r="A40" s="1658" t="s">
        <v>1322</v>
      </c>
      <c r="B40" s="141"/>
      <c r="C40" s="142"/>
      <c r="D40" s="142"/>
      <c r="E40" s="143"/>
      <c r="F40" s="1652"/>
      <c r="G40" s="121"/>
      <c r="H40" s="121"/>
      <c r="I40" s="121"/>
    </row>
    <row r="41" spans="1:15" ht="13.8">
      <c r="A41" s="1658" t="s">
        <v>1323</v>
      </c>
      <c r="B41" s="141"/>
      <c r="C41" s="142"/>
      <c r="D41" s="142"/>
      <c r="E41" s="143"/>
      <c r="F41" s="1652"/>
      <c r="G41" s="121"/>
      <c r="H41" s="121"/>
      <c r="I41" s="121"/>
    </row>
    <row r="42" spans="1:15" ht="14.4" thickBot="1">
      <c r="A42" s="1659"/>
      <c r="B42" s="144"/>
      <c r="C42" s="145"/>
      <c r="D42" s="145"/>
      <c r="E42" s="146"/>
      <c r="F42" s="1652"/>
      <c r="G42" s="121"/>
      <c r="H42" s="121"/>
      <c r="I42" s="121"/>
    </row>
    <row r="43" spans="1:15" ht="13.2">
      <c r="A43" s="1465"/>
      <c r="B43" s="1465"/>
      <c r="C43" s="1465"/>
      <c r="D43" s="1465"/>
      <c r="E43" s="1465"/>
      <c r="F43" s="1660"/>
      <c r="G43" s="1660"/>
      <c r="H43" s="1660"/>
      <c r="I43" s="1661"/>
    </row>
    <row r="44" spans="1:15" ht="17.399999999999999">
      <c r="A44" s="1462" t="s">
        <v>1324</v>
      </c>
      <c r="B44" s="1662"/>
      <c r="C44" s="1662"/>
      <c r="D44" s="1663"/>
      <c r="E44" s="1663"/>
      <c r="F44" s="1664"/>
      <c r="G44" s="1664"/>
      <c r="H44" s="1664"/>
      <c r="I44" s="1664"/>
      <c r="J44" s="1665" t="s">
        <v>1325</v>
      </c>
      <c r="K44" s="4"/>
      <c r="L44" s="4"/>
      <c r="M44" s="4"/>
      <c r="N44" s="4"/>
      <c r="O44" s="4"/>
    </row>
    <row r="45" spans="1:15" ht="14.25" customHeight="1" thickBot="1">
      <c r="A45" s="3275" t="s">
        <v>1326</v>
      </c>
      <c r="B45" s="3276"/>
      <c r="C45" s="3277"/>
      <c r="D45" s="147">
        <f ca="1">ROUND(H101*F45,0)</f>
        <v>887</v>
      </c>
      <c r="E45" s="148" t="s">
        <v>1327</v>
      </c>
      <c r="F45" s="149">
        <v>1</v>
      </c>
      <c r="G45" s="150" t="s">
        <v>1328</v>
      </c>
      <c r="H45" s="121"/>
      <c r="I45" s="121"/>
      <c r="J45" s="3353" t="s">
        <v>1329</v>
      </c>
      <c r="K45" s="3353"/>
      <c r="L45" s="3353"/>
      <c r="M45" s="3353"/>
      <c r="N45" s="3353"/>
      <c r="O45" s="3353"/>
    </row>
    <row r="46" spans="1:15" ht="14.25" customHeight="1">
      <c r="A46" s="3272" t="s">
        <v>1330</v>
      </c>
      <c r="B46" s="3273"/>
      <c r="C46" s="3273"/>
      <c r="D46" s="3273"/>
      <c r="E46" s="3273"/>
      <c r="F46" s="3273"/>
      <c r="G46" s="3274"/>
      <c r="H46" s="1666"/>
      <c r="I46" s="151"/>
      <c r="J46" s="2306">
        <v>1</v>
      </c>
      <c r="K46" s="3334" t="s">
        <v>1331</v>
      </c>
      <c r="L46" s="3334"/>
      <c r="M46" s="3354"/>
      <c r="N46" s="3354"/>
      <c r="O46" s="3354"/>
    </row>
    <row r="47" spans="1:15" ht="12" customHeight="1">
      <c r="A47" s="152" t="s">
        <v>1332</v>
      </c>
      <c r="B47" s="153"/>
      <c r="C47" s="154"/>
      <c r="D47" s="1022" t="s">
        <v>1333</v>
      </c>
      <c r="E47" s="294" t="s">
        <v>1334</v>
      </c>
      <c r="F47" s="155" t="s">
        <v>1335</v>
      </c>
      <c r="G47" s="2329" t="s">
        <v>1336</v>
      </c>
      <c r="H47" s="2330"/>
      <c r="I47" s="151"/>
      <c r="J47" s="2306">
        <v>2</v>
      </c>
      <c r="K47" s="3334" t="s">
        <v>1337</v>
      </c>
      <c r="L47" s="3334"/>
      <c r="M47" s="3355">
        <f>'数据-取费表'!B2</f>
        <v>45793</v>
      </c>
      <c r="N47" s="3355"/>
      <c r="O47" s="3355"/>
    </row>
    <row r="48" spans="1:15" ht="26.4">
      <c r="A48" s="3303" t="s">
        <v>1338</v>
      </c>
      <c r="B48" s="3286"/>
      <c r="C48" s="3286"/>
      <c r="D48" s="12" t="b">
        <f>IF(H48="情况1",0,IF(H48="情况2",D52,IF(H48="情况3",D53,IF(H48="情况4",D54))))</f>
        <v>0</v>
      </c>
      <c r="E48" s="1254" t="str">
        <f>IF(H48="情况4","(销售额-原购置价)×税（费）率","销售额×税（费）率")</f>
        <v>销售额×税（费）率</v>
      </c>
      <c r="F48" s="2331">
        <f>IF(H48="情况1","免征",'数据-取费表'!B41)</f>
        <v>5.6000000000000001E-2</v>
      </c>
      <c r="G48" s="2332" t="s">
        <v>1339</v>
      </c>
      <c r="H48" s="2333"/>
      <c r="I48" s="1666"/>
      <c r="J48" s="2306">
        <v>3</v>
      </c>
      <c r="K48" s="3334" t="s">
        <v>1340</v>
      </c>
      <c r="L48" s="3334"/>
      <c r="M48" s="3356">
        <f ca="1">H101</f>
        <v>887</v>
      </c>
      <c r="N48" s="3356"/>
      <c r="O48" s="3356"/>
    </row>
    <row r="49" spans="1:35" ht="25.5" customHeight="1">
      <c r="A49" s="2149" t="s">
        <v>1341</v>
      </c>
      <c r="B49" s="3270" t="s">
        <v>1342</v>
      </c>
      <c r="C49" s="3270"/>
      <c r="D49" s="1476">
        <v>0</v>
      </c>
      <c r="E49" s="316" t="s">
        <v>1343</v>
      </c>
      <c r="F49" s="2229" t="s">
        <v>28</v>
      </c>
      <c r="G49" s="3340"/>
      <c r="H49" s="2131" t="s">
        <v>2129</v>
      </c>
      <c r="I49" s="2132"/>
      <c r="J49" s="2306">
        <v>4</v>
      </c>
      <c r="K49" s="3334" t="str">
        <f>IF(项目基本情况!E8="房地产抵押价值","房地产抵押价值","抵押担保权已注销时的房地产抵押价值")</f>
        <v>房地产抵押价值</v>
      </c>
      <c r="L49" s="3334"/>
      <c r="M49" s="3356">
        <f ca="1">IF(项目基本情况!E8="房地产抵押价值",H107,H109)</f>
        <v>887</v>
      </c>
      <c r="N49" s="3356"/>
      <c r="O49" s="3356"/>
    </row>
    <row r="50" spans="1:35" ht="25.5" customHeight="1">
      <c r="A50" s="2334"/>
      <c r="B50" s="3270" t="s">
        <v>1344</v>
      </c>
      <c r="C50" s="3270"/>
      <c r="D50" s="2186"/>
      <c r="E50" s="323"/>
      <c r="F50" s="2229"/>
      <c r="G50" s="3341"/>
      <c r="H50" s="2133" t="s">
        <v>2130</v>
      </c>
      <c r="I50" s="2132"/>
      <c r="J50" s="3353" t="s">
        <v>1345</v>
      </c>
      <c r="K50" s="3353"/>
      <c r="L50" s="3353"/>
      <c r="M50" s="3353"/>
      <c r="N50" s="3353"/>
      <c r="O50" s="3353"/>
    </row>
    <row r="51" spans="1:35" ht="20.399999999999999" customHeight="1">
      <c r="A51" s="2335"/>
      <c r="B51" s="3270" t="s">
        <v>1346</v>
      </c>
      <c r="C51" s="3270"/>
      <c r="D51" s="1022"/>
      <c r="E51" s="319"/>
      <c r="F51" s="2229"/>
      <c r="G51" s="3342"/>
      <c r="H51" s="2133" t="s">
        <v>2131</v>
      </c>
      <c r="I51" s="2132"/>
      <c r="J51" s="2307" t="s">
        <v>1347</v>
      </c>
      <c r="K51" s="3334" t="s">
        <v>1348</v>
      </c>
      <c r="L51" s="3334"/>
      <c r="M51" s="2307" t="s">
        <v>1349</v>
      </c>
      <c r="N51" s="2307" t="s">
        <v>1350</v>
      </c>
      <c r="O51" s="2307" t="s">
        <v>1351</v>
      </c>
    </row>
    <row r="52" spans="1:35" ht="24" customHeight="1">
      <c r="A52" s="2150" t="s">
        <v>1352</v>
      </c>
      <c r="B52" s="3270" t="s">
        <v>1353</v>
      </c>
      <c r="C52" s="3270"/>
      <c r="D52" s="1022">
        <f ca="1">ROUND(D45*'数据-取费表'!B41/(1+'数据-取费表'!C42),0)</f>
        <v>47</v>
      </c>
      <c r="E52" s="1254" t="s">
        <v>1354</v>
      </c>
      <c r="F52" s="2336">
        <f>'数据-取费表'!B41</f>
        <v>5.6000000000000001E-2</v>
      </c>
      <c r="G52" s="2337"/>
      <c r="H52" s="2327"/>
      <c r="I52" s="1667"/>
      <c r="J52" s="2306">
        <v>1</v>
      </c>
      <c r="K52" s="3335" t="s">
        <v>1355</v>
      </c>
      <c r="L52" s="3335"/>
      <c r="M52" s="2308" t="b">
        <f>D48</f>
        <v>0</v>
      </c>
      <c r="N52" s="2306" t="str">
        <f>E48</f>
        <v>销售额×税（费）率</v>
      </c>
      <c r="O52" s="2309">
        <f>F48</f>
        <v>5.6000000000000001E-2</v>
      </c>
    </row>
    <row r="53" spans="1:35" ht="12" customHeight="1">
      <c r="A53" s="2150" t="s">
        <v>1356</v>
      </c>
      <c r="B53" s="3296" t="s">
        <v>2286</v>
      </c>
      <c r="C53" s="3297"/>
      <c r="D53" s="1022">
        <f ca="1">ROUND(D45*'数据-取费表'!B41/(1+'数据-取费表'!C42),0)</f>
        <v>47</v>
      </c>
      <c r="E53" s="1254" t="s">
        <v>1354</v>
      </c>
      <c r="F53" s="2336">
        <f>'数据-取费表'!B41</f>
        <v>5.6000000000000001E-2</v>
      </c>
      <c r="G53" s="2337"/>
      <c r="H53" s="2327"/>
      <c r="I53" s="1667"/>
      <c r="J53" s="2306">
        <v>2</v>
      </c>
      <c r="K53" s="3335" t="s">
        <v>1357</v>
      </c>
      <c r="L53" s="3335"/>
      <c r="M53" s="2308">
        <f t="shared" ref="M53:O54" ca="1" si="0">D55</f>
        <v>0</v>
      </c>
      <c r="N53" s="2306" t="str">
        <f t="shared" si="0"/>
        <v>销售额×税（费）率</v>
      </c>
      <c r="O53" s="2309" t="str">
        <f t="shared" si="0"/>
        <v>免征</v>
      </c>
    </row>
    <row r="54" spans="1:35" ht="12" customHeight="1">
      <c r="A54" s="2150" t="s">
        <v>1358</v>
      </c>
      <c r="B54" s="3296" t="s">
        <v>2287</v>
      </c>
      <c r="C54" s="3297"/>
      <c r="D54" s="1022">
        <f ca="1">C68</f>
        <v>47</v>
      </c>
      <c r="E54" s="319" t="s">
        <v>1359</v>
      </c>
      <c r="F54" s="2336">
        <f>'数据-取费表'!B41</f>
        <v>5.6000000000000001E-2</v>
      </c>
      <c r="G54" s="2337"/>
      <c r="H54" s="2338"/>
      <c r="I54" s="1667"/>
      <c r="J54" s="2306">
        <v>3</v>
      </c>
      <c r="K54" s="3335" t="s">
        <v>1360</v>
      </c>
      <c r="L54" s="3335"/>
      <c r="M54" s="2308">
        <f t="shared" ca="1" si="0"/>
        <v>502</v>
      </c>
      <c r="N54" s="2306" t="str">
        <f t="shared" si="0"/>
        <v>增值额×税（费）率</v>
      </c>
      <c r="O54" s="2310" t="str">
        <f t="shared" si="0"/>
        <v>免征</v>
      </c>
    </row>
    <row r="55" spans="1:35" ht="24" customHeight="1">
      <c r="A55" s="3285" t="s">
        <v>1361</v>
      </c>
      <c r="B55" s="3286"/>
      <c r="C55" s="3286"/>
      <c r="D55" s="12">
        <f ca="1">IF(H55="个人住宅",0,ROUND(D45*I55,0))</f>
        <v>0</v>
      </c>
      <c r="E55" s="1254" t="s">
        <v>1362</v>
      </c>
      <c r="F55" s="2336" t="str">
        <f>IF(H55="正常",I55,"免征")</f>
        <v>免征</v>
      </c>
      <c r="G55" s="2337"/>
      <c r="H55" s="2333"/>
      <c r="I55" s="157">
        <f>'数据-取费表'!B49</f>
        <v>5.0000000000000001E-4</v>
      </c>
      <c r="J55" s="2306">
        <f>IF(H59="非个人房产","",4)</f>
        <v>4</v>
      </c>
      <c r="K55" s="3335" t="str">
        <f>IF(H59="非个人房产","——","个人所得税")</f>
        <v>个人所得税</v>
      </c>
      <c r="L55" s="3335"/>
      <c r="M55" s="2311">
        <f ca="1">D59</f>
        <v>8</v>
      </c>
      <c r="N55" s="1881" t="str">
        <f>E59</f>
        <v>差额计税</v>
      </c>
      <c r="O55" s="2312">
        <f>F59</f>
        <v>0.01</v>
      </c>
    </row>
    <row r="56" spans="1:35" ht="25.2">
      <c r="A56" s="3285" t="s">
        <v>1363</v>
      </c>
      <c r="B56" s="3286"/>
      <c r="C56" s="3286"/>
      <c r="D56" s="12">
        <f ca="1">IF(H56="个人住宅",D57,D58)</f>
        <v>502</v>
      </c>
      <c r="E56" s="1254" t="s">
        <v>1364</v>
      </c>
      <c r="F56" s="2336" t="str">
        <f>IF(H56="正常",F58,"免征")</f>
        <v>免征</v>
      </c>
      <c r="G56" s="2339" t="s">
        <v>1365</v>
      </c>
      <c r="H56" s="2340"/>
      <c r="I56" s="1668"/>
      <c r="J56" s="2306" t="str">
        <f>IF(项目基本情况!K6="上海银行",IF(J55="",4,J55+1),"")</f>
        <v/>
      </c>
      <c r="K56" s="3358" t="str">
        <f>IF(项目基本情况!K6="上海银行","其他处置费用","")</f>
        <v/>
      </c>
      <c r="L56" s="3359"/>
      <c r="M56" s="2308" t="str">
        <f>IF(项目基本情况!K6="上海银行",M69,"")</f>
        <v/>
      </c>
      <c r="N56" s="3358" t="str">
        <f>IF(项目基本情况!K6="上海银行","包含处置中涉及的律师、诉讼、拍卖、评估等费用","")</f>
        <v/>
      </c>
      <c r="O56" s="3361"/>
    </row>
    <row r="57" spans="1:35" ht="13.2">
      <c r="A57" s="2150" t="s">
        <v>1341</v>
      </c>
      <c r="B57" s="3296" t="s">
        <v>1366</v>
      </c>
      <c r="C57" s="3297"/>
      <c r="D57" s="1476">
        <v>0</v>
      </c>
      <c r="E57" s="316" t="s">
        <v>1343</v>
      </c>
      <c r="F57" s="294"/>
      <c r="G57" s="2337"/>
      <c r="H57" s="2341"/>
      <c r="I57" s="1668"/>
      <c r="J57" s="3335">
        <f>IF(AND(J55="",J56=""),4,IF(项目基本情况!K6="上海银行",结果表!J56+1,结果表!J55+1))</f>
        <v>5</v>
      </c>
      <c r="K57" s="3335" t="s">
        <v>1367</v>
      </c>
      <c r="L57" s="2313" t="s">
        <v>1368</v>
      </c>
      <c r="M57" s="2314"/>
      <c r="N57" s="2315">
        <f ca="1">SUMIF(M52:M56,"&lt;9e307")</f>
        <v>510</v>
      </c>
      <c r="O57" s="2316"/>
      <c r="P57" s="2460">
        <f ca="1">N57/M49</f>
        <v>0.5749718151071026</v>
      </c>
    </row>
    <row r="58" spans="1:35" ht="25.2">
      <c r="A58" s="2150" t="s">
        <v>1352</v>
      </c>
      <c r="B58" s="3296" t="s">
        <v>1369</v>
      </c>
      <c r="C58" s="3270"/>
      <c r="D58" s="12">
        <f ca="1">IF(H58="转让取得",C81,C97)</f>
        <v>502</v>
      </c>
      <c r="E58" s="1254" t="s">
        <v>1364</v>
      </c>
      <c r="F58" s="294" t="s">
        <v>28</v>
      </c>
      <c r="G58" s="2337"/>
      <c r="H58" s="2340"/>
      <c r="I58" s="1668"/>
      <c r="J58" s="3335"/>
      <c r="K58" s="3335"/>
      <c r="L58" s="2313" t="s">
        <v>1370</v>
      </c>
      <c r="M58" s="2317"/>
      <c r="N58" s="2318" t="str">
        <f ca="1">NUMBERSTRING(INT(N57*10000),2)&amp;"元整"</f>
        <v>伍佰壹拾万元整</v>
      </c>
      <c r="O58" s="2319"/>
    </row>
    <row r="59" spans="1:35" ht="24.6" thickBot="1">
      <c r="A59" s="3338" t="s">
        <v>1371</v>
      </c>
      <c r="B59" s="3339"/>
      <c r="C59" s="3339"/>
      <c r="D59" s="2342">
        <f ca="1">IF(H59="非个人房产","——",IF(H59="个人住宅（满五唯一有凭证）",0,IF(H59="个人其他（无凭证）",ROUND(D45*F59,0),ROUND(C67*F59,0))))</f>
        <v>8</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1365</v>
      </c>
      <c r="H59" s="2135"/>
      <c r="I59" s="2134" t="s">
        <v>2132</v>
      </c>
      <c r="J59" s="3336">
        <f>J57+1</f>
        <v>6</v>
      </c>
      <c r="K59" s="3335" t="s">
        <v>1372</v>
      </c>
      <c r="L59" s="2306" t="s">
        <v>1368</v>
      </c>
      <c r="M59" s="2320"/>
      <c r="N59" s="2321">
        <f ca="1">M49-N57</f>
        <v>377</v>
      </c>
      <c r="O59" s="2322"/>
    </row>
    <row r="60" spans="1:35" ht="12" customHeight="1">
      <c r="A60" s="1669"/>
      <c r="B60" s="646"/>
      <c r="C60" s="646"/>
      <c r="D60" s="646"/>
      <c r="E60" s="1464"/>
      <c r="F60" s="1668"/>
      <c r="G60" s="1668"/>
      <c r="H60" s="151"/>
      <c r="I60" s="121"/>
      <c r="J60" s="3337"/>
      <c r="K60" s="3335"/>
      <c r="L60" s="2313" t="s">
        <v>1370</v>
      </c>
      <c r="M60" s="2317"/>
      <c r="N60" s="2318" t="str">
        <f ca="1">NUMBERSTRING(INT(N59*10000),2)&amp;"元整"</f>
        <v>叁佰柒拾柒万元整</v>
      </c>
      <c r="O60" s="2319"/>
    </row>
    <row r="61" spans="1:35" ht="13.8" thickBot="1">
      <c r="A61" s="3283" t="s">
        <v>1373</v>
      </c>
      <c r="B61" s="3283"/>
      <c r="C61" s="3283"/>
      <c r="D61" s="3283"/>
      <c r="E61" s="3283"/>
      <c r="F61" s="1668"/>
      <c r="G61" s="1668"/>
      <c r="H61" s="151"/>
      <c r="I61" s="121"/>
      <c r="J61" s="2306">
        <f>J59+1</f>
        <v>7</v>
      </c>
      <c r="K61" s="3335" t="s">
        <v>1374</v>
      </c>
      <c r="L61" s="3335"/>
      <c r="M61" s="2323"/>
      <c r="N61" s="2324">
        <f ca="1">ROUND(N59*10000/'数据-汇总表'!E3,0)</f>
        <v>15341</v>
      </c>
      <c r="O61" s="2325"/>
    </row>
    <row r="62" spans="1:35" ht="13.2">
      <c r="A62" s="3301" t="s">
        <v>1375</v>
      </c>
      <c r="B62" s="3302"/>
      <c r="C62" s="1863"/>
      <c r="D62" s="1863" t="s">
        <v>1376</v>
      </c>
      <c r="E62" s="158" t="s">
        <v>1377</v>
      </c>
      <c r="F62" s="1668"/>
      <c r="G62" s="1668"/>
      <c r="H62" s="151"/>
      <c r="I62" s="121"/>
    </row>
    <row r="63" spans="1:35" ht="13.2">
      <c r="A63" s="165" t="s">
        <v>330</v>
      </c>
      <c r="B63" s="159" t="s">
        <v>1378</v>
      </c>
      <c r="C63" s="2346">
        <f ca="1">ROUND((C64+C65)/(1+'数据-取费表'!C42),0)</f>
        <v>845</v>
      </c>
      <c r="D63" s="159"/>
      <c r="E63" s="160"/>
      <c r="F63" s="1668"/>
      <c r="G63" s="1668"/>
      <c r="H63" s="151"/>
      <c r="I63" s="121"/>
      <c r="J63" s="3360" t="s">
        <v>1379</v>
      </c>
      <c r="K63" s="1243" t="s">
        <v>1380</v>
      </c>
      <c r="L63" s="1243">
        <f ca="1">IF(M49&gt;10000,M49*0.5%,IF(AND(M49&gt;1000,M49&lt;=10000),M49*1%,IF(AND(M49&gt;100,M49&lt;=1000),M49*3%,IF(AND(M49&gt;10,M49&lt;=100),M49*5%,M49*8%))))</f>
        <v>26.61</v>
      </c>
      <c r="M63" s="294">
        <f ca="1">ROUND(L63,1)</f>
        <v>26.6</v>
      </c>
      <c r="N63" s="2326"/>
      <c r="Z63" s="1621"/>
      <c r="AI63" s="1559"/>
    </row>
    <row r="64" spans="1:35" ht="14.25" customHeight="1">
      <c r="A64" s="161" t="s">
        <v>325</v>
      </c>
      <c r="B64" s="162" t="s">
        <v>1381</v>
      </c>
      <c r="C64" s="2347">
        <f ca="1">D45</f>
        <v>887</v>
      </c>
      <c r="D64" s="162" t="s">
        <v>26</v>
      </c>
      <c r="E64" s="164"/>
      <c r="F64" s="1668"/>
      <c r="G64" s="1668"/>
      <c r="H64" s="151"/>
      <c r="I64" s="121"/>
      <c r="J64" s="3360"/>
      <c r="K64" s="1243" t="s">
        <v>1382</v>
      </c>
      <c r="L64" s="1243">
        <f ca="1">IF(M49&gt;2000,M49*0.5%,IF(AND(M49&gt;1000,M49&lt;=2000),M49*0.6%,IF(AND(M49&gt;500,M49&lt;=1000),M49*0.7%,IF(AND(M49&gt;200,M49&lt;=500),M49*0.8%,IF(AND(M49&gt;100,M49&lt;=200),M49*0.9%,IF(AND(M49&gt;50,M49&lt;=100),M49*1%,IF(AND(M49&gt;20,M49&lt;=50),M49*1.5%,IF(AND(M49&gt;10,M49&lt;=20),M49*2%,IF(AND(M49&gt;1,M49&lt;=10),M49*2.5%)))))))))</f>
        <v>6.2089999999999996</v>
      </c>
      <c r="M64" s="294">
        <f t="shared" ref="M64:M65" ca="1" si="1">ROUND(L64,1)</f>
        <v>6.2</v>
      </c>
      <c r="N64" s="2327" t="s">
        <v>1383</v>
      </c>
      <c r="Z64" s="1621"/>
      <c r="AI64" s="1559"/>
    </row>
    <row r="65" spans="1:35" ht="14.25" customHeight="1">
      <c r="A65" s="161" t="s">
        <v>326</v>
      </c>
      <c r="B65" s="162" t="s">
        <v>1384</v>
      </c>
      <c r="C65" s="2348"/>
      <c r="D65" s="162"/>
      <c r="E65" s="164"/>
      <c r="F65" s="1668"/>
      <c r="G65" s="1668"/>
      <c r="H65" s="151"/>
      <c r="I65" s="121"/>
      <c r="J65" s="3360"/>
      <c r="K65" s="1243" t="s">
        <v>1385</v>
      </c>
      <c r="L65" s="1243">
        <f ca="1">IF(M49&gt;1000,M49*0.1%,IF(AND(M49&gt;500,M49&lt;=1000),M49*0.5%,IF(AND(M49&gt;50,M49&lt;=500),M49*1%,IF(AND(M49&gt;1,M49&lt;=50),M49*1.5%))))</f>
        <v>4.4350000000000005</v>
      </c>
      <c r="M65" s="294">
        <f t="shared" ca="1" si="1"/>
        <v>4.4000000000000004</v>
      </c>
      <c r="N65" s="2327" t="s">
        <v>1383</v>
      </c>
      <c r="Z65" s="1621"/>
      <c r="AI65" s="1559"/>
    </row>
    <row r="66" spans="1:35" ht="14.25" customHeight="1">
      <c r="A66" s="165" t="s">
        <v>327</v>
      </c>
      <c r="B66" s="166" t="s">
        <v>1386</v>
      </c>
      <c r="C66" s="2349"/>
      <c r="D66" s="166" t="s">
        <v>26</v>
      </c>
      <c r="E66" s="1249" t="s">
        <v>671</v>
      </c>
      <c r="F66" s="1668"/>
      <c r="G66" s="1668"/>
      <c r="H66" s="151"/>
      <c r="I66" s="121"/>
      <c r="J66" s="3360"/>
      <c r="K66" s="1243" t="s">
        <v>1387</v>
      </c>
      <c r="L66" s="1243">
        <f ca="1">M49*0.5%</f>
        <v>4.4350000000000005</v>
      </c>
      <c r="M66" s="294">
        <f ca="1">IF(L66&gt;0.5,0.5,ROUND(L66,0))</f>
        <v>0.5</v>
      </c>
      <c r="N66" s="2327" t="s">
        <v>1388</v>
      </c>
      <c r="Z66" s="1621"/>
      <c r="AI66" s="1559"/>
    </row>
    <row r="67" spans="1:35" ht="14.25" customHeight="1">
      <c r="A67" s="165" t="s">
        <v>328</v>
      </c>
      <c r="B67" s="166" t="s">
        <v>1389</v>
      </c>
      <c r="C67" s="2350">
        <f ca="1">C63-C66</f>
        <v>845</v>
      </c>
      <c r="D67" s="162" t="s">
        <v>26</v>
      </c>
      <c r="E67" s="164"/>
      <c r="F67" s="1668"/>
      <c r="G67" s="1668"/>
      <c r="H67" s="151"/>
      <c r="I67" s="121"/>
      <c r="J67" s="3360"/>
      <c r="K67" s="1243" t="s">
        <v>1390</v>
      </c>
      <c r="L67" s="1243">
        <f ca="1">IF(M49&gt;=10000,(8.25+(M49-10000)*0.01%),IF(AND(M49&gt;=8000,M49&lt;10000),(7.85+(M49-8000)*0.02%),IF(AND(M49&gt;=5000,M49&lt;8000),(6.65+(M49-5000)*0.04%),IF(AND(M49&gt;=2000,M49&lt;5000),(4.25+(PM49-2000)*0.08%),IF(AND(M49&gt;=1000,M49&lt;2000),(2.75+(M49-1000)*0.15%),IF(AND(M49&gt;=100,M49&lt;1000),(0.5+(M49-100)*0.25%),IF(AND(M49&gt;0,M49&lt;100),M49*0.5%)))))))</f>
        <v>2.4675000000000002</v>
      </c>
      <c r="M67" s="294">
        <f ca="1">ROUND(L67*0.9,1)</f>
        <v>2.2000000000000002</v>
      </c>
      <c r="N67" s="2326"/>
      <c r="Z67" s="1621"/>
      <c r="AI67" s="1559"/>
    </row>
    <row r="68" spans="1:35" ht="14.25" customHeight="1" thickBot="1">
      <c r="A68" s="168" t="s">
        <v>329</v>
      </c>
      <c r="B68" s="169" t="s">
        <v>1391</v>
      </c>
      <c r="C68" s="2351">
        <f ca="1">IF(C67&lt;=0,0,ROUND(C67*D68,0))</f>
        <v>47</v>
      </c>
      <c r="D68" s="2352">
        <f>'数据-取费表'!B41</f>
        <v>5.6000000000000001E-2</v>
      </c>
      <c r="E68" s="170"/>
      <c r="F68" s="1668"/>
      <c r="G68" s="1668"/>
      <c r="H68" s="151"/>
      <c r="I68" s="121"/>
      <c r="J68" s="3360"/>
      <c r="K68" s="1243" t="s">
        <v>1392</v>
      </c>
      <c r="L68" s="1243">
        <f ca="1">IF(M49&gt;10000,M49*0.5%,IF(AND(M49&gt;5000,M49&lt;=10000),M49*1%,IF(AND(M49&gt;1000,M49&lt;=5000),M49*2%,IF(AND(M49&gt;200,M49&lt;=1000),M49*3%,M49*5%))))</f>
        <v>26.61</v>
      </c>
      <c r="M68" s="294">
        <f ca="1">ROUND(L68,1)</f>
        <v>26.6</v>
      </c>
      <c r="N68" s="2326"/>
      <c r="Z68" s="1621"/>
      <c r="AI68" s="1559"/>
    </row>
    <row r="69" spans="1:35" ht="16.5" customHeight="1">
      <c r="A69" s="1670"/>
      <c r="B69" s="1671"/>
      <c r="C69" s="1672"/>
      <c r="D69" s="1673"/>
      <c r="E69" s="1674"/>
      <c r="F69" s="1464"/>
      <c r="G69" s="1464"/>
      <c r="H69" s="1465"/>
      <c r="I69" s="646"/>
      <c r="J69" s="3360"/>
      <c r="K69" s="1243" t="s">
        <v>1393</v>
      </c>
      <c r="L69" s="1243"/>
      <c r="M69" s="294">
        <f ca="1">ROUND(SUM(M63:M68),0)</f>
        <v>67</v>
      </c>
      <c r="N69" s="2328">
        <f ca="1">M69/M49</f>
        <v>7.5535512965050733E-2</v>
      </c>
      <c r="Z69" s="1621"/>
      <c r="AI69" s="1559"/>
    </row>
    <row r="70" spans="1:35" s="642" customFormat="1" ht="14.4" thickBot="1">
      <c r="A70" s="3322" t="s">
        <v>1394</v>
      </c>
      <c r="B70" s="3323"/>
      <c r="C70" s="3323"/>
      <c r="D70" s="3323"/>
      <c r="E70" s="3323"/>
      <c r="F70" s="3323"/>
      <c r="G70" s="3323"/>
      <c r="H70" s="3323"/>
      <c r="I70" s="1675"/>
      <c r="J70" s="459"/>
      <c r="K70" s="459"/>
      <c r="L70" s="459"/>
      <c r="M70" s="459"/>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2" customFormat="1" ht="13.8">
      <c r="A71" s="3301" t="s">
        <v>1375</v>
      </c>
      <c r="B71" s="3302"/>
      <c r="C71" s="1863"/>
      <c r="D71" s="1863" t="s">
        <v>1376</v>
      </c>
      <c r="E71" s="171" t="s">
        <v>1377</v>
      </c>
      <c r="F71" s="172"/>
      <c r="G71" s="172"/>
      <c r="H71" s="173"/>
      <c r="I71" s="1678"/>
      <c r="J71" s="459"/>
      <c r="K71" s="459"/>
      <c r="L71" s="459"/>
      <c r="M71" s="459"/>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2" customFormat="1" ht="13.8">
      <c r="A72" s="165" t="s">
        <v>330</v>
      </c>
      <c r="B72" s="166" t="s">
        <v>1395</v>
      </c>
      <c r="C72" s="2350">
        <f ca="1">ROUND(D45/(1+'数据-取费表'!C42),0)</f>
        <v>845</v>
      </c>
      <c r="D72" s="162" t="s">
        <v>26</v>
      </c>
      <c r="E72" s="1255"/>
      <c r="F72" s="1253"/>
      <c r="G72" s="1253"/>
      <c r="H72" s="174"/>
      <c r="I72" s="1678"/>
      <c r="J72" s="459"/>
      <c r="K72" s="459"/>
      <c r="L72" s="459"/>
      <c r="M72" s="459"/>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2" customFormat="1" ht="13.8">
      <c r="A73" s="165" t="s">
        <v>327</v>
      </c>
      <c r="B73" s="155" t="s">
        <v>1396</v>
      </c>
      <c r="C73" s="2350">
        <f ca="1">C74+C78</f>
        <v>5</v>
      </c>
      <c r="D73" s="162" t="s">
        <v>26</v>
      </c>
      <c r="E73" s="1255"/>
      <c r="F73" s="1253"/>
      <c r="G73" s="1253"/>
      <c r="H73" s="174"/>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2" customFormat="1" ht="24">
      <c r="A74" s="161" t="s">
        <v>325</v>
      </c>
      <c r="B74" s="162" t="s">
        <v>1397</v>
      </c>
      <c r="C74" s="162">
        <f>ROUND(IF(G77="2016年5月1日后购买",C75/(1+'数据-取费表'!C42)+C76+C77,C75+C76+C77),0)</f>
        <v>0</v>
      </c>
      <c r="D74" s="162" t="s">
        <v>26</v>
      </c>
      <c r="E74" s="1255"/>
      <c r="F74" s="1253"/>
      <c r="G74" s="1253"/>
      <c r="H74" s="174"/>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2" customFormat="1" ht="28.8">
      <c r="A75" s="161" t="s">
        <v>331</v>
      </c>
      <c r="B75" s="162" t="s">
        <v>1398</v>
      </c>
      <c r="C75" s="2353"/>
      <c r="D75" s="162" t="s">
        <v>26</v>
      </c>
      <c r="E75" s="176" t="s">
        <v>1399</v>
      </c>
      <c r="F75" s="2354"/>
      <c r="G75" s="176" t="s">
        <v>1400</v>
      </c>
      <c r="H75" s="2355"/>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2" customFormat="1" ht="24.75" customHeight="1">
      <c r="A76" s="161" t="s">
        <v>332</v>
      </c>
      <c r="B76" s="177" t="s">
        <v>1401</v>
      </c>
      <c r="C76" s="162">
        <f>IF(F75="购房发票",ROUND(C75*H75*D76,0),0)</f>
        <v>0</v>
      </c>
      <c r="D76" s="2356">
        <v>0.05</v>
      </c>
      <c r="E76" s="3296" t="s">
        <v>1402</v>
      </c>
      <c r="F76" s="3270"/>
      <c r="G76" s="3270"/>
      <c r="H76" s="3321"/>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2" customFormat="1" ht="24.75" customHeight="1">
      <c r="A77" s="161" t="s">
        <v>333</v>
      </c>
      <c r="B77" s="162" t="s">
        <v>1403</v>
      </c>
      <c r="C77" s="162">
        <f>ROUND(IF(G77="个人住宅",0,IF(G77="2016年5月1日前购买",C75*D77,C75*D77/(1+'数据-取费表'!C42))),0)</f>
        <v>0</v>
      </c>
      <c r="D77" s="2357">
        <f>'数据-取费表'!B48+'数据-取费表'!B49</f>
        <v>3.0499999999999999E-2</v>
      </c>
      <c r="E77" s="12" t="s">
        <v>1404</v>
      </c>
      <c r="F77" s="178"/>
      <c r="G77" s="1680"/>
      <c r="H77" s="2148"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2" customFormat="1" ht="24.75" customHeight="1">
      <c r="A78" s="161" t="s">
        <v>326</v>
      </c>
      <c r="B78" s="162" t="s">
        <v>1405</v>
      </c>
      <c r="C78" s="2358">
        <f ca="1">ROUND(D45*D78/(1+'数据-取费表'!C42),0)</f>
        <v>5</v>
      </c>
      <c r="D78" s="2359">
        <f>'数据-取费表'!B43</f>
        <v>6.000000000000001E-3</v>
      </c>
      <c r="E78" s="3280" t="s">
        <v>1406</v>
      </c>
      <c r="F78" s="3281"/>
      <c r="G78" s="3281"/>
      <c r="H78" s="3290"/>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2" customFormat="1" ht="13.8">
      <c r="A79" s="165" t="s">
        <v>334</v>
      </c>
      <c r="B79" s="166" t="s">
        <v>1407</v>
      </c>
      <c r="C79" s="2350">
        <f ca="1">C72-C73</f>
        <v>840</v>
      </c>
      <c r="D79" s="162" t="s">
        <v>26</v>
      </c>
      <c r="E79" s="1255"/>
      <c r="F79" s="1253"/>
      <c r="G79" s="1253"/>
      <c r="H79" s="174"/>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2" customFormat="1" ht="24">
      <c r="A80" s="165" t="s">
        <v>335</v>
      </c>
      <c r="B80" s="166" t="s">
        <v>1408</v>
      </c>
      <c r="C80" s="2360">
        <f ca="1">IF(C79&lt;=0,0,C79/C73)</f>
        <v>168</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4"/>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2" customFormat="1" ht="24.6" thickBot="1">
      <c r="A81" s="168" t="s">
        <v>336</v>
      </c>
      <c r="B81" s="169" t="s">
        <v>1409</v>
      </c>
      <c r="C81" s="2361">
        <f ca="1">ROUND(IF(C79&lt;=0,0,IF(C80&gt;=200%,C79*60%-C73*35%,IF(C80&gt;=100%,C79*50%-C73*15%,IF(C80&gt;=50%,C79*40%-C73*5%,IF(C80&lt;50%,C79*30%,0))))),0)</f>
        <v>502</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2" customFormat="1" ht="7.5" customHeight="1">
      <c r="A82" s="4"/>
      <c r="B82" s="647"/>
      <c r="C82" s="4"/>
      <c r="D82" s="4"/>
      <c r="E82" s="647"/>
      <c r="F82" s="647"/>
      <c r="G82" s="647"/>
      <c r="H82" s="648"/>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2" customFormat="1" ht="14.4" thickBot="1">
      <c r="A83" s="3322" t="s">
        <v>1410</v>
      </c>
      <c r="B83" s="3323"/>
      <c r="C83" s="3323"/>
      <c r="D83" s="3323"/>
      <c r="E83" s="3323"/>
      <c r="F83" s="3323"/>
      <c r="G83" s="3323"/>
      <c r="H83" s="3323"/>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2" customFormat="1" ht="13.8">
      <c r="A84" s="3301" t="s">
        <v>1375</v>
      </c>
      <c r="B84" s="3302"/>
      <c r="C84" s="1863"/>
      <c r="D84" s="1863" t="s">
        <v>1376</v>
      </c>
      <c r="E84" s="171" t="s">
        <v>1377</v>
      </c>
      <c r="F84" s="172"/>
      <c r="G84" s="172"/>
      <c r="H84" s="183"/>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2" customFormat="1" ht="13.8">
      <c r="A85" s="165" t="s">
        <v>330</v>
      </c>
      <c r="B85" s="166" t="s">
        <v>1395</v>
      </c>
      <c r="C85" s="2350">
        <f ca="1">ROUND(D45/(1+'数据-取费表'!C42),0)</f>
        <v>845</v>
      </c>
      <c r="D85" s="162" t="s">
        <v>26</v>
      </c>
      <c r="E85" s="1255"/>
      <c r="F85" s="1253"/>
      <c r="G85" s="1253"/>
      <c r="H85" s="184"/>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2" customFormat="1" ht="13.8">
      <c r="A86" s="165" t="s">
        <v>327</v>
      </c>
      <c r="B86" s="155" t="s">
        <v>1396</v>
      </c>
      <c r="C86" s="2350">
        <f ca="1">IF(H88="仅含出让金",C87+C90+C91+C92+C93+C94,C87+C91+C92+C93+C94)</f>
        <v>5</v>
      </c>
      <c r="D86" s="2363"/>
      <c r="E86" s="1255"/>
      <c r="F86" s="1253"/>
      <c r="G86" s="1253"/>
      <c r="H86" s="184"/>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2" customFormat="1" ht="13.8">
      <c r="A87" s="161" t="s">
        <v>325</v>
      </c>
      <c r="B87" s="162" t="s">
        <v>1411</v>
      </c>
      <c r="C87" s="2358">
        <f>C88+C89</f>
        <v>0</v>
      </c>
      <c r="D87" s="2359"/>
      <c r="E87" s="2144"/>
      <c r="F87" s="2145"/>
      <c r="G87" s="2145"/>
      <c r="H87" s="2146"/>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2" customFormat="1" ht="14.4">
      <c r="A88" s="161" t="s">
        <v>331</v>
      </c>
      <c r="B88" s="162" t="s">
        <v>1412</v>
      </c>
      <c r="C88" s="2364"/>
      <c r="D88" s="2359"/>
      <c r="E88" s="185" t="s">
        <v>1413</v>
      </c>
      <c r="F88" s="2145"/>
      <c r="G88" s="186" t="s">
        <v>1414</v>
      </c>
      <c r="H88" s="1682"/>
      <c r="I88" s="1679"/>
      <c r="J88" s="2304" t="s">
        <v>2283</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2" customFormat="1" ht="13.8">
      <c r="A89" s="161" t="s">
        <v>332</v>
      </c>
      <c r="B89" s="162" t="s">
        <v>1403</v>
      </c>
      <c r="C89" s="2358">
        <f>ROUND(C88*D89,0)</f>
        <v>0</v>
      </c>
      <c r="D89" s="2359">
        <f>'数据-取费表'!B48+'数据-取费表'!B49</f>
        <v>3.0499999999999999E-2</v>
      </c>
      <c r="E89" s="185" t="s">
        <v>1415</v>
      </c>
      <c r="F89" s="2145"/>
      <c r="G89" s="2145"/>
      <c r="H89" s="2146"/>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2" customFormat="1" ht="14.4">
      <c r="A90" s="161" t="s">
        <v>326</v>
      </c>
      <c r="B90" s="162" t="s">
        <v>1416</v>
      </c>
      <c r="C90" s="2364"/>
      <c r="D90" s="2359"/>
      <c r="E90" s="185" t="str">
        <f>IF(H88="-","土地取得成本中已包含该笔费用"," ")</f>
        <v xml:space="preserve"> </v>
      </c>
      <c r="F90" s="2145"/>
      <c r="G90" s="3362" t="s">
        <v>2124</v>
      </c>
      <c r="H90" s="3363"/>
      <c r="I90" s="1679"/>
      <c r="J90" s="2304" t="s">
        <v>2284</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2" customFormat="1" ht="27.75" customHeight="1">
      <c r="A91" s="161" t="s">
        <v>1417</v>
      </c>
      <c r="B91" s="162" t="s">
        <v>1418</v>
      </c>
      <c r="C91" s="2358">
        <f>IF(H91="——",成本法!C33,I91)</f>
        <v>0</v>
      </c>
      <c r="D91" s="2359"/>
      <c r="E91" s="3280" t="s">
        <v>1419</v>
      </c>
      <c r="F91" s="3281"/>
      <c r="G91" s="3281"/>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2" customFormat="1" ht="25.5" customHeight="1">
      <c r="A92" s="161" t="s">
        <v>1420</v>
      </c>
      <c r="B92" s="162" t="s">
        <v>1421</v>
      </c>
      <c r="C92" s="2358">
        <f>ROUND((C87+C90+C91)*D92,0)</f>
        <v>0</v>
      </c>
      <c r="D92" s="2365"/>
      <c r="E92" s="3280" t="s">
        <v>1422</v>
      </c>
      <c r="F92" s="3281"/>
      <c r="G92" s="3281"/>
      <c r="H92" s="3290"/>
      <c r="I92" s="1679"/>
      <c r="J92" s="2305" t="s">
        <v>2285</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2" customFormat="1" ht="25.5" customHeight="1">
      <c r="A93" s="161" t="s">
        <v>1423</v>
      </c>
      <c r="B93" s="162" t="s">
        <v>1405</v>
      </c>
      <c r="C93" s="2358">
        <f ca="1">ROUND(D45*D93/(1+'数据-取费表'!C42),0)</f>
        <v>5</v>
      </c>
      <c r="D93" s="2359">
        <f>'数据-取费表'!B43</f>
        <v>6.000000000000001E-3</v>
      </c>
      <c r="E93" s="3280" t="s">
        <v>1406</v>
      </c>
      <c r="F93" s="3281"/>
      <c r="G93" s="3281"/>
      <c r="H93" s="3290"/>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2" customFormat="1" ht="36.75" customHeight="1">
      <c r="A94" s="161" t="s">
        <v>1424</v>
      </c>
      <c r="B94" s="162" t="s">
        <v>1425</v>
      </c>
      <c r="C94" s="2364">
        <f>ROUND((C87+C90+C91)*D94,0)</f>
        <v>0</v>
      </c>
      <c r="D94" s="2359">
        <v>0.2</v>
      </c>
      <c r="E94" s="3291" t="s">
        <v>1426</v>
      </c>
      <c r="F94" s="3292"/>
      <c r="G94" s="3292"/>
      <c r="H94" s="3293"/>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2" customFormat="1" ht="13.8">
      <c r="A95" s="165" t="s">
        <v>334</v>
      </c>
      <c r="B95" s="166" t="s">
        <v>1407</v>
      </c>
      <c r="C95" s="2350">
        <f ca="1">ROUND(C85-C86,0)</f>
        <v>840</v>
      </c>
      <c r="D95" s="162" t="s">
        <v>26</v>
      </c>
      <c r="E95" s="1255"/>
      <c r="F95" s="1253"/>
      <c r="G95" s="1253"/>
      <c r="H95" s="184"/>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2" customFormat="1" ht="24">
      <c r="A96" s="165" t="s">
        <v>335</v>
      </c>
      <c r="B96" s="166" t="s">
        <v>1408</v>
      </c>
      <c r="C96" s="2360">
        <f ca="1">IF(C95&lt;=0,0,C95/C86)</f>
        <v>168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3"/>
      <c r="G96" s="1253"/>
      <c r="H96" s="184"/>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2" customFormat="1" ht="24.6" thickBot="1">
      <c r="A97" s="168" t="s">
        <v>336</v>
      </c>
      <c r="B97" s="169" t="s">
        <v>1409</v>
      </c>
      <c r="C97" s="2361">
        <f ca="1">ROUND(IF(C95&lt;=0,0,IF(C96&gt;=200%,C95*60%-C86*35%,IF(C96&gt;=100%,C95*50%-C86*15%,IF(C96&gt;=50%,C95*40%-C86*5%,IF(C96&lt;50%,C95*30%,0))))),0)</f>
        <v>502</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6"/>
      <c r="C98" s="646"/>
      <c r="D98" s="646"/>
      <c r="E98" s="1464"/>
      <c r="F98" s="1464"/>
      <c r="G98" s="1464"/>
      <c r="H98" s="1465"/>
      <c r="I98" s="121"/>
    </row>
    <row r="99" spans="1:35" ht="21.75" customHeight="1" thickBot="1">
      <c r="A99" s="1462" t="s">
        <v>1427</v>
      </c>
      <c r="B99" s="646"/>
      <c r="C99" s="646"/>
      <c r="D99" s="646"/>
      <c r="E99" s="1464"/>
      <c r="F99" s="1464"/>
      <c r="G99" s="1464"/>
      <c r="H99" s="1465"/>
      <c r="I99" s="121"/>
    </row>
    <row r="100" spans="1:35" ht="18.75" customHeight="1">
      <c r="A100" s="3264" t="s">
        <v>1428</v>
      </c>
      <c r="B100" s="3265"/>
      <c r="C100" s="3265"/>
      <c r="D100" s="3282"/>
      <c r="E100" s="3265" t="s">
        <v>1429</v>
      </c>
      <c r="F100" s="3265"/>
      <c r="G100" s="3265"/>
      <c r="H100" s="3282"/>
      <c r="I100" s="121"/>
    </row>
    <row r="101" spans="1:35" ht="18.75" customHeight="1">
      <c r="A101" s="3343" t="s">
        <v>1430</v>
      </c>
      <c r="B101" s="3344"/>
      <c r="C101" s="2367" t="str">
        <f>C4</f>
        <v>比较法-商业</v>
      </c>
      <c r="D101" s="2368" t="str">
        <f>D4</f>
        <v>收益法 (元)</v>
      </c>
      <c r="E101" s="3357" t="s">
        <v>1431</v>
      </c>
      <c r="F101" s="3314"/>
      <c r="G101" s="1685" t="s">
        <v>1432</v>
      </c>
      <c r="H101" s="2377">
        <f ca="1">H118</f>
        <v>887</v>
      </c>
      <c r="I101" s="121"/>
    </row>
    <row r="102" spans="1:35" ht="18.75" customHeight="1">
      <c r="A102" s="3316" t="s">
        <v>1433</v>
      </c>
      <c r="B102" s="2366" t="s">
        <v>1432</v>
      </c>
      <c r="C102" s="2367">
        <f ca="1">IF(D32="楼面单价",ROUND(C19,0),C19)</f>
        <v>1310</v>
      </c>
      <c r="D102" s="2368">
        <f ca="1">IF(D32="楼面单价",ROUND(D19,0),D19)</f>
        <v>606</v>
      </c>
      <c r="E102" s="3357"/>
      <c r="F102" s="3314"/>
      <c r="G102" s="1685" t="s">
        <v>1434</v>
      </c>
      <c r="H102" s="2337">
        <f ca="1">I118</f>
        <v>36113</v>
      </c>
      <c r="I102" s="121"/>
    </row>
    <row r="103" spans="1:35" ht="42.75" customHeight="1">
      <c r="A103" s="3316"/>
      <c r="B103" s="2366" t="s">
        <v>1434</v>
      </c>
      <c r="C103" s="2369">
        <f ca="1">C20</f>
        <v>53320</v>
      </c>
      <c r="D103" s="2370">
        <f ca="1">D20</f>
        <v>24642</v>
      </c>
      <c r="E103" s="3351" t="s">
        <v>1435</v>
      </c>
      <c r="F103" s="3352"/>
      <c r="G103" s="1686" t="s">
        <v>1436</v>
      </c>
      <c r="H103" s="2377">
        <f>IF(D36="正常操作",H104+H105+H106,H105+H106)</f>
        <v>0</v>
      </c>
      <c r="I103" s="121"/>
    </row>
    <row r="104" spans="1:35" ht="18.75" customHeight="1">
      <c r="A104" s="3316" t="s">
        <v>1437</v>
      </c>
      <c r="B104" s="2371" t="s">
        <v>1432</v>
      </c>
      <c r="C104" s="2372">
        <f ca="1">H118</f>
        <v>887</v>
      </c>
      <c r="D104" s="2373"/>
      <c r="E104" s="1553" t="s">
        <v>1438</v>
      </c>
      <c r="F104" s="1546"/>
      <c r="G104" s="1686" t="s">
        <v>1436</v>
      </c>
      <c r="H104" s="2378">
        <f>IF(D36="同一抵押权人同一抵押物续贷",C36&amp;"（续贷，未扣减，详见特别提示）",C36)</f>
        <v>0</v>
      </c>
      <c r="I104" s="121"/>
    </row>
    <row r="105" spans="1:35" ht="18.75" customHeight="1" thickBot="1">
      <c r="A105" s="3317"/>
      <c r="B105" s="2374" t="s">
        <v>1434</v>
      </c>
      <c r="C105" s="2375">
        <f ca="1">I118</f>
        <v>36113</v>
      </c>
      <c r="D105" s="2376"/>
      <c r="E105" s="1553" t="s">
        <v>1439</v>
      </c>
      <c r="F105" s="1546"/>
      <c r="G105" s="1686" t="s">
        <v>1436</v>
      </c>
      <c r="H105" s="2379">
        <f>C37</f>
        <v>0</v>
      </c>
      <c r="I105" s="121"/>
    </row>
    <row r="106" spans="1:35" ht="18.75" customHeight="1">
      <c r="A106" s="646" t="s">
        <v>1440</v>
      </c>
      <c r="B106" s="646"/>
      <c r="C106" s="646"/>
      <c r="D106" s="646"/>
      <c r="E106" s="1687" t="s">
        <v>1441</v>
      </c>
      <c r="F106" s="1546"/>
      <c r="G106" s="1686" t="s">
        <v>1436</v>
      </c>
      <c r="H106" s="2379">
        <f>C38</f>
        <v>0</v>
      </c>
      <c r="I106" s="121"/>
    </row>
    <row r="107" spans="1:35" ht="18.75" customHeight="1">
      <c r="A107" s="121"/>
      <c r="B107" s="121"/>
      <c r="C107" s="121"/>
      <c r="D107" s="121"/>
      <c r="E107" s="3313" t="str">
        <f>IF(项目基本情况!E8="已注销","——","3.房地产抵押价值")</f>
        <v>3.房地产抵押价值</v>
      </c>
      <c r="F107" s="3314"/>
      <c r="G107" s="1685" t="s">
        <v>1432</v>
      </c>
      <c r="H107" s="2377">
        <f ca="1">IF(E107="——","——",H101-H103)</f>
        <v>887</v>
      </c>
      <c r="I107" s="121"/>
    </row>
    <row r="108" spans="1:35" ht="18.75" customHeight="1">
      <c r="A108" s="121"/>
      <c r="B108" s="121"/>
      <c r="C108" s="121"/>
      <c r="D108" s="121"/>
      <c r="E108" s="3313"/>
      <c r="F108" s="3314"/>
      <c r="G108" s="1685" t="s">
        <v>1434</v>
      </c>
      <c r="H108" s="2337">
        <f ca="1">IF(H107=H101,H102,ROUND(H107*10000/'数据-汇总表'!E3,0))</f>
        <v>36113</v>
      </c>
      <c r="I108" s="121"/>
    </row>
    <row r="109" spans="1:35" ht="18.75" customHeight="1">
      <c r="A109" s="121"/>
      <c r="B109" s="121"/>
      <c r="C109" s="121"/>
      <c r="D109" s="121"/>
      <c r="E109" s="3313" t="str">
        <f>IF(项目基本情况!E8="已注销及未注销","4.抵押担保权已注销时的房地产抵押价值",IF(项目基本情况!E8="已注销","3.抵押担保权已注销时的房地产抵押价值","——"))</f>
        <v>——</v>
      </c>
      <c r="F109" s="3314"/>
      <c r="G109" s="1685" t="s">
        <v>1432</v>
      </c>
      <c r="H109" s="2380" t="str">
        <f>IF(E109="——","——",H101-H105-H106)</f>
        <v>——</v>
      </c>
      <c r="I109" s="121"/>
    </row>
    <row r="110" spans="1:35" ht="18.75" customHeight="1">
      <c r="A110" s="121"/>
      <c r="B110" s="121"/>
      <c r="C110" s="121"/>
      <c r="D110" s="121"/>
      <c r="E110" s="3313"/>
      <c r="F110" s="3314"/>
      <c r="G110" s="1685" t="s">
        <v>1434</v>
      </c>
      <c r="H110" s="2337" t="str">
        <f>IF(H109="——","——",ROUND(H109*10000/'数据-汇总表'!E3,0))</f>
        <v>——</v>
      </c>
      <c r="I110" s="121"/>
    </row>
    <row r="111" spans="1:35" ht="18.75" customHeight="1">
      <c r="A111" s="121"/>
      <c r="B111" s="121"/>
      <c r="C111" s="121"/>
      <c r="D111" s="121"/>
      <c r="E111" s="3345" t="str">
        <f>IF(项目基本情况!E9="抵押净值",IF(OR(项目基本情况!E8="已注销",项目基本情况!E8="房地产抵押价值"),"4.抵押净值","5.抵押净值"),"——")</f>
        <v>——</v>
      </c>
      <c r="F111" s="3315"/>
      <c r="G111" s="1685" t="s">
        <v>1432</v>
      </c>
      <c r="H111" s="2377" t="str">
        <f>IF(E111="——","——",N59)</f>
        <v>——</v>
      </c>
      <c r="I111" s="121"/>
    </row>
    <row r="112" spans="1:35" ht="18.75" customHeight="1" thickBot="1">
      <c r="A112" s="121"/>
      <c r="B112" s="121"/>
      <c r="C112" s="121"/>
      <c r="D112" s="121"/>
      <c r="E112" s="3346"/>
      <c r="F112" s="3347"/>
      <c r="G112" s="1688" t="s">
        <v>1434</v>
      </c>
      <c r="H112" s="2381" t="str">
        <f>IF(E111="——","——",N61)</f>
        <v>——</v>
      </c>
      <c r="I112" s="121"/>
    </row>
    <row r="113" spans="1:27" ht="18.75" customHeight="1">
      <c r="A113" s="121"/>
      <c r="B113" s="121"/>
      <c r="C113" s="121"/>
      <c r="D113" s="121"/>
      <c r="E113" s="3318" t="s">
        <v>1440</v>
      </c>
      <c r="F113" s="3318"/>
      <c r="G113" s="3318"/>
      <c r="H113" s="3318"/>
      <c r="I113" s="121"/>
    </row>
    <row r="114" spans="1:27" ht="3.75" customHeight="1">
      <c r="A114" s="646"/>
      <c r="B114" s="646"/>
      <c r="C114" s="646"/>
      <c r="D114" s="646"/>
      <c r="E114" s="1669"/>
      <c r="F114" s="1669"/>
      <c r="G114" s="1669"/>
      <c r="H114" s="1669"/>
      <c r="I114" s="646"/>
    </row>
    <row r="115" spans="1:27" ht="18.75" customHeight="1">
      <c r="A115" s="3328" t="s">
        <v>1442</v>
      </c>
      <c r="B115" s="3329"/>
      <c r="C115" s="3329"/>
      <c r="D115" s="3329"/>
      <c r="E115" s="3329"/>
      <c r="F115" s="3329"/>
      <c r="G115" s="3329"/>
      <c r="H115" s="3329"/>
      <c r="I115" s="3330"/>
    </row>
    <row r="116" spans="1:27" ht="27" customHeight="1">
      <c r="A116" s="3284" t="s">
        <v>1443</v>
      </c>
      <c r="B116" s="3319" t="s">
        <v>1444</v>
      </c>
      <c r="C116" s="3319" t="s">
        <v>1445</v>
      </c>
      <c r="D116" s="3332" t="s">
        <v>1446</v>
      </c>
      <c r="E116" s="3333"/>
      <c r="F116" s="3327" t="s">
        <v>1447</v>
      </c>
      <c r="G116" s="3327"/>
      <c r="H116" s="3284" t="s">
        <v>1448</v>
      </c>
      <c r="I116" s="3284"/>
    </row>
    <row r="117" spans="1:27" ht="18.75" customHeight="1">
      <c r="A117" s="3284"/>
      <c r="B117" s="3320"/>
      <c r="C117" s="3320"/>
      <c r="D117" s="2147" t="s">
        <v>1449</v>
      </c>
      <c r="E117" s="2147" t="s">
        <v>1450</v>
      </c>
      <c r="F117" s="2147" t="s">
        <v>1449</v>
      </c>
      <c r="G117" s="2147" t="s">
        <v>1451</v>
      </c>
      <c r="H117" s="2147" t="s">
        <v>1449</v>
      </c>
      <c r="I117" s="2147" t="s">
        <v>1451</v>
      </c>
    </row>
    <row r="118" spans="1:27" ht="24.75" customHeight="1">
      <c r="A118" s="2382" t="str">
        <f>项目基本情况!S2</f>
        <v>北京市石景山区古城西路68号院3号楼1至2层102、105房地产</v>
      </c>
      <c r="B118" s="2147">
        <f>M18</f>
        <v>245.74</v>
      </c>
      <c r="C118" s="2147">
        <f>M19</f>
        <v>0</v>
      </c>
      <c r="D118" s="2147">
        <f>ROUND(IF(D32="总价",C34,E118*B118/10000),0)</f>
        <v>0</v>
      </c>
      <c r="E118" s="2147">
        <f>ROUND(IF(C33="自定义",IF(D32="楼面单价",C34,D118*10000/B118),I118-G118),0)</f>
        <v>0</v>
      </c>
      <c r="F118" s="2147">
        <f>ROUND(IF(D32="总价",C35,G118*B118/10000),0)</f>
        <v>0</v>
      </c>
      <c r="G118" s="2147">
        <f>ROUND(IF(D32="楼面单价",C35,F118*10000/B118),0)</f>
        <v>0</v>
      </c>
      <c r="H118" s="2147">
        <f ca="1">ROUND(IF(D32="总价",C32,I118*B118/10000),0)</f>
        <v>887</v>
      </c>
      <c r="I118" s="2147">
        <f ca="1">ROUND(IF(D32="楼面单价",C32,H118*10000/B118),0)</f>
        <v>36113</v>
      </c>
    </row>
    <row r="119" spans="1:27" ht="18.75" customHeight="1">
      <c r="A119" s="3284" t="s">
        <v>1452</v>
      </c>
      <c r="B119" s="3284"/>
      <c r="C119" s="3284"/>
      <c r="D119" s="3324" t="str">
        <f>NUMBERSTRING(INT(D118*10000),2)&amp;"元整"</f>
        <v>零元整</v>
      </c>
      <c r="E119" s="3326"/>
      <c r="F119" s="3324" t="str">
        <f>NUMBERSTRING(INT(F118*10000),2)&amp;"元整"</f>
        <v>零元整</v>
      </c>
      <c r="G119" s="3326"/>
      <c r="H119" s="3324" t="str">
        <f ca="1">NUMBERSTRING(INT(H118*10000),2)&amp;"元整"</f>
        <v>捌佰捌拾柒万元整</v>
      </c>
      <c r="I119" s="3326"/>
    </row>
    <row r="120" spans="1:27" ht="18.75" customHeight="1">
      <c r="A120" s="3348" t="str">
        <f>IF(项目基本情况!B9="房地产市场价值","",MID(E103,3,LEN(E103)-2))</f>
        <v>估价师知悉的法定优先受偿款</v>
      </c>
      <c r="B120" s="3349"/>
      <c r="C120" s="3350"/>
      <c r="D120" s="3348">
        <f>H103</f>
        <v>0</v>
      </c>
      <c r="E120" s="3349"/>
      <c r="F120" s="3349"/>
      <c r="G120" s="3349"/>
      <c r="H120" s="3349"/>
      <c r="I120" s="3350"/>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24" t="s">
        <v>1452</v>
      </c>
      <c r="B121" s="3325"/>
      <c r="C121" s="3326"/>
      <c r="D121" s="3324" t="str">
        <f>IF(D120=0,"零元整",NUMBERSTRING(INT(D120*10000),2)&amp;"元整")</f>
        <v>零元整</v>
      </c>
      <c r="E121" s="3325"/>
      <c r="F121" s="3325"/>
      <c r="G121" s="3325"/>
      <c r="H121" s="3325"/>
      <c r="I121" s="3326"/>
      <c r="AA121" s="684"/>
    </row>
    <row r="122" spans="1:27" ht="18.75" customHeight="1">
      <c r="A122" s="3315" t="str">
        <f>IF(项目基本情况!B9="房地产市场价值","",MID(E107,3,LEN(E107)-2))</f>
        <v>房地产抵押价值</v>
      </c>
      <c r="B122" s="3315"/>
      <c r="C122" s="3315"/>
      <c r="D122" s="3348">
        <f ca="1">H107</f>
        <v>887</v>
      </c>
      <c r="E122" s="3349"/>
      <c r="F122" s="3349"/>
      <c r="G122" s="3349"/>
      <c r="H122" s="3349"/>
      <c r="I122" s="3350"/>
      <c r="AA122" s="684"/>
    </row>
    <row r="123" spans="1:27" ht="18.75" customHeight="1">
      <c r="A123" s="3284" t="s">
        <v>1452</v>
      </c>
      <c r="B123" s="3284"/>
      <c r="C123" s="3284"/>
      <c r="D123" s="3324" t="str">
        <f ca="1">NUMBERSTRING(INT(D122*10000),2)&amp;"元整"</f>
        <v>捌佰捌拾柒万元整</v>
      </c>
      <c r="E123" s="3325"/>
      <c r="F123" s="3325"/>
      <c r="G123" s="3325"/>
      <c r="H123" s="3325"/>
      <c r="I123" s="3326"/>
      <c r="AA123" s="684"/>
    </row>
    <row r="124" spans="1:27" ht="18.75" customHeight="1">
      <c r="A124" s="3315" t="str">
        <f>IF(项目基本情况!B9="房地产市场价值","",MID(E109,3,LEN(E109)-2))</f>
        <v/>
      </c>
      <c r="B124" s="3315"/>
      <c r="C124" s="3315"/>
      <c r="D124" s="3348" t="str">
        <f>H109</f>
        <v>——</v>
      </c>
      <c r="E124" s="3349"/>
      <c r="F124" s="3349"/>
      <c r="G124" s="3349"/>
      <c r="H124" s="3349"/>
      <c r="I124" s="3350"/>
      <c r="AA124" s="684"/>
    </row>
    <row r="125" spans="1:27" ht="18.75" customHeight="1">
      <c r="A125" s="3284" t="s">
        <v>1452</v>
      </c>
      <c r="B125" s="3284"/>
      <c r="C125" s="3284"/>
      <c r="D125" s="3324" t="e">
        <f>NUMBERSTRING(INT(D124*10000),2)&amp;"元整"</f>
        <v>#VALUE!</v>
      </c>
      <c r="E125" s="3325"/>
      <c r="F125" s="3325"/>
      <c r="G125" s="3325"/>
      <c r="H125" s="3325"/>
      <c r="I125" s="3326"/>
      <c r="AA125" s="684"/>
    </row>
    <row r="126" spans="1:27" ht="18.75" customHeight="1">
      <c r="A126" s="3315" t="str">
        <f>IF(项目基本情况!B9="房地产市场价值","",MID(E111,3,LEN(E111)-2))</f>
        <v/>
      </c>
      <c r="B126" s="3315"/>
      <c r="C126" s="3315"/>
      <c r="D126" s="3348" t="str">
        <f>H111</f>
        <v>——</v>
      </c>
      <c r="E126" s="3349"/>
      <c r="F126" s="3349"/>
      <c r="G126" s="3349"/>
      <c r="H126" s="3349"/>
      <c r="I126" s="3350"/>
      <c r="AA126" s="684"/>
    </row>
    <row r="127" spans="1:27" ht="18.75" customHeight="1">
      <c r="A127" s="3284" t="s">
        <v>1452</v>
      </c>
      <c r="B127" s="3284"/>
      <c r="C127" s="3284"/>
      <c r="D127" s="3324" t="e">
        <f>NUMBERSTRING(INT(D126*10000),2)&amp;"元整"</f>
        <v>#VALUE!</v>
      </c>
      <c r="E127" s="3325"/>
      <c r="F127" s="3325"/>
      <c r="G127" s="3325"/>
      <c r="H127" s="3325"/>
      <c r="I127" s="3326"/>
      <c r="AA127" s="684"/>
    </row>
    <row r="128" spans="1:27" ht="21.75" customHeight="1">
      <c r="A128" s="3331" t="s">
        <v>1453</v>
      </c>
      <c r="B128" s="3331"/>
      <c r="C128" s="3331"/>
      <c r="D128" s="3331"/>
      <c r="E128" s="3331"/>
      <c r="F128" s="3331"/>
      <c r="G128" s="3331"/>
      <c r="H128" s="3331"/>
      <c r="I128" s="3331"/>
      <c r="AA128" s="684"/>
    </row>
    <row r="129" spans="1:35" ht="21.75" customHeight="1">
      <c r="A129" s="1689" t="s">
        <v>1454</v>
      </c>
      <c r="B129" s="1690"/>
      <c r="C129" s="1691" t="s">
        <v>1455</v>
      </c>
      <c r="D129" s="1692"/>
      <c r="E129" s="1692"/>
      <c r="F129" s="1692"/>
      <c r="G129" s="1692"/>
      <c r="H129" s="1693"/>
      <c r="I129" s="1694"/>
      <c r="AA129" s="684"/>
    </row>
    <row r="130" spans="1:35" ht="21.75" customHeight="1">
      <c r="A130" s="1695">
        <v>1</v>
      </c>
      <c r="B130" s="1696"/>
      <c r="C130" s="1696"/>
      <c r="D130" s="688"/>
      <c r="E130" s="688"/>
      <c r="F130" s="688"/>
      <c r="G130" s="688"/>
      <c r="H130" s="687"/>
      <c r="I130" s="1697"/>
      <c r="AA130" s="684"/>
    </row>
    <row r="131" spans="1:35" ht="21.75" customHeight="1">
      <c r="A131" s="1695">
        <v>2</v>
      </c>
      <c r="B131" s="1696"/>
      <c r="C131" s="1696"/>
      <c r="D131" s="688"/>
      <c r="E131" s="688"/>
      <c r="F131" s="688"/>
      <c r="G131" s="688"/>
      <c r="H131" s="687"/>
      <c r="I131" s="1697"/>
      <c r="AA131" s="684"/>
    </row>
    <row r="132" spans="1:35" ht="21.75" customHeight="1">
      <c r="A132" s="1695">
        <v>3</v>
      </c>
      <c r="B132" s="1696"/>
      <c r="C132" s="1696"/>
      <c r="D132" s="688"/>
      <c r="E132" s="688"/>
      <c r="F132" s="688"/>
      <c r="G132" s="688"/>
      <c r="H132" s="687"/>
      <c r="I132" s="1697"/>
      <c r="AA132" s="684"/>
    </row>
    <row r="133" spans="1:35" ht="21.75" customHeight="1">
      <c r="A133" s="1698"/>
      <c r="B133" s="1699"/>
      <c r="C133" s="1699"/>
      <c r="D133" s="1700"/>
      <c r="E133" s="1700"/>
      <c r="F133" s="1700"/>
      <c r="G133" s="1700"/>
      <c r="H133" s="1701"/>
      <c r="I133" s="1702"/>
    </row>
    <row r="134" spans="1:35" ht="21.75" customHeight="1">
      <c r="A134" s="1696"/>
      <c r="B134" s="1696"/>
      <c r="C134" s="1696"/>
      <c r="D134" s="688"/>
      <c r="E134" s="688"/>
      <c r="F134" s="688"/>
      <c r="G134" s="688"/>
      <c r="H134" s="687"/>
      <c r="I134" s="684"/>
    </row>
    <row r="135" spans="1:35" ht="21.75" customHeight="1">
      <c r="A135" s="684"/>
      <c r="B135" s="684"/>
      <c r="C135" s="684"/>
      <c r="D135" s="684"/>
      <c r="E135" s="684"/>
      <c r="F135" s="1703" t="s">
        <v>1456</v>
      </c>
      <c r="G135" s="1704"/>
      <c r="H135" s="1704"/>
      <c r="I135" s="1705" t="s">
        <v>1457</v>
      </c>
    </row>
    <row r="136" spans="1:35" ht="21.75" customHeight="1">
      <c r="A136" s="684"/>
      <c r="B136" s="1706"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4"/>
      <c r="C138" s="1704"/>
      <c r="D138" s="1704"/>
      <c r="E138" s="1704"/>
      <c r="F138" s="1704"/>
      <c r="G138" s="1704"/>
      <c r="H138" s="1704"/>
      <c r="I138" s="1705" t="s">
        <v>1459</v>
      </c>
    </row>
    <row r="139" spans="1:35" ht="21.75" customHeight="1">
      <c r="A139" s="684"/>
      <c r="B139" s="1706" t="s">
        <v>1460</v>
      </c>
      <c r="C139" s="684"/>
      <c r="D139" s="684"/>
      <c r="E139" s="684"/>
      <c r="F139" s="684"/>
      <c r="G139" s="684"/>
      <c r="H139" s="684"/>
      <c r="I139" s="684"/>
    </row>
    <row r="140" spans="1:35" ht="21.75" customHeight="1">
      <c r="A140" s="684"/>
      <c r="B140" s="1706"/>
      <c r="C140" s="684"/>
      <c r="D140" s="684"/>
      <c r="E140" s="684"/>
      <c r="F140" s="684"/>
      <c r="G140" s="684"/>
      <c r="H140" s="684"/>
      <c r="I140" s="684"/>
    </row>
    <row r="141" spans="1:35" ht="21.75" customHeight="1">
      <c r="A141" s="684"/>
      <c r="B141" s="1704"/>
      <c r="C141" s="1704"/>
      <c r="D141" s="1704"/>
      <c r="E141" s="1704"/>
      <c r="F141" s="1704"/>
      <c r="G141" s="1704"/>
      <c r="H141" s="1704"/>
      <c r="I141" s="1705" t="s">
        <v>1459</v>
      </c>
    </row>
    <row r="142" spans="1:35" ht="21.75" customHeight="1">
      <c r="A142" s="684"/>
      <c r="B142" s="1706"/>
      <c r="C142" s="1707"/>
      <c r="D142" s="1708"/>
      <c r="E142" s="1708"/>
      <c r="F142" s="1612"/>
      <c r="G142" s="684"/>
      <c r="H142" s="684"/>
      <c r="I142" s="684"/>
    </row>
    <row r="143" spans="1:35" s="122" customFormat="1" ht="21.75" customHeight="1">
      <c r="A143" s="684"/>
      <c r="B143" s="1706"/>
      <c r="C143" s="1707"/>
      <c r="D143" s="1708"/>
      <c r="E143" s="1708"/>
      <c r="F143" s="1612"/>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1"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1"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1"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1"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1"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1"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1"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1"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1"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1"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1"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1"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1"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1"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1"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1"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1"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1"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1"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1"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1"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1"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1"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1"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1"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1"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1"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1"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1"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1"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1"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1"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1"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1"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1"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1"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1"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1"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1"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1"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1"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1"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1"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1"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1"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1"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1"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1"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1"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1"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1"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1"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1"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1"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1"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1"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1"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1"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1"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1"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1"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1"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1"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1"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1"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1"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1"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1"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1"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1"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1"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1"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1"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1"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1"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1"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1"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1"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1"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1"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1"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1"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1"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1"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1"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1"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1"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1"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1"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1"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1"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1"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1"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1"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1"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1"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1"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1"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1"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1"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1"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1"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1"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1"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2"/>
      <c r="C1" s="190"/>
      <c r="D1" s="190"/>
      <c r="E1" s="190"/>
      <c r="F1" s="190"/>
      <c r="G1" s="1060">
        <f>MATCH(B1,'数据-取费表'!A6:A16,0)+5</f>
        <v>7</v>
      </c>
    </row>
    <row r="2" spans="1:9" s="192" customFormat="1" ht="18" customHeight="1">
      <c r="A2" s="193" t="s">
        <v>1462</v>
      </c>
      <c r="B2" s="194">
        <f ca="1">IF(D2="——",C52,C52-E2)</f>
        <v>122</v>
      </c>
      <c r="C2" s="191" t="s">
        <v>1463</v>
      </c>
      <c r="D2" s="1709" t="s">
        <v>43</v>
      </c>
      <c r="E2" s="1087" t="e">
        <f ca="1">SUMIF(INDIRECT("'"&amp;G2&amp;"'"&amp;"!A:A"),"承租人权益价值",INDIRECT("'"&amp;G2&amp;"'"&amp;"!c:c"))</f>
        <v>#REF!</v>
      </c>
      <c r="F2" s="1710" t="s">
        <v>1463</v>
      </c>
      <c r="G2" s="1711"/>
    </row>
    <row r="3" spans="1:9" s="192" customFormat="1" ht="18" customHeight="1" thickBot="1">
      <c r="A3" s="195" t="s">
        <v>1464</v>
      </c>
      <c r="B3" s="196">
        <f ca="1">ROUND(B2*10000/(IF(B1="",'数据-汇总表'!E3,INDIRECT("'数据-取费表'!k"&amp;$G$1))),0)</f>
        <v>4965</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2"/>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3"/>
      <c r="H9" s="1068"/>
      <c r="I9" s="1714" t="s">
        <v>1479</v>
      </c>
    </row>
    <row r="10" spans="1:9" s="206" customFormat="1" ht="13.5" customHeight="1">
      <c r="A10" s="733" t="s">
        <v>356</v>
      </c>
      <c r="B10" s="216" t="s">
        <v>1480</v>
      </c>
      <c r="C10" s="217">
        <f ca="1">ROUND(D10*E10/10000,0)</f>
        <v>5</v>
      </c>
      <c r="D10" s="795">
        <f ca="1">IF(B1="",'数据-汇总表'!E6,IF(INDIRECT("'数据-取费表'!c"&amp;$G$1)="住宅",INDIRECT("'数据-取费表'!s"&amp;$G$1),INDIRECT("'数据-取费表'!k"&amp;$G$1)+INDIRECT("'数据-取费表'!s"&amp;$G$1)))</f>
        <v>245.74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5</v>
      </c>
      <c r="D19" s="204">
        <f ca="1">D9+D10</f>
        <v>245.74</v>
      </c>
      <c r="E19" s="203">
        <f>'数据-取费表'!B31</f>
        <v>200</v>
      </c>
      <c r="F19" s="223"/>
      <c r="G19" s="1712"/>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9">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0">
        <f ca="1">ROUND(IF('数据-取费表'!B22&lt;=1,C5*F22*'数据-取费表'!B23,C5*(POWER((1+F22),'数据-取费表'!B23)-1)),0)</f>
        <v>0</v>
      </c>
      <c r="D23" s="230"/>
      <c r="E23" s="230"/>
      <c r="F23" s="231"/>
      <c r="G23" s="232" t="s">
        <v>1504</v>
      </c>
    </row>
    <row r="24" spans="1:7" s="206" customFormat="1" ht="13.5" customHeight="1">
      <c r="A24" s="734" t="s">
        <v>1505</v>
      </c>
      <c r="B24" s="207" t="s">
        <v>1506</v>
      </c>
      <c r="C24" s="1040">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0">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110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98</v>
      </c>
      <c r="D34" s="209"/>
      <c r="E34" s="212"/>
      <c r="F34" s="249">
        <f ca="1">IF('数据-取费表'!B24=0,1,IF(B1="",'数据-取费表'!N16,INDIRECT("'数据-取费表'!n"&amp;$G$1)))</f>
        <v>1</v>
      </c>
      <c r="G34" s="211" t="s">
        <v>1526</v>
      </c>
    </row>
    <row r="35" spans="1:7" ht="13.5" customHeight="1">
      <c r="A35" s="734" t="s">
        <v>351</v>
      </c>
      <c r="B35" s="207" t="s">
        <v>1527</v>
      </c>
      <c r="C35" s="212">
        <f ca="1">ROUND(C34*F35,0)</f>
        <v>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v>
      </c>
      <c r="D37" s="209">
        <f ca="1">D19</f>
        <v>245.74</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v>
      </c>
      <c r="D42" s="230"/>
      <c r="E42" s="230"/>
      <c r="F42" s="231"/>
      <c r="G42" s="3364" t="s">
        <v>1544</v>
      </c>
    </row>
    <row r="43" spans="1:7" ht="13.5" customHeight="1">
      <c r="A43" s="734" t="s">
        <v>347</v>
      </c>
      <c r="B43" s="207" t="s">
        <v>1545</v>
      </c>
      <c r="C43" s="230">
        <f ca="1">ROUND(IF('数据-取费表'!B22&lt;=1,C39*F22*'数据-取费表'!B21/2,C39*(POWER((1+F22),'数据-取费表'!B21/2)-1)),0)</f>
        <v>0</v>
      </c>
      <c r="D43" s="230"/>
      <c r="E43" s="230"/>
      <c r="F43" s="231"/>
      <c r="G43" s="3365"/>
    </row>
    <row r="44" spans="1:7" ht="13.5" customHeight="1">
      <c r="A44" s="734" t="s">
        <v>348</v>
      </c>
      <c r="B44" s="207" t="s">
        <v>1546</v>
      </c>
      <c r="C44" s="230">
        <f ca="1">ROUND(IF('数据-取费表'!B22&lt;=1,C40*F22*'数据-取费表'!B21/2,C40*(POWER((1+F22),'数据-取费表'!B21/2)-1)),4)</f>
        <v>5.9999999999999995E-4</v>
      </c>
      <c r="D44" s="230"/>
      <c r="E44" s="230"/>
      <c r="F44" s="231"/>
      <c r="G44" s="3366"/>
    </row>
    <row r="45" spans="1:7" s="206" customFormat="1" ht="13.5" customHeight="1">
      <c r="A45" s="247" t="s">
        <v>1547</v>
      </c>
      <c r="B45" s="236" t="s">
        <v>1513</v>
      </c>
      <c r="C45" s="237">
        <f ca="1">C46</f>
        <v>17</v>
      </c>
      <c r="D45" s="227">
        <f ca="1">C47</f>
        <v>3.0000000000000001E-3</v>
      </c>
      <c r="E45" s="228" t="s">
        <v>1539</v>
      </c>
      <c r="F45" s="238">
        <f ca="1">F27</f>
        <v>0.15</v>
      </c>
      <c r="G45" s="239" t="s">
        <v>1548</v>
      </c>
    </row>
    <row r="46" spans="1:7" s="206" customFormat="1" ht="13.5" customHeight="1">
      <c r="A46" s="734" t="s">
        <v>346</v>
      </c>
      <c r="B46" s="240" t="s">
        <v>1549</v>
      </c>
      <c r="C46" s="241">
        <f ca="1">ROUND((C33+C39)*F27,0)</f>
        <v>17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143</v>
      </c>
      <c r="D49" s="224"/>
      <c r="E49" s="224"/>
      <c r="F49" s="256"/>
      <c r="G49" s="226" t="s">
        <v>1554</v>
      </c>
    </row>
    <row r="50" spans="1:7" s="250" customFormat="1" ht="24">
      <c r="A50" s="247" t="s">
        <v>1555</v>
      </c>
      <c r="B50" s="202" t="s">
        <v>1556</v>
      </c>
      <c r="C50" s="224"/>
      <c r="D50" s="224"/>
      <c r="E50" s="224"/>
      <c r="F50" s="256">
        <f>IF('数据-取费表'!B24=0,'数据-取费表'!N16,1)</f>
        <v>0.81</v>
      </c>
      <c r="G50" s="239" t="s">
        <v>1557</v>
      </c>
    </row>
    <row r="51" spans="1:7" ht="16.5" customHeight="1">
      <c r="A51" s="247" t="s">
        <v>1558</v>
      </c>
      <c r="B51" s="202" t="s">
        <v>1559</v>
      </c>
      <c r="C51" s="224">
        <f ca="1">ROUND(C49*F50,0)</f>
        <v>116</v>
      </c>
      <c r="D51" s="224"/>
      <c r="E51" s="224"/>
      <c r="F51" s="256"/>
      <c r="G51" s="226" t="s">
        <v>1560</v>
      </c>
    </row>
    <row r="52" spans="1:7" s="200" customFormat="1" ht="16.8" thickBot="1">
      <c r="A52" s="257" t="s">
        <v>1561</v>
      </c>
      <c r="B52" s="258"/>
      <c r="C52" s="259">
        <f ca="1">C31+C51</f>
        <v>122</v>
      </c>
      <c r="D52" s="258"/>
      <c r="E52" s="258"/>
      <c r="F52" s="258"/>
      <c r="G52" s="260"/>
    </row>
    <row r="55" spans="1:7" ht="15">
      <c r="B55" s="262" t="s">
        <v>1562</v>
      </c>
      <c r="C55" s="263"/>
    </row>
    <row r="56" spans="1:7">
      <c r="B56" s="265" t="s">
        <v>802</v>
      </c>
      <c r="C56" s="267">
        <f ca="1">1-C57</f>
        <v>4.9000000000000044E-2</v>
      </c>
    </row>
    <row r="57" spans="1:7">
      <c r="B57" s="265" t="s">
        <v>803</v>
      </c>
      <c r="C57" s="266">
        <f ca="1">ROUND(C51/C52,3)</f>
        <v>0.95099999999999996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82" t="str">
        <f>项目基本情况!B1</f>
        <v>北京市石景山区古城西路68号院3号楼1至2层102、105房地产抵押价值预评估</v>
      </c>
      <c r="C37" s="3182"/>
      <c r="D37" s="3182"/>
      <c r="E37" s="3182"/>
      <c r="F37" s="3182"/>
      <c r="G37" s="3182"/>
      <c r="H37" s="3182"/>
      <c r="I37" s="3182"/>
    </row>
    <row r="38" spans="1:9">
      <c r="A38" s="794"/>
      <c r="B38" s="794"/>
    </row>
    <row r="39" spans="1:9">
      <c r="A39" s="792" t="s">
        <v>371</v>
      </c>
      <c r="B39" s="792" t="s">
        <v>373</v>
      </c>
    </row>
    <row r="40" spans="1:9">
      <c r="A40" s="792"/>
      <c r="B40" s="1376">
        <f>项目基本情况!B5</f>
        <v>0</v>
      </c>
    </row>
    <row r="41" spans="1:9">
      <c r="A41" s="792"/>
      <c r="B41" s="792"/>
    </row>
    <row r="42" spans="1:9">
      <c r="A42" s="792" t="s">
        <v>371</v>
      </c>
      <c r="B42" s="792" t="s">
        <v>374</v>
      </c>
    </row>
    <row r="43" spans="1:9">
      <c r="A43" s="792"/>
      <c r="B43" s="1376" t="s">
        <v>375</v>
      </c>
    </row>
    <row r="44" spans="1:9">
      <c r="A44" s="792"/>
      <c r="B44" s="792"/>
    </row>
    <row r="45" spans="1:9">
      <c r="A45" s="792" t="s">
        <v>371</v>
      </c>
      <c r="B45" s="792" t="s">
        <v>376</v>
      </c>
    </row>
    <row r="46" spans="1:9" s="792" customFormat="1">
      <c r="B46" s="1376"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34" zoomScale="60" zoomScaleNormal="70" workbookViewId="0">
      <selection activeCell="K42" sqref="K42"/>
    </sheetView>
  </sheetViews>
  <sheetFormatPr defaultColWidth="9" defaultRowHeight="13.8"/>
  <cols>
    <col min="1" max="1" width="10.44140625" style="347" customWidth="1"/>
    <col min="2" max="2" width="15.77734375" style="347" customWidth="1"/>
    <col min="3" max="3" width="16.44140625" style="347" customWidth="1"/>
    <col min="4" max="4" width="12.21875" style="347" customWidth="1"/>
    <col min="5" max="5" width="15.77734375" style="347" customWidth="1"/>
    <col min="6" max="6" width="12.21875" style="347" customWidth="1"/>
    <col min="7" max="7" width="16.6640625" style="347" customWidth="1"/>
    <col min="8" max="8" width="12.21875" style="347" customWidth="1"/>
    <col min="9" max="9" width="15.88671875" style="347" customWidth="1"/>
    <col min="10" max="10" width="12.21875" style="347" customWidth="1"/>
    <col min="11" max="11" width="12.21875" style="430" customWidth="1"/>
    <col min="12" max="12" width="12.21875" style="431" customWidth="1"/>
    <col min="13" max="15" width="12.21875" style="347" customWidth="1"/>
    <col min="16" max="16" width="4.77734375" style="176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732" t="s">
        <v>1766</v>
      </c>
      <c r="C1" s="1153" t="s">
        <v>1662</v>
      </c>
      <c r="D1" s="1140">
        <v>102</v>
      </c>
      <c r="E1" s="3120" t="s">
        <v>3520</v>
      </c>
      <c r="F1" s="1733" t="s">
        <v>3521</v>
      </c>
      <c r="G1" s="1150" t="s">
        <v>1767</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2" customFormat="1" ht="28.5" customHeight="1" thickTop="1">
      <c r="A2" s="1136" t="s">
        <v>1462</v>
      </c>
      <c r="B2" s="1083">
        <f>IF(E1="项目模式",IF(C2="——",ROUND(C49*D3/10000,0),ROUND(C49*D3/10000,0)-D2),IF(E1="单套模式",IF(C2="——",ROUND(C49*D3/10000,4),ROUND(C49*D3/10000,4)-D2)))</f>
        <v>1310.2856999999999</v>
      </c>
      <c r="C2" s="1735" t="s">
        <v>43</v>
      </c>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499"/>
      <c r="M2" s="2500"/>
      <c r="N2" s="2500"/>
      <c r="O2" s="2500"/>
      <c r="P2" s="1802"/>
      <c r="Q2" s="857"/>
      <c r="R2" s="857"/>
      <c r="S2" s="857"/>
      <c r="T2" s="857"/>
      <c r="U2" s="857"/>
      <c r="V2" s="857"/>
      <c r="W2" s="857"/>
      <c r="X2" s="857"/>
      <c r="Y2" s="857"/>
      <c r="Z2" s="857"/>
      <c r="AA2" s="857"/>
      <c r="AB2" s="857"/>
      <c r="AC2" s="1803"/>
    </row>
    <row r="3" spans="1:29" s="342" customFormat="1" ht="28.5" customHeight="1" thickBot="1">
      <c r="A3" s="195" t="s">
        <v>1464</v>
      </c>
      <c r="B3" s="536">
        <f>IF(C2="——",C49,ROUND(B2*10000/D3,0))</f>
        <v>53320</v>
      </c>
      <c r="C3" s="344" t="s">
        <v>1768</v>
      </c>
      <c r="D3" s="343">
        <f>IF(D1="",'数据-汇总表'!E3,SUMIF('数据-汇总表'!$C19:$C33,D1,'数据-汇总表'!$E19:$E33))</f>
        <v>245.74</v>
      </c>
      <c r="E3" s="1803"/>
      <c r="F3" s="854"/>
      <c r="G3" s="853"/>
      <c r="H3" s="853"/>
      <c r="I3" s="853"/>
      <c r="J3" s="853"/>
      <c r="K3" s="855"/>
      <c r="L3" s="2499"/>
      <c r="M3" s="2500"/>
      <c r="N3" s="2500"/>
      <c r="O3" s="2500"/>
      <c r="P3" s="1802"/>
      <c r="Q3" s="857"/>
      <c r="R3" s="857"/>
      <c r="S3" s="857"/>
      <c r="T3" s="857"/>
      <c r="U3" s="857"/>
      <c r="V3" s="857"/>
      <c r="W3" s="857"/>
      <c r="X3" s="857"/>
      <c r="Y3" s="857"/>
      <c r="Z3" s="857"/>
      <c r="AA3" s="857"/>
      <c r="AB3" s="857"/>
      <c r="AC3" s="1803"/>
    </row>
    <row r="4" spans="1:29" ht="14.4">
      <c r="A4" s="345" t="s">
        <v>1769</v>
      </c>
      <c r="B4" s="346"/>
      <c r="C4" s="3385" t="s">
        <v>1770</v>
      </c>
      <c r="D4" s="3386"/>
      <c r="E4" s="3387" t="s">
        <v>1771</v>
      </c>
      <c r="F4" s="3388"/>
      <c r="G4" s="3385" t="s">
        <v>1772</v>
      </c>
      <c r="H4" s="3386"/>
      <c r="I4" s="3385" t="s">
        <v>1773</v>
      </c>
      <c r="J4" s="3386"/>
      <c r="K4" s="537" t="s">
        <v>1774</v>
      </c>
      <c r="L4" s="2482"/>
      <c r="M4" s="2483"/>
      <c r="N4" s="2483"/>
      <c r="O4" s="2483"/>
      <c r="P4" s="3389" t="s">
        <v>1775</v>
      </c>
      <c r="Q4" s="3390"/>
      <c r="R4" s="3395" t="s">
        <v>1771</v>
      </c>
      <c r="S4" s="3396"/>
      <c r="T4" s="3395" t="s">
        <v>1772</v>
      </c>
      <c r="U4" s="3396"/>
      <c r="V4" s="3368" t="s">
        <v>1773</v>
      </c>
      <c r="W4" s="3368"/>
      <c r="X4" s="1263"/>
      <c r="Y4" s="3395" t="s">
        <v>1775</v>
      </c>
      <c r="Z4" s="3396"/>
      <c r="AA4" s="3382" t="s">
        <v>1771</v>
      </c>
      <c r="AB4" s="3368" t="s">
        <v>1772</v>
      </c>
      <c r="AC4" s="3382" t="s">
        <v>1773</v>
      </c>
    </row>
    <row r="5" spans="1:29">
      <c r="A5" s="348"/>
      <c r="B5" s="349"/>
      <c r="C5" s="3408" t="s">
        <v>3571</v>
      </c>
      <c r="D5" s="3404"/>
      <c r="E5" s="3411" t="str">
        <f>C5</f>
        <v>古城现代嘉园</v>
      </c>
      <c r="F5" s="3412"/>
      <c r="G5" s="3403" t="str">
        <f>C5</f>
        <v>古城现代嘉园</v>
      </c>
      <c r="H5" s="3404"/>
      <c r="I5" s="3403" t="str">
        <f>C5</f>
        <v>古城现代嘉园</v>
      </c>
      <c r="J5" s="3404"/>
      <c r="K5" s="537"/>
      <c r="L5" s="2482"/>
      <c r="M5" s="2483"/>
      <c r="N5" s="2483"/>
      <c r="O5" s="2483"/>
      <c r="P5" s="3391"/>
      <c r="Q5" s="3392"/>
      <c r="R5" s="3397"/>
      <c r="S5" s="3398"/>
      <c r="T5" s="3397"/>
      <c r="U5" s="3398"/>
      <c r="V5" s="3368"/>
      <c r="W5" s="3368"/>
      <c r="X5" s="1263"/>
      <c r="Y5" s="3397"/>
      <c r="Z5" s="3398"/>
      <c r="AA5" s="3383"/>
      <c r="AB5" s="3368"/>
      <c r="AC5" s="3383"/>
    </row>
    <row r="6" spans="1:29" ht="15" thickBot="1">
      <c r="A6" s="350"/>
      <c r="B6" s="351"/>
      <c r="C6" s="3401" t="s">
        <v>1677</v>
      </c>
      <c r="D6" s="3402"/>
      <c r="E6" s="3409"/>
      <c r="F6" s="3410"/>
      <c r="G6" s="3401" t="s">
        <v>1677</v>
      </c>
      <c r="H6" s="3402"/>
      <c r="I6" s="3401" t="s">
        <v>1677</v>
      </c>
      <c r="J6" s="3402"/>
      <c r="K6" s="537" t="s">
        <v>1678</v>
      </c>
      <c r="L6" s="2482"/>
      <c r="M6" s="2483"/>
      <c r="N6" s="2483"/>
      <c r="O6" s="2483"/>
      <c r="P6" s="3393"/>
      <c r="Q6" s="3394"/>
      <c r="R6" s="3397"/>
      <c r="S6" s="3398"/>
      <c r="T6" s="3399"/>
      <c r="U6" s="3400"/>
      <c r="V6" s="3368"/>
      <c r="W6" s="3368"/>
      <c r="X6" s="1263"/>
      <c r="Y6" s="3399"/>
      <c r="Z6" s="3400"/>
      <c r="AA6" s="3384"/>
      <c r="AB6" s="3368"/>
      <c r="AC6" s="3384"/>
    </row>
    <row r="7" spans="1:29" s="102" customFormat="1" ht="15" thickBot="1">
      <c r="A7" s="352" t="s">
        <v>1679</v>
      </c>
      <c r="B7" s="353"/>
      <c r="C7" s="354">
        <f>'数据-取费表'!B2</f>
        <v>45793</v>
      </c>
      <c r="D7" s="355">
        <v>100</v>
      </c>
      <c r="E7" s="356">
        <f>C7</f>
        <v>45793</v>
      </c>
      <c r="F7" s="357">
        <f>SUMIF(58:58,YEAR(E7)&amp;"-"&amp;MONTH(E7),59:59)</f>
        <v>100</v>
      </c>
      <c r="G7" s="356">
        <f>E7</f>
        <v>45793</v>
      </c>
      <c r="H7" s="355">
        <f>SUMIF(58:58,YEAR(G7)&amp;"-"&amp;MONTH(G7),59:59)</f>
        <v>100</v>
      </c>
      <c r="I7" s="356">
        <f>E7</f>
        <v>45793</v>
      </c>
      <c r="J7" s="355">
        <f>SUMIF(58:58,YEAR(I7)&amp;"-"&amp;MONTH(I7),59:59)</f>
        <v>100</v>
      </c>
      <c r="K7" s="38"/>
      <c r="L7" s="2484"/>
      <c r="M7" s="2436"/>
      <c r="N7" s="2436"/>
      <c r="O7" s="2436"/>
      <c r="P7" s="3405" t="s">
        <v>1680</v>
      </c>
      <c r="Q7" s="3407"/>
      <c r="R7" s="664" t="s">
        <v>14</v>
      </c>
      <c r="S7" s="665">
        <f t="shared" ref="S7:S15" si="0">F7</f>
        <v>100</v>
      </c>
      <c r="T7" s="664" t="s">
        <v>14</v>
      </c>
      <c r="U7" s="665">
        <f t="shared" ref="U7:U15" si="1">H7</f>
        <v>100</v>
      </c>
      <c r="V7" s="664" t="s">
        <v>14</v>
      </c>
      <c r="W7" s="665">
        <f t="shared" ref="W7:W15" si="2">J7</f>
        <v>100</v>
      </c>
      <c r="X7" s="666"/>
      <c r="Y7" s="3405" t="s">
        <v>1680</v>
      </c>
      <c r="Z7" s="3406"/>
      <c r="AA7" s="50">
        <f>D7/F7</f>
        <v>1</v>
      </c>
      <c r="AB7" s="50">
        <f>D7/H7</f>
        <v>1</v>
      </c>
      <c r="AC7" s="50">
        <f>D7/J7</f>
        <v>1</v>
      </c>
    </row>
    <row r="8" spans="1:29" s="102" customFormat="1" ht="15" thickBot="1">
      <c r="A8" s="352" t="s">
        <v>1681</v>
      </c>
      <c r="B8" s="353"/>
      <c r="C8" s="358" t="s">
        <v>3522</v>
      </c>
      <c r="D8" s="355">
        <v>100</v>
      </c>
      <c r="E8" s="358" t="s">
        <v>3524</v>
      </c>
      <c r="F8" s="357">
        <f>SUMIF(61:61,E8,62:62)-SUMIF(61:61,C8,62:62)+100</f>
        <v>105</v>
      </c>
      <c r="G8" s="358" t="s">
        <v>3524</v>
      </c>
      <c r="H8" s="355">
        <f>SUMIF(61:61,G8,62:62)-SUMIF(61:61,C8,62:62)+100</f>
        <v>105</v>
      </c>
      <c r="I8" s="358" t="s">
        <v>3524</v>
      </c>
      <c r="J8" s="355">
        <f>SUMIF(61:61,I8,62:62)-SUMIF(61:61,C8,62:62)+100</f>
        <v>105</v>
      </c>
      <c r="K8" s="38"/>
      <c r="L8" s="2484"/>
      <c r="M8" s="2436"/>
      <c r="N8" s="2436"/>
      <c r="O8" s="2436"/>
      <c r="P8" s="3405" t="s">
        <v>1683</v>
      </c>
      <c r="Q8" s="3406"/>
      <c r="R8" s="664" t="s">
        <v>14</v>
      </c>
      <c r="S8" s="665">
        <f t="shared" si="0"/>
        <v>105</v>
      </c>
      <c r="T8" s="664" t="s">
        <v>14</v>
      </c>
      <c r="U8" s="665">
        <f t="shared" si="1"/>
        <v>105</v>
      </c>
      <c r="V8" s="664" t="s">
        <v>14</v>
      </c>
      <c r="W8" s="665">
        <f t="shared" si="2"/>
        <v>105</v>
      </c>
      <c r="X8" s="666"/>
      <c r="Y8" s="3405" t="s">
        <v>1683</v>
      </c>
      <c r="Z8" s="3406"/>
      <c r="AA8" s="50">
        <f t="shared" ref="AA8:AA46" si="3">D8/F8</f>
        <v>0.95238095238095233</v>
      </c>
      <c r="AB8" s="50">
        <f t="shared" ref="AB8:AB46" si="4">D8/H8</f>
        <v>0.95238095238095233</v>
      </c>
      <c r="AC8" s="50">
        <f t="shared" ref="AC8:AC46" si="5">D8/J8</f>
        <v>0.95238095238095233</v>
      </c>
    </row>
    <row r="9" spans="1:29" s="102" customFormat="1" ht="14.4">
      <c r="A9" s="359" t="s">
        <v>1684</v>
      </c>
      <c r="B9" s="60" t="s">
        <v>1685</v>
      </c>
      <c r="C9" s="3174" t="s">
        <v>3523</v>
      </c>
      <c r="D9" s="59">
        <v>100</v>
      </c>
      <c r="E9" s="361" t="s">
        <v>673</v>
      </c>
      <c r="F9" s="60">
        <f>SUMIF(63:63,E9,64:64)-SUMIF(63:63,C9,64:64)+100</f>
        <v>100</v>
      </c>
      <c r="G9" s="361" t="s">
        <v>673</v>
      </c>
      <c r="H9" s="59">
        <f>SUMIF(63:63,G9,64:64)-SUMIF(63:63,C9,64:64)+100</f>
        <v>100</v>
      </c>
      <c r="I9" s="361" t="s">
        <v>673</v>
      </c>
      <c r="J9" s="59">
        <f>SUMIF(63:63,I9,64:64)-SUMIF(63:63,C9,64:64)+100</f>
        <v>100</v>
      </c>
      <c r="K9" s="38"/>
      <c r="L9" s="2484"/>
      <c r="M9" s="2436"/>
      <c r="N9" s="2436"/>
      <c r="O9" s="2436"/>
      <c r="P9" s="3381" t="s">
        <v>1686</v>
      </c>
      <c r="Q9" s="530" t="str">
        <f t="shared" ref="Q9:Q15" si="6">B9</f>
        <v>用途</v>
      </c>
      <c r="R9" s="664" t="s">
        <v>14</v>
      </c>
      <c r="S9" s="665">
        <f t="shared" si="0"/>
        <v>100</v>
      </c>
      <c r="T9" s="664" t="s">
        <v>14</v>
      </c>
      <c r="U9" s="665">
        <f t="shared" si="1"/>
        <v>100</v>
      </c>
      <c r="V9" s="664" t="s">
        <v>14</v>
      </c>
      <c r="W9" s="665">
        <f t="shared" si="2"/>
        <v>100</v>
      </c>
      <c r="X9" s="666"/>
      <c r="Y9" s="3271" t="s">
        <v>1687</v>
      </c>
      <c r="Z9" s="50" t="str">
        <f t="shared" ref="Z9:Z15" si="7">Q9</f>
        <v>用途</v>
      </c>
      <c r="AA9" s="50">
        <f t="shared" si="3"/>
        <v>1</v>
      </c>
      <c r="AB9" s="50">
        <f t="shared" si="4"/>
        <v>1</v>
      </c>
      <c r="AC9" s="50">
        <f t="shared" si="5"/>
        <v>1</v>
      </c>
    </row>
    <row r="10" spans="1:29" s="366" customFormat="1" ht="28.8">
      <c r="A10" s="363"/>
      <c r="B10" s="364" t="s">
        <v>1688</v>
      </c>
      <c r="C10" s="3128" t="s">
        <v>3526</v>
      </c>
      <c r="D10" s="119">
        <v>100</v>
      </c>
      <c r="E10" s="3128" t="str">
        <f>C10</f>
        <v>20-30（含）</v>
      </c>
      <c r="F10" s="364">
        <f>SUMIF(65:65,E10,66:66)-SUMIF(65:65,C10,66:66)+100</f>
        <v>100</v>
      </c>
      <c r="G10" s="3128" t="str">
        <f>C10</f>
        <v>20-30（含）</v>
      </c>
      <c r="H10" s="119">
        <f>SUMIF(65:65,G10,66:66)-SUMIF(65:65,C10,66:66)+100</f>
        <v>100</v>
      </c>
      <c r="I10" s="3128" t="str">
        <f>C10</f>
        <v>20-30（含）</v>
      </c>
      <c r="J10" s="119">
        <f>SUMIF(65:65,I10,66:66)-SUMIF(65:65,C10,66:66)+100</f>
        <v>100</v>
      </c>
      <c r="K10" s="38"/>
      <c r="L10" s="2485"/>
      <c r="M10" s="2486"/>
      <c r="N10" s="2486"/>
      <c r="O10" s="2486"/>
      <c r="P10" s="3381"/>
      <c r="Q10" s="530" t="str">
        <f t="shared" si="6"/>
        <v>土地使用年限（年）</v>
      </c>
      <c r="R10" s="664" t="s">
        <v>14</v>
      </c>
      <c r="S10" s="665">
        <f t="shared" si="0"/>
        <v>100</v>
      </c>
      <c r="T10" s="664" t="s">
        <v>14</v>
      </c>
      <c r="U10" s="665">
        <f t="shared" si="1"/>
        <v>100</v>
      </c>
      <c r="V10" s="664" t="s">
        <v>14</v>
      </c>
      <c r="W10" s="665">
        <f t="shared" si="2"/>
        <v>100</v>
      </c>
      <c r="X10" s="666"/>
      <c r="Y10" s="3271"/>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7"/>
      <c r="M11" s="2483"/>
      <c r="N11" s="2483"/>
      <c r="O11" s="2483"/>
      <c r="P11" s="3381"/>
      <c r="Q11" s="530" t="str">
        <f t="shared" si="6"/>
        <v>容积率</v>
      </c>
      <c r="R11" s="664" t="s">
        <v>14</v>
      </c>
      <c r="S11" s="665">
        <f t="shared" si="0"/>
        <v>100</v>
      </c>
      <c r="T11" s="664" t="s">
        <v>14</v>
      </c>
      <c r="U11" s="665">
        <f t="shared" si="1"/>
        <v>100</v>
      </c>
      <c r="V11" s="664" t="s">
        <v>14</v>
      </c>
      <c r="W11" s="665">
        <f t="shared" si="2"/>
        <v>100</v>
      </c>
      <c r="X11" s="666"/>
      <c r="Y11" s="3271"/>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6"/>
      <c r="N12" s="2436"/>
      <c r="O12" s="2436"/>
      <c r="P12" s="3381"/>
      <c r="Q12" s="530">
        <f t="shared" si="6"/>
        <v>111</v>
      </c>
      <c r="R12" s="664" t="s">
        <v>14</v>
      </c>
      <c r="S12" s="665">
        <f t="shared" si="0"/>
        <v>100</v>
      </c>
      <c r="T12" s="664" t="s">
        <v>14</v>
      </c>
      <c r="U12" s="665">
        <f t="shared" si="1"/>
        <v>100</v>
      </c>
      <c r="V12" s="664" t="s">
        <v>14</v>
      </c>
      <c r="W12" s="665">
        <f t="shared" si="2"/>
        <v>100</v>
      </c>
      <c r="X12" s="666"/>
      <c r="Y12" s="327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381"/>
      <c r="Q13" s="530">
        <f t="shared" si="6"/>
        <v>111</v>
      </c>
      <c r="R13" s="664" t="s">
        <v>14</v>
      </c>
      <c r="S13" s="665">
        <f t="shared" si="0"/>
        <v>100</v>
      </c>
      <c r="T13" s="664" t="s">
        <v>14</v>
      </c>
      <c r="U13" s="665">
        <f t="shared" si="1"/>
        <v>100</v>
      </c>
      <c r="V13" s="664" t="s">
        <v>14</v>
      </c>
      <c r="W13" s="665">
        <f t="shared" si="2"/>
        <v>100</v>
      </c>
      <c r="X13" s="666"/>
      <c r="Y13" s="3271"/>
      <c r="Z13" s="50">
        <f t="shared" si="7"/>
        <v>111</v>
      </c>
      <c r="AA13" s="50">
        <f t="shared" si="3"/>
        <v>1</v>
      </c>
      <c r="AB13" s="50">
        <f t="shared" si="4"/>
        <v>1</v>
      </c>
      <c r="AC13" s="50">
        <f t="shared" si="5"/>
        <v>1</v>
      </c>
    </row>
    <row r="14" spans="1:29" ht="15.6"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381"/>
      <c r="Q14" s="530">
        <f t="shared" si="6"/>
        <v>111</v>
      </c>
      <c r="R14" s="664" t="s">
        <v>14</v>
      </c>
      <c r="S14" s="665">
        <f t="shared" si="0"/>
        <v>100</v>
      </c>
      <c r="T14" s="664" t="s">
        <v>14</v>
      </c>
      <c r="U14" s="665">
        <f t="shared" si="1"/>
        <v>100</v>
      </c>
      <c r="V14" s="664" t="s">
        <v>14</v>
      </c>
      <c r="W14" s="665">
        <f t="shared" si="2"/>
        <v>100</v>
      </c>
      <c r="X14" s="666"/>
      <c r="Y14" s="3271"/>
      <c r="Z14" s="50">
        <f t="shared" si="7"/>
        <v>111</v>
      </c>
      <c r="AA14" s="50">
        <f t="shared" si="3"/>
        <v>1</v>
      </c>
      <c r="AB14" s="50">
        <f t="shared" si="4"/>
        <v>1</v>
      </c>
      <c r="AC14" s="50">
        <f t="shared" si="5"/>
        <v>1</v>
      </c>
    </row>
    <row r="15" spans="1:29" ht="69">
      <c r="A15" s="379" t="s">
        <v>1690</v>
      </c>
      <c r="B15" s="58" t="s">
        <v>1777</v>
      </c>
      <c r="C15" s="1748"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88"/>
      <c r="M15" s="2483"/>
      <c r="N15" s="2483"/>
      <c r="O15" s="2483"/>
      <c r="P15" s="3372" t="s">
        <v>1691</v>
      </c>
      <c r="Q15" s="1261" t="str">
        <f t="shared" si="6"/>
        <v>商业繁华度</v>
      </c>
      <c r="R15" s="667" t="s">
        <v>14</v>
      </c>
      <c r="S15" s="668">
        <f t="shared" si="0"/>
        <v>100</v>
      </c>
      <c r="T15" s="667" t="s">
        <v>14</v>
      </c>
      <c r="U15" s="668">
        <f t="shared" si="1"/>
        <v>100</v>
      </c>
      <c r="V15" s="667" t="s">
        <v>14</v>
      </c>
      <c r="W15" s="668">
        <f t="shared" si="2"/>
        <v>100</v>
      </c>
      <c r="X15" s="1263"/>
      <c r="Y15" s="3374" t="s">
        <v>1691</v>
      </c>
      <c r="Z15" s="1262" t="str">
        <f t="shared" si="7"/>
        <v>商业繁华度</v>
      </c>
      <c r="AA15" s="1262">
        <f t="shared" si="3"/>
        <v>1</v>
      </c>
      <c r="AB15" s="1262">
        <f t="shared" si="4"/>
        <v>1</v>
      </c>
      <c r="AC15" s="1262">
        <f t="shared" si="5"/>
        <v>1</v>
      </c>
    </row>
    <row r="16" spans="1:29" ht="15">
      <c r="A16" s="367"/>
      <c r="B16" s="385"/>
      <c r="C16" s="386" t="s">
        <v>3448</v>
      </c>
      <c r="D16" s="387"/>
      <c r="E16" s="386" t="s">
        <v>3448</v>
      </c>
      <c r="F16" s="388"/>
      <c r="G16" s="386" t="s">
        <v>3448</v>
      </c>
      <c r="H16" s="389"/>
      <c r="I16" s="386" t="s">
        <v>3448</v>
      </c>
      <c r="J16" s="387"/>
      <c r="K16" s="541"/>
      <c r="L16" s="2488"/>
      <c r="M16" s="2483"/>
      <c r="N16" s="2483"/>
      <c r="O16" s="2483"/>
      <c r="P16" s="3373"/>
      <c r="Q16" s="1261"/>
      <c r="R16" s="667"/>
      <c r="S16" s="668"/>
      <c r="T16" s="667"/>
      <c r="U16" s="668"/>
      <c r="V16" s="667"/>
      <c r="W16" s="668"/>
      <c r="X16" s="1263"/>
      <c r="Y16" s="3375"/>
      <c r="Z16" s="1262"/>
      <c r="AA16" s="1262">
        <v>1</v>
      </c>
      <c r="AB16" s="1262">
        <v>1</v>
      </c>
      <c r="AC16" s="1262">
        <v>1</v>
      </c>
    </row>
    <row r="17" spans="1:29" ht="82.8">
      <c r="A17" s="367"/>
      <c r="B17" s="390" t="s">
        <v>1259</v>
      </c>
      <c r="C17" s="1752"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88"/>
      <c r="M17" s="2483"/>
      <c r="N17" s="2483"/>
      <c r="O17" s="2483"/>
      <c r="P17" s="3373"/>
      <c r="Q17" s="1261" t="str">
        <f>B17</f>
        <v>交通便捷度</v>
      </c>
      <c r="R17" s="667" t="s">
        <v>14</v>
      </c>
      <c r="S17" s="668">
        <f>F17</f>
        <v>100</v>
      </c>
      <c r="T17" s="667" t="s">
        <v>14</v>
      </c>
      <c r="U17" s="668">
        <f>H17</f>
        <v>100</v>
      </c>
      <c r="V17" s="667" t="s">
        <v>14</v>
      </c>
      <c r="W17" s="668">
        <f>J17</f>
        <v>100</v>
      </c>
      <c r="X17" s="1263"/>
      <c r="Y17" s="3375"/>
      <c r="Z17" s="1262" t="str">
        <f>Q17</f>
        <v>交通便捷度</v>
      </c>
      <c r="AA17" s="1262">
        <f t="shared" si="3"/>
        <v>1</v>
      </c>
      <c r="AB17" s="1262">
        <f t="shared" si="4"/>
        <v>1</v>
      </c>
      <c r="AC17" s="1262">
        <f t="shared" si="5"/>
        <v>1</v>
      </c>
    </row>
    <row r="18" spans="1:29" ht="15">
      <c r="A18" s="367"/>
      <c r="B18" s="395"/>
      <c r="C18" s="1753" t="s">
        <v>3449</v>
      </c>
      <c r="D18" s="389"/>
      <c r="E18" s="1753" t="s">
        <v>3449</v>
      </c>
      <c r="F18" s="392"/>
      <c r="G18" s="1753" t="s">
        <v>3449</v>
      </c>
      <c r="H18" s="387"/>
      <c r="I18" s="1753" t="s">
        <v>3449</v>
      </c>
      <c r="J18" s="387"/>
      <c r="K18" s="541"/>
      <c r="L18" s="2488"/>
      <c r="M18" s="2483"/>
      <c r="N18" s="2483"/>
      <c r="O18" s="2483"/>
      <c r="P18" s="3373"/>
      <c r="Q18" s="1261"/>
      <c r="R18" s="667"/>
      <c r="S18" s="668"/>
      <c r="T18" s="667"/>
      <c r="U18" s="668"/>
      <c r="V18" s="667"/>
      <c r="W18" s="668"/>
      <c r="X18" s="1263"/>
      <c r="Y18" s="3375"/>
      <c r="Z18" s="1262"/>
      <c r="AA18" s="1262">
        <v>1</v>
      </c>
      <c r="AB18" s="1262">
        <v>1</v>
      </c>
      <c r="AC18" s="1262">
        <v>1</v>
      </c>
    </row>
    <row r="19" spans="1:29" ht="41.4">
      <c r="A19" s="367"/>
      <c r="B19" s="390" t="s">
        <v>1778</v>
      </c>
      <c r="C19" s="1752"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88"/>
      <c r="M19" s="2483"/>
      <c r="N19" s="2483"/>
      <c r="O19" s="2483"/>
      <c r="P19" s="3373"/>
      <c r="Q19" s="1261" t="str">
        <f>B19</f>
        <v>公共配套设施</v>
      </c>
      <c r="R19" s="667" t="s">
        <v>14</v>
      </c>
      <c r="S19" s="668">
        <f>F19</f>
        <v>100</v>
      </c>
      <c r="T19" s="667" t="s">
        <v>14</v>
      </c>
      <c r="U19" s="668">
        <f>H19</f>
        <v>100</v>
      </c>
      <c r="V19" s="667" t="s">
        <v>14</v>
      </c>
      <c r="W19" s="668">
        <f>J19</f>
        <v>100</v>
      </c>
      <c r="X19" s="1263"/>
      <c r="Y19" s="3375"/>
      <c r="Z19" s="1262" t="str">
        <f>Q19</f>
        <v>公共配套设施</v>
      </c>
      <c r="AA19" s="1262">
        <f t="shared" si="3"/>
        <v>1</v>
      </c>
      <c r="AB19" s="1262">
        <f t="shared" si="4"/>
        <v>1</v>
      </c>
      <c r="AC19" s="1262">
        <f t="shared" si="5"/>
        <v>1</v>
      </c>
    </row>
    <row r="20" spans="1:29" ht="15">
      <c r="A20" s="367"/>
      <c r="B20" s="395"/>
      <c r="C20" s="386" t="s">
        <v>3449</v>
      </c>
      <c r="D20" s="387"/>
      <c r="E20" s="386" t="s">
        <v>3449</v>
      </c>
      <c r="F20" s="388"/>
      <c r="G20" s="386" t="s">
        <v>3449</v>
      </c>
      <c r="H20" s="387"/>
      <c r="I20" s="386" t="s">
        <v>3449</v>
      </c>
      <c r="J20" s="387"/>
      <c r="K20" s="541"/>
      <c r="L20" s="2488"/>
      <c r="M20" s="2483"/>
      <c r="N20" s="2483"/>
      <c r="O20" s="2483"/>
      <c r="P20" s="3373"/>
      <c r="Q20" s="1261"/>
      <c r="R20" s="667"/>
      <c r="S20" s="668"/>
      <c r="T20" s="667"/>
      <c r="U20" s="668"/>
      <c r="V20" s="667"/>
      <c r="W20" s="668"/>
      <c r="X20" s="1263"/>
      <c r="Y20" s="3375"/>
      <c r="Z20" s="1262"/>
      <c r="AA20" s="1262">
        <v>1</v>
      </c>
      <c r="AB20" s="1262">
        <v>1</v>
      </c>
      <c r="AC20" s="1262">
        <v>1</v>
      </c>
    </row>
    <row r="21" spans="1:29" ht="27.6">
      <c r="A21" s="367"/>
      <c r="B21" s="586" t="s">
        <v>1779</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88"/>
      <c r="M21" s="2483"/>
      <c r="N21" s="2483"/>
      <c r="O21" s="2483"/>
      <c r="P21" s="3373"/>
      <c r="Q21" s="1261" t="str">
        <f>B21</f>
        <v>基础设施水平</v>
      </c>
      <c r="R21" s="667" t="s">
        <v>14</v>
      </c>
      <c r="S21" s="668">
        <f>F21</f>
        <v>100</v>
      </c>
      <c r="T21" s="667" t="s">
        <v>14</v>
      </c>
      <c r="U21" s="668">
        <f>H21</f>
        <v>100</v>
      </c>
      <c r="V21" s="667" t="s">
        <v>14</v>
      </c>
      <c r="W21" s="668">
        <f>J21</f>
        <v>100</v>
      </c>
      <c r="X21" s="1263"/>
      <c r="Y21" s="3375"/>
      <c r="Z21" s="1262" t="str">
        <f>Q21</f>
        <v>基础设施水平</v>
      </c>
      <c r="AA21" s="1262">
        <f t="shared" ref="AA21" si="8">D21/F21</f>
        <v>1</v>
      </c>
      <c r="AB21" s="1262">
        <f t="shared" ref="AB21" si="9">D21/H21</f>
        <v>1</v>
      </c>
      <c r="AC21" s="1262">
        <f t="shared" ref="AC21" si="10">D21/J21</f>
        <v>1</v>
      </c>
    </row>
    <row r="22" spans="1:29" ht="15">
      <c r="A22" s="367"/>
      <c r="B22" s="586"/>
      <c r="C22" s="1753" t="s">
        <v>3547</v>
      </c>
      <c r="D22" s="387"/>
      <c r="E22" s="1753" t="s">
        <v>3547</v>
      </c>
      <c r="F22" s="388"/>
      <c r="G22" s="1753" t="s">
        <v>3547</v>
      </c>
      <c r="H22" s="387"/>
      <c r="I22" s="1753" t="s">
        <v>3547</v>
      </c>
      <c r="J22" s="387"/>
      <c r="K22" s="1062"/>
      <c r="L22" s="2488"/>
      <c r="M22" s="2483"/>
      <c r="N22" s="2483"/>
      <c r="O22" s="2483"/>
      <c r="P22" s="3373"/>
      <c r="Q22" s="1261"/>
      <c r="R22" s="667"/>
      <c r="S22" s="668"/>
      <c r="T22" s="667"/>
      <c r="U22" s="668"/>
      <c r="V22" s="667"/>
      <c r="W22" s="668"/>
      <c r="X22" s="1263"/>
      <c r="Y22" s="3375"/>
      <c r="Z22" s="1262"/>
      <c r="AA22" s="1262">
        <v>1</v>
      </c>
      <c r="AB22" s="1262">
        <v>1</v>
      </c>
      <c r="AC22" s="1262">
        <v>1</v>
      </c>
    </row>
    <row r="23" spans="1:29" ht="55.2">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88"/>
      <c r="M23" s="2483"/>
      <c r="N23" s="2483"/>
      <c r="O23" s="2483"/>
      <c r="P23" s="3373"/>
      <c r="Q23" s="1261" t="str">
        <f>B23</f>
        <v>自然及人文环境</v>
      </c>
      <c r="R23" s="667" t="s">
        <v>14</v>
      </c>
      <c r="S23" s="668">
        <f>F23</f>
        <v>100</v>
      </c>
      <c r="T23" s="667" t="s">
        <v>14</v>
      </c>
      <c r="U23" s="668">
        <f>H23</f>
        <v>100</v>
      </c>
      <c r="V23" s="667" t="s">
        <v>14</v>
      </c>
      <c r="W23" s="668">
        <f>J23</f>
        <v>100</v>
      </c>
      <c r="X23" s="1263"/>
      <c r="Y23" s="3375"/>
      <c r="Z23" s="1262" t="str">
        <f>Q23</f>
        <v>自然及人文环境</v>
      </c>
      <c r="AA23" s="1262">
        <f t="shared" si="3"/>
        <v>1</v>
      </c>
      <c r="AB23" s="1262">
        <f t="shared" si="4"/>
        <v>1</v>
      </c>
      <c r="AC23" s="1262">
        <f t="shared" si="5"/>
        <v>1</v>
      </c>
    </row>
    <row r="24" spans="1:29" ht="15">
      <c r="A24" s="367"/>
      <c r="B24" s="395"/>
      <c r="C24" s="386" t="s">
        <v>3449</v>
      </c>
      <c r="D24" s="387"/>
      <c r="E24" s="386" t="s">
        <v>3449</v>
      </c>
      <c r="F24" s="388"/>
      <c r="G24" s="386" t="s">
        <v>3449</v>
      </c>
      <c r="H24" s="387"/>
      <c r="I24" s="386" t="s">
        <v>3449</v>
      </c>
      <c r="J24" s="387"/>
      <c r="K24" s="541"/>
      <c r="L24" s="2488"/>
      <c r="M24" s="2483"/>
      <c r="N24" s="2483"/>
      <c r="O24" s="2483"/>
      <c r="P24" s="3373"/>
      <c r="Q24" s="1261"/>
      <c r="R24" s="667"/>
      <c r="S24" s="668"/>
      <c r="T24" s="667"/>
      <c r="U24" s="668"/>
      <c r="V24" s="667"/>
      <c r="W24" s="668"/>
      <c r="X24" s="1263"/>
      <c r="Y24" s="3375"/>
      <c r="Z24" s="1262"/>
      <c r="AA24" s="1262">
        <v>1</v>
      </c>
      <c r="AB24" s="1262">
        <v>1</v>
      </c>
      <c r="AC24" s="1262">
        <v>1</v>
      </c>
    </row>
    <row r="25" spans="1:29" ht="15">
      <c r="A25" s="367"/>
      <c r="B25" s="364" t="s">
        <v>1780</v>
      </c>
      <c r="C25" s="542" t="s">
        <v>3533</v>
      </c>
      <c r="D25" s="374">
        <v>100</v>
      </c>
      <c r="E25" s="542" t="s">
        <v>3533</v>
      </c>
      <c r="F25" s="400">
        <f>SUMIF(86:86,E25,87:87)-SUMIF(86:86,C25,87:87)+100</f>
        <v>100</v>
      </c>
      <c r="G25" s="542" t="s">
        <v>3533</v>
      </c>
      <c r="H25" s="374">
        <f>SUMIF(86:86,G25,87:87)-SUMIF(86:86,C25,87:87)+100</f>
        <v>100</v>
      </c>
      <c r="I25" s="542" t="s">
        <v>3533</v>
      </c>
      <c r="J25" s="374">
        <f>SUMIF(86:86,I25,87:87)-SUMIF(86:86,C25,87:87)+100</f>
        <v>100</v>
      </c>
      <c r="K25" s="538">
        <v>2</v>
      </c>
      <c r="L25" s="2488"/>
      <c r="M25" s="2483"/>
      <c r="N25" s="2483"/>
      <c r="O25" s="2483"/>
      <c r="P25" s="3373"/>
      <c r="Q25" s="1261" t="str">
        <f t="shared" ref="Q25:Q46" si="11">B25</f>
        <v>临街状况</v>
      </c>
      <c r="R25" s="667" t="s">
        <v>14</v>
      </c>
      <c r="S25" s="668">
        <f>F25</f>
        <v>100</v>
      </c>
      <c r="T25" s="667" t="s">
        <v>14</v>
      </c>
      <c r="U25" s="668">
        <f>H25</f>
        <v>100</v>
      </c>
      <c r="V25" s="667" t="s">
        <v>14</v>
      </c>
      <c r="W25" s="668">
        <f>J25</f>
        <v>100</v>
      </c>
      <c r="X25" s="1263"/>
      <c r="Y25" s="3375"/>
      <c r="Z25" s="1262" t="str">
        <f>Q25</f>
        <v>临街状况</v>
      </c>
      <c r="AA25" s="1262">
        <f t="shared" si="3"/>
        <v>1</v>
      </c>
      <c r="AB25" s="1262">
        <f t="shared" si="4"/>
        <v>1</v>
      </c>
      <c r="AC25" s="1262">
        <f t="shared" si="5"/>
        <v>1</v>
      </c>
    </row>
    <row r="26" spans="1:29" ht="15">
      <c r="A26" s="367"/>
      <c r="B26" s="1064" t="s">
        <v>1781</v>
      </c>
      <c r="C26" s="3180" t="s">
        <v>3536</v>
      </c>
      <c r="D26" s="374">
        <v>100</v>
      </c>
      <c r="E26" s="3180" t="s">
        <v>3536</v>
      </c>
      <c r="F26" s="400">
        <f>SUMIF(88:88,E26,89:89)-SUMIF(88:88,C26,89:89)+100</f>
        <v>100</v>
      </c>
      <c r="G26" s="3180" t="s">
        <v>3536</v>
      </c>
      <c r="H26" s="374">
        <f>SUMIF(88:88,G26,89:89)-SUMIF(88:88,C26,89:89)+100</f>
        <v>100</v>
      </c>
      <c r="I26" s="3180" t="s">
        <v>3536</v>
      </c>
      <c r="J26" s="374">
        <f>SUMIF(88:88,I26,89:89)-SUMIF(88:88,C26,89:89)+100</f>
        <v>100</v>
      </c>
      <c r="K26" s="539"/>
      <c r="L26" s="2488"/>
      <c r="M26" s="2483"/>
      <c r="N26" s="2483"/>
      <c r="O26" s="2483"/>
      <c r="P26" s="3373"/>
      <c r="Q26" s="1261" t="str">
        <f t="shared" si="11"/>
        <v>平面位置/可视性</v>
      </c>
      <c r="R26" s="667" t="s">
        <v>14</v>
      </c>
      <c r="S26" s="668">
        <f>F26</f>
        <v>100</v>
      </c>
      <c r="T26" s="667" t="s">
        <v>14</v>
      </c>
      <c r="U26" s="668">
        <f>H26</f>
        <v>100</v>
      </c>
      <c r="V26" s="667" t="s">
        <v>14</v>
      </c>
      <c r="W26" s="668">
        <f>J26</f>
        <v>100</v>
      </c>
      <c r="X26" s="1263"/>
      <c r="Y26" s="3375"/>
      <c r="Z26" s="1262" t="str">
        <f>Q26</f>
        <v>平面位置/可视性</v>
      </c>
      <c r="AA26" s="1262">
        <f t="shared" si="3"/>
        <v>1</v>
      </c>
      <c r="AB26" s="1262">
        <f t="shared" si="4"/>
        <v>1</v>
      </c>
      <c r="AC26" s="1262">
        <f t="shared" si="5"/>
        <v>1</v>
      </c>
    </row>
    <row r="27" spans="1:29" s="102" customFormat="1" ht="15">
      <c r="A27" s="370"/>
      <c r="B27" s="390" t="s">
        <v>1782</v>
      </c>
      <c r="C27" s="1805" t="s">
        <v>3448</v>
      </c>
      <c r="D27" s="401">
        <v>100</v>
      </c>
      <c r="E27" s="1805" t="s">
        <v>3448</v>
      </c>
      <c r="F27" s="395">
        <f>SUMIF(90:90,E27,91:91)-SUMIF(90:90,C27,91:91)+100</f>
        <v>100</v>
      </c>
      <c r="G27" s="1805" t="s">
        <v>3448</v>
      </c>
      <c r="H27" s="401">
        <f>SUMIF(90:90,G27,91:91)-SUMIF(90:90,C27,91:91)+100</f>
        <v>100</v>
      </c>
      <c r="I27" s="1805" t="s">
        <v>3448</v>
      </c>
      <c r="J27" s="401">
        <f>SUMIF(90:90,I27,91:91)-SUMIF(90:90,C27,91:91)+100</f>
        <v>100</v>
      </c>
      <c r="K27" s="538">
        <v>5</v>
      </c>
      <c r="L27" s="2484"/>
      <c r="M27" s="2436"/>
      <c r="N27" s="2436"/>
      <c r="O27" s="2436"/>
      <c r="P27" s="3373"/>
      <c r="Q27" s="530" t="str">
        <f t="shared" si="11"/>
        <v>人流量</v>
      </c>
      <c r="R27" s="664" t="s">
        <v>14</v>
      </c>
      <c r="S27" s="665">
        <f>F27</f>
        <v>100</v>
      </c>
      <c r="T27" s="664" t="s">
        <v>14</v>
      </c>
      <c r="U27" s="665">
        <f>H27</f>
        <v>100</v>
      </c>
      <c r="V27" s="664" t="s">
        <v>14</v>
      </c>
      <c r="W27" s="665">
        <f>J27</f>
        <v>100</v>
      </c>
      <c r="X27" s="666"/>
      <c r="Y27" s="3375"/>
      <c r="Z27" s="50" t="str">
        <f>Q27</f>
        <v>人流量</v>
      </c>
      <c r="AA27" s="1262">
        <f>D27/F27</f>
        <v>1</v>
      </c>
      <c r="AB27" s="1262">
        <f>D27/H27</f>
        <v>1</v>
      </c>
      <c r="AC27" s="1262">
        <f>D27/J27</f>
        <v>1</v>
      </c>
    </row>
    <row r="28" spans="1:29" ht="15">
      <c r="A28" s="367"/>
      <c r="B28" s="364" t="s">
        <v>1783</v>
      </c>
      <c r="C28" s="542" t="s">
        <v>3572</v>
      </c>
      <c r="D28" s="374">
        <v>100</v>
      </c>
      <c r="E28" s="542" t="s">
        <v>3572</v>
      </c>
      <c r="F28" s="400">
        <f>SUMIF(92:92,E28,93:93)-SUMIF(92:92,C28,93:93)+100</f>
        <v>100</v>
      </c>
      <c r="G28" s="542" t="s">
        <v>3572</v>
      </c>
      <c r="H28" s="374">
        <f>SUMIF(92:92,G28,93:93)-SUMIF(92:92,C28,93:93)+100</f>
        <v>100</v>
      </c>
      <c r="I28" s="542" t="s">
        <v>3572</v>
      </c>
      <c r="J28" s="374">
        <f>SUMIF(92:92,I28,93:93)-SUMIF(92:92,C28,93:93)+100</f>
        <v>100</v>
      </c>
      <c r="K28" s="539"/>
      <c r="L28" s="2488"/>
      <c r="M28" s="2483"/>
      <c r="N28" s="2483"/>
      <c r="O28" s="2483"/>
      <c r="P28" s="3373"/>
      <c r="Q28" s="1261" t="str">
        <f t="shared" si="11"/>
        <v>楼层</v>
      </c>
      <c r="R28" s="667" t="s">
        <v>14</v>
      </c>
      <c r="S28" s="668">
        <f t="shared" ref="S28:S46" si="12">F28</f>
        <v>100</v>
      </c>
      <c r="T28" s="667" t="s">
        <v>14</v>
      </c>
      <c r="U28" s="668">
        <f t="shared" ref="U28:U46" si="13">H28</f>
        <v>100</v>
      </c>
      <c r="V28" s="667" t="s">
        <v>14</v>
      </c>
      <c r="W28" s="668">
        <f t="shared" ref="W28:W46" si="14">J28</f>
        <v>100</v>
      </c>
      <c r="X28" s="1263"/>
      <c r="Y28" s="3375"/>
      <c r="Z28" s="1262" t="str">
        <f t="shared" ref="Z28:Z46" si="15">Q28</f>
        <v>楼层</v>
      </c>
      <c r="AA28" s="1262">
        <f t="shared" si="3"/>
        <v>1</v>
      </c>
      <c r="AB28" s="1262">
        <f t="shared" si="4"/>
        <v>1</v>
      </c>
      <c r="AC28" s="1262">
        <f t="shared" si="5"/>
        <v>1</v>
      </c>
    </row>
    <row r="29" spans="1:29" ht="15">
      <c r="A29" s="367"/>
      <c r="B29" s="1064">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373"/>
      <c r="Q29" s="1261">
        <f t="shared" si="11"/>
        <v>111</v>
      </c>
      <c r="R29" s="667" t="s">
        <v>14</v>
      </c>
      <c r="S29" s="668">
        <f t="shared" si="12"/>
        <v>100</v>
      </c>
      <c r="T29" s="667" t="s">
        <v>14</v>
      </c>
      <c r="U29" s="668">
        <f t="shared" si="13"/>
        <v>100</v>
      </c>
      <c r="V29" s="667" t="s">
        <v>14</v>
      </c>
      <c r="W29" s="668">
        <f t="shared" si="14"/>
        <v>100</v>
      </c>
      <c r="X29" s="1263"/>
      <c r="Y29" s="3375"/>
      <c r="Z29" s="1262">
        <f t="shared" si="15"/>
        <v>111</v>
      </c>
      <c r="AA29" s="1262">
        <f t="shared" si="3"/>
        <v>1</v>
      </c>
      <c r="AB29" s="1262">
        <f t="shared" si="4"/>
        <v>1</v>
      </c>
      <c r="AC29" s="1262">
        <f t="shared" si="5"/>
        <v>1</v>
      </c>
    </row>
    <row r="30" spans="1:29" ht="15">
      <c r="A30" s="367"/>
      <c r="B30" s="1064">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373"/>
      <c r="Q30" s="1261">
        <f t="shared" si="11"/>
        <v>111</v>
      </c>
      <c r="R30" s="667" t="s">
        <v>14</v>
      </c>
      <c r="S30" s="668">
        <f t="shared" si="12"/>
        <v>100</v>
      </c>
      <c r="T30" s="667" t="s">
        <v>14</v>
      </c>
      <c r="U30" s="668">
        <f t="shared" si="13"/>
        <v>100</v>
      </c>
      <c r="V30" s="667" t="s">
        <v>14</v>
      </c>
      <c r="W30" s="668">
        <f t="shared" si="14"/>
        <v>100</v>
      </c>
      <c r="X30" s="1263"/>
      <c r="Y30" s="3375"/>
      <c r="Z30" s="1262">
        <f t="shared" si="15"/>
        <v>111</v>
      </c>
      <c r="AA30" s="1262">
        <f t="shared" si="3"/>
        <v>1</v>
      </c>
      <c r="AB30" s="1262">
        <f t="shared" si="4"/>
        <v>1</v>
      </c>
      <c r="AC30" s="1262">
        <f t="shared" si="5"/>
        <v>1</v>
      </c>
    </row>
    <row r="31" spans="1:29" ht="15.6" thickBot="1">
      <c r="A31" s="375"/>
      <c r="B31" s="1064">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373"/>
      <c r="Q31" s="1261">
        <f t="shared" si="11"/>
        <v>111</v>
      </c>
      <c r="R31" s="667" t="s">
        <v>14</v>
      </c>
      <c r="S31" s="668">
        <f t="shared" si="12"/>
        <v>100</v>
      </c>
      <c r="T31" s="667" t="s">
        <v>14</v>
      </c>
      <c r="U31" s="668">
        <f t="shared" si="13"/>
        <v>100</v>
      </c>
      <c r="V31" s="667" t="s">
        <v>14</v>
      </c>
      <c r="W31" s="668">
        <f t="shared" si="14"/>
        <v>100</v>
      </c>
      <c r="X31" s="1263"/>
      <c r="Y31" s="3375"/>
      <c r="Z31" s="1262">
        <f t="shared" si="15"/>
        <v>111</v>
      </c>
      <c r="AA31" s="1262">
        <f t="shared" si="3"/>
        <v>1</v>
      </c>
      <c r="AB31" s="1262">
        <f t="shared" si="4"/>
        <v>1</v>
      </c>
      <c r="AC31" s="1262">
        <f t="shared" si="5"/>
        <v>1</v>
      </c>
    </row>
    <row r="32" spans="1:29" ht="15">
      <c r="A32" s="379" t="s">
        <v>1694</v>
      </c>
      <c r="B32" s="60" t="s">
        <v>1784</v>
      </c>
      <c r="C32" s="1762" t="s">
        <v>3544</v>
      </c>
      <c r="D32" s="405">
        <v>100</v>
      </c>
      <c r="E32" s="1762" t="s">
        <v>3544</v>
      </c>
      <c r="F32" s="400">
        <f>SUMIF(100:100,E32,101:101)-SUMIF(100:100,C32,101:101)+100</f>
        <v>100</v>
      </c>
      <c r="G32" s="1762" t="s">
        <v>3544</v>
      </c>
      <c r="H32" s="374">
        <f>SUMIF(100:100,G32,101:101)-SUMIF(100:100,C32,101:101)+100</f>
        <v>100</v>
      </c>
      <c r="I32" s="1762" t="s">
        <v>3544</v>
      </c>
      <c r="J32" s="405">
        <f>SUMIF(100:100,I32,101:101)-SUMIF(100:100,C32,101:101)+100</f>
        <v>100</v>
      </c>
      <c r="K32" s="538">
        <v>2</v>
      </c>
      <c r="L32" s="2488"/>
      <c r="M32" s="2483"/>
      <c r="N32" s="2483"/>
      <c r="O32" s="2483"/>
      <c r="P32" s="3376" t="s">
        <v>1696</v>
      </c>
      <c r="Q32" s="1261" t="str">
        <f t="shared" si="11"/>
        <v>商业类型</v>
      </c>
      <c r="R32" s="667" t="s">
        <v>14</v>
      </c>
      <c r="S32" s="668">
        <f t="shared" si="12"/>
        <v>100</v>
      </c>
      <c r="T32" s="667" t="s">
        <v>14</v>
      </c>
      <c r="U32" s="668">
        <f t="shared" si="13"/>
        <v>100</v>
      </c>
      <c r="V32" s="667" t="s">
        <v>14</v>
      </c>
      <c r="W32" s="668">
        <f t="shared" si="14"/>
        <v>100</v>
      </c>
      <c r="X32" s="1263"/>
      <c r="Y32" s="3379" t="s">
        <v>1696</v>
      </c>
      <c r="Z32" s="1262" t="str">
        <f t="shared" si="15"/>
        <v>商业类型</v>
      </c>
      <c r="AA32" s="1262">
        <f t="shared" si="3"/>
        <v>1</v>
      </c>
      <c r="AB32" s="1262">
        <f t="shared" si="4"/>
        <v>1</v>
      </c>
      <c r="AC32" s="1262">
        <f t="shared" si="5"/>
        <v>1</v>
      </c>
    </row>
    <row r="33" spans="1:29" s="408" customFormat="1" ht="15">
      <c r="A33" s="406"/>
      <c r="B33" s="364" t="s">
        <v>1697</v>
      </c>
      <c r="C33" s="407">
        <f>'数据-汇总表'!E19</f>
        <v>245.74</v>
      </c>
      <c r="D33" s="119">
        <v>100</v>
      </c>
      <c r="E33" s="369">
        <v>278</v>
      </c>
      <c r="F33" s="364">
        <f>LOOKUP(E33,103:103,104:104)-LOOKUP(C33,103:103,104:104)+100</f>
        <v>100</v>
      </c>
      <c r="G33" s="368">
        <v>245</v>
      </c>
      <c r="H33" s="119">
        <f>LOOKUP(G33,103:103,104:104)-LOOKUP(C33,103:103,104:104)+100</f>
        <v>100</v>
      </c>
      <c r="I33" s="368">
        <v>322</v>
      </c>
      <c r="J33" s="119">
        <f>LOOKUP(I33,103:103,104:104)-LOOKUP(C33,103:103,104:104)+100</f>
        <v>100</v>
      </c>
      <c r="K33" s="539"/>
      <c r="L33" s="2487"/>
      <c r="M33" s="2489"/>
      <c r="N33" s="2489"/>
      <c r="O33" s="2489"/>
      <c r="P33" s="3377"/>
      <c r="Q33" s="531" t="str">
        <f t="shared" si="11"/>
        <v>项目建筑规模</v>
      </c>
      <c r="R33" s="669" t="s">
        <v>14</v>
      </c>
      <c r="S33" s="670">
        <f t="shared" si="12"/>
        <v>100</v>
      </c>
      <c r="T33" s="669" t="s">
        <v>14</v>
      </c>
      <c r="U33" s="670">
        <f t="shared" si="13"/>
        <v>100</v>
      </c>
      <c r="V33" s="669" t="s">
        <v>14</v>
      </c>
      <c r="W33" s="670">
        <f t="shared" si="14"/>
        <v>100</v>
      </c>
      <c r="X33" s="671"/>
      <c r="Y33" s="3379"/>
      <c r="Z33" s="672" t="str">
        <f t="shared" si="15"/>
        <v>项目建筑规模</v>
      </c>
      <c r="AA33" s="1262">
        <f t="shared" si="3"/>
        <v>1</v>
      </c>
      <c r="AB33" s="1262">
        <f t="shared" si="4"/>
        <v>1</v>
      </c>
      <c r="AC33" s="1262">
        <f t="shared" si="5"/>
        <v>1</v>
      </c>
    </row>
    <row r="34" spans="1:29" ht="15">
      <c r="A34" s="409"/>
      <c r="B34" s="364" t="s">
        <v>1698</v>
      </c>
      <c r="C34" s="399" t="s">
        <v>3417</v>
      </c>
      <c r="D34" s="374">
        <v>100</v>
      </c>
      <c r="E34" s="399" t="s">
        <v>3417</v>
      </c>
      <c r="F34" s="400">
        <f>SUMIF(105:105,E34,106:106)-SUMIF(105:105,C34,106:106)+100</f>
        <v>100</v>
      </c>
      <c r="G34" s="399" t="s">
        <v>3417</v>
      </c>
      <c r="H34" s="374">
        <f>SUMIF(105:105,G34,106:106)-SUMIF(105:105,C34,106:106)+100</f>
        <v>100</v>
      </c>
      <c r="I34" s="399" t="s">
        <v>3417</v>
      </c>
      <c r="J34" s="374">
        <f>SUMIF(105:105,I34,106:106)-SUMIF(105:105,C34,106:106)+100</f>
        <v>100</v>
      </c>
      <c r="K34" s="538">
        <v>2</v>
      </c>
      <c r="L34" s="2488"/>
      <c r="M34" s="2483"/>
      <c r="N34" s="2483"/>
      <c r="O34" s="2483"/>
      <c r="P34" s="3377"/>
      <c r="Q34" s="1261" t="str">
        <f t="shared" si="11"/>
        <v>建筑结构</v>
      </c>
      <c r="R34" s="667" t="s">
        <v>14</v>
      </c>
      <c r="S34" s="668">
        <f t="shared" si="12"/>
        <v>100</v>
      </c>
      <c r="T34" s="667" t="s">
        <v>14</v>
      </c>
      <c r="U34" s="668">
        <f t="shared" si="13"/>
        <v>100</v>
      </c>
      <c r="V34" s="667" t="s">
        <v>14</v>
      </c>
      <c r="W34" s="668">
        <f t="shared" si="14"/>
        <v>100</v>
      </c>
      <c r="X34" s="1263"/>
      <c r="Y34" s="3379"/>
      <c r="Z34" s="1262" t="str">
        <f t="shared" si="15"/>
        <v>建筑结构</v>
      </c>
      <c r="AA34" s="1262">
        <f t="shared" si="3"/>
        <v>1</v>
      </c>
      <c r="AB34" s="1262">
        <f t="shared" si="4"/>
        <v>1</v>
      </c>
      <c r="AC34" s="1262">
        <f t="shared" si="5"/>
        <v>1</v>
      </c>
    </row>
    <row r="35" spans="1:29" ht="15">
      <c r="A35" s="409"/>
      <c r="B35" s="364" t="s">
        <v>1785</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88"/>
      <c r="M35" s="2483"/>
      <c r="N35" s="2483"/>
      <c r="O35" s="2483"/>
      <c r="P35" s="3377"/>
      <c r="Q35" s="1261" t="str">
        <f t="shared" si="11"/>
        <v>公共部分装修</v>
      </c>
      <c r="R35" s="667" t="s">
        <v>14</v>
      </c>
      <c r="S35" s="668">
        <f t="shared" si="12"/>
        <v>100</v>
      </c>
      <c r="T35" s="667" t="s">
        <v>14</v>
      </c>
      <c r="U35" s="668">
        <f t="shared" si="13"/>
        <v>100</v>
      </c>
      <c r="V35" s="667" t="s">
        <v>14</v>
      </c>
      <c r="W35" s="668">
        <f t="shared" si="14"/>
        <v>100</v>
      </c>
      <c r="X35" s="1263"/>
      <c r="Y35" s="3379"/>
      <c r="Z35" s="1262" t="str">
        <f t="shared" si="15"/>
        <v>公共部分装修</v>
      </c>
      <c r="AA35" s="1262">
        <f t="shared" si="3"/>
        <v>1</v>
      </c>
      <c r="AB35" s="1262">
        <f t="shared" si="4"/>
        <v>1</v>
      </c>
      <c r="AC35" s="1262">
        <f t="shared" si="5"/>
        <v>1</v>
      </c>
    </row>
    <row r="36" spans="1:29" ht="15">
      <c r="A36" s="409"/>
      <c r="B36" s="364" t="s">
        <v>1786</v>
      </c>
      <c r="C36" s="411">
        <f>'数据-取费表'!N6</f>
        <v>0.81</v>
      </c>
      <c r="D36" s="374">
        <v>100</v>
      </c>
      <c r="E36" s="411">
        <v>0.8</v>
      </c>
      <c r="F36" s="400">
        <f>LOOKUP(E36,110:110,111:111)-LOOKUP(C36,110:110,111:111)+100</f>
        <v>100</v>
      </c>
      <c r="G36" s="411">
        <v>0.8</v>
      </c>
      <c r="H36" s="400">
        <f>LOOKUP(G36,110:110,111:111)-LOOKUP(C36,110:110,111:111)+100</f>
        <v>100</v>
      </c>
      <c r="I36" s="411">
        <v>0.8</v>
      </c>
      <c r="J36" s="374">
        <f>LOOKUP(I36,110:110,111:111)-LOOKUP(C36,110:110,111:111)+100</f>
        <v>100</v>
      </c>
      <c r="K36" s="538">
        <v>1</v>
      </c>
      <c r="L36" s="2488"/>
      <c r="M36" s="2483"/>
      <c r="N36" s="2483"/>
      <c r="O36" s="2483"/>
      <c r="P36" s="3377"/>
      <c r="Q36" s="1261" t="str">
        <f t="shared" si="11"/>
        <v>成新度</v>
      </c>
      <c r="R36" s="667" t="s">
        <v>14</v>
      </c>
      <c r="S36" s="668">
        <f t="shared" si="12"/>
        <v>100</v>
      </c>
      <c r="T36" s="667" t="s">
        <v>14</v>
      </c>
      <c r="U36" s="668">
        <f t="shared" si="13"/>
        <v>100</v>
      </c>
      <c r="V36" s="667" t="s">
        <v>14</v>
      </c>
      <c r="W36" s="668">
        <f t="shared" si="14"/>
        <v>100</v>
      </c>
      <c r="X36" s="1263"/>
      <c r="Y36" s="3379"/>
      <c r="Z36" s="1262" t="str">
        <f t="shared" si="15"/>
        <v>成新度</v>
      </c>
      <c r="AA36" s="1262">
        <f t="shared" si="3"/>
        <v>1</v>
      </c>
      <c r="AB36" s="1262">
        <f t="shared" si="4"/>
        <v>1</v>
      </c>
      <c r="AC36" s="1262">
        <f t="shared" si="5"/>
        <v>1</v>
      </c>
    </row>
    <row r="37" spans="1:29" s="102" customFormat="1" ht="15">
      <c r="A37" s="410"/>
      <c r="B37" s="364" t="s">
        <v>1787</v>
      </c>
      <c r="C37" s="1758" t="s">
        <v>3549</v>
      </c>
      <c r="D37" s="119">
        <v>100</v>
      </c>
      <c r="E37" s="1758" t="s">
        <v>3549</v>
      </c>
      <c r="F37" s="400">
        <f>SUMIF(112:112,E37,113:113)-SUMIF(112:112,C37,113:113)+100</f>
        <v>100</v>
      </c>
      <c r="G37" s="1758" t="s">
        <v>3549</v>
      </c>
      <c r="H37" s="374">
        <f>SUMIF(112:112,G37,113:113)-SUMIF(112:112,C37,113:113)+100</f>
        <v>100</v>
      </c>
      <c r="I37" s="1758" t="s">
        <v>3549</v>
      </c>
      <c r="J37" s="374">
        <f>SUMIF(112:112,I37,113:113)-SUMIF(112:112,C37,113:113)+100</f>
        <v>100</v>
      </c>
      <c r="K37" s="538">
        <v>1</v>
      </c>
      <c r="L37" s="2484"/>
      <c r="M37" s="2436"/>
      <c r="N37" s="2436"/>
      <c r="O37" s="2436"/>
      <c r="P37" s="3377"/>
      <c r="Q37" s="530" t="str">
        <f t="shared" si="11"/>
        <v>市政基础设施</v>
      </c>
      <c r="R37" s="664" t="s">
        <v>14</v>
      </c>
      <c r="S37" s="665">
        <f t="shared" si="12"/>
        <v>100</v>
      </c>
      <c r="T37" s="664" t="s">
        <v>14</v>
      </c>
      <c r="U37" s="665">
        <f t="shared" si="13"/>
        <v>100</v>
      </c>
      <c r="V37" s="664" t="s">
        <v>14</v>
      </c>
      <c r="W37" s="665">
        <f t="shared" si="14"/>
        <v>100</v>
      </c>
      <c r="X37" s="666"/>
      <c r="Y37" s="3379"/>
      <c r="Z37" s="50" t="str">
        <f t="shared" si="15"/>
        <v>市政基础设施</v>
      </c>
      <c r="AA37" s="50">
        <f t="shared" si="3"/>
        <v>1</v>
      </c>
      <c r="AB37" s="50">
        <f t="shared" si="4"/>
        <v>1</v>
      </c>
      <c r="AC37" s="50">
        <f t="shared" si="5"/>
        <v>1</v>
      </c>
    </row>
    <row r="38" spans="1:29" ht="15">
      <c r="A38" s="409"/>
      <c r="B38" s="364" t="s">
        <v>1788</v>
      </c>
      <c r="C38" s="1758" t="s">
        <v>3553</v>
      </c>
      <c r="D38" s="374">
        <v>100</v>
      </c>
      <c r="E38" s="1758" t="s">
        <v>3553</v>
      </c>
      <c r="F38" s="400">
        <f>SUMIF(114:114,E38,115:115)-SUMIF(114:114,C38,115:115)+100</f>
        <v>100</v>
      </c>
      <c r="G38" s="1758" t="s">
        <v>3553</v>
      </c>
      <c r="H38" s="374">
        <f>SUMIF(114:114,G38,115:115)-SUMIF(114:114,C38,115:115)+100</f>
        <v>100</v>
      </c>
      <c r="I38" s="1758" t="s">
        <v>3553</v>
      </c>
      <c r="J38" s="374">
        <f>SUMIF(114:114,I38,115:115)-SUMIF(114:114,C38,115:115)+100</f>
        <v>100</v>
      </c>
      <c r="K38" s="538">
        <v>5</v>
      </c>
      <c r="L38" s="2488"/>
      <c r="M38" s="2483"/>
      <c r="N38" s="2483"/>
      <c r="O38" s="2483"/>
      <c r="P38" s="3377" t="s">
        <v>1696</v>
      </c>
      <c r="Q38" s="1261" t="str">
        <f t="shared" si="11"/>
        <v>业态</v>
      </c>
      <c r="R38" s="667" t="s">
        <v>14</v>
      </c>
      <c r="S38" s="668">
        <f t="shared" si="12"/>
        <v>100</v>
      </c>
      <c r="T38" s="667" t="s">
        <v>14</v>
      </c>
      <c r="U38" s="668">
        <f t="shared" si="13"/>
        <v>100</v>
      </c>
      <c r="V38" s="667" t="s">
        <v>14</v>
      </c>
      <c r="W38" s="668">
        <f t="shared" si="14"/>
        <v>100</v>
      </c>
      <c r="X38" s="1263"/>
      <c r="Y38" s="3379" t="s">
        <v>1696</v>
      </c>
      <c r="Z38" s="1262" t="str">
        <f t="shared" si="15"/>
        <v>业态</v>
      </c>
      <c r="AA38" s="1262">
        <f t="shared" si="3"/>
        <v>1</v>
      </c>
      <c r="AB38" s="1262">
        <f t="shared" si="4"/>
        <v>1</v>
      </c>
      <c r="AC38" s="1262">
        <f t="shared" si="5"/>
        <v>1</v>
      </c>
    </row>
    <row r="39" spans="1:29" ht="15">
      <c r="A39" s="409"/>
      <c r="B39" s="364" t="s">
        <v>1789</v>
      </c>
      <c r="C39" s="1758" t="s">
        <v>3573</v>
      </c>
      <c r="D39" s="374">
        <v>100</v>
      </c>
      <c r="E39" s="1758" t="s">
        <v>3573</v>
      </c>
      <c r="F39" s="400">
        <f>SUMIF(116:116,E39,117:117)-SUMIF(116:116,C39,117:117)+100</f>
        <v>100</v>
      </c>
      <c r="G39" s="1758" t="s">
        <v>3573</v>
      </c>
      <c r="H39" s="374">
        <f>SUMIF(116:116,G39,117:117)-SUMIF(116:116,C39,117:117)+100</f>
        <v>100</v>
      </c>
      <c r="I39" s="1758" t="s">
        <v>3573</v>
      </c>
      <c r="J39" s="374">
        <f>SUMIF(116:116,I39,117:117)-SUMIF(116:116,C39,117:117)+100</f>
        <v>100</v>
      </c>
      <c r="K39" s="538">
        <v>5</v>
      </c>
      <c r="L39" s="2488"/>
      <c r="M39" s="2483"/>
      <c r="N39" s="2483"/>
      <c r="O39" s="2483"/>
      <c r="P39" s="3377"/>
      <c r="Q39" s="1261" t="str">
        <f t="shared" si="11"/>
        <v>层高</v>
      </c>
      <c r="R39" s="667" t="s">
        <v>14</v>
      </c>
      <c r="S39" s="668">
        <f t="shared" si="12"/>
        <v>100</v>
      </c>
      <c r="T39" s="667" t="s">
        <v>14</v>
      </c>
      <c r="U39" s="668">
        <f t="shared" si="13"/>
        <v>100</v>
      </c>
      <c r="V39" s="667" t="s">
        <v>14</v>
      </c>
      <c r="W39" s="668">
        <f t="shared" si="14"/>
        <v>100</v>
      </c>
      <c r="X39" s="1263"/>
      <c r="Y39" s="3379"/>
      <c r="Z39" s="1262" t="str">
        <f t="shared" si="15"/>
        <v>层高</v>
      </c>
      <c r="AA39" s="1262">
        <f t="shared" si="3"/>
        <v>1</v>
      </c>
      <c r="AB39" s="1262">
        <f t="shared" si="4"/>
        <v>1</v>
      </c>
      <c r="AC39" s="1262">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377"/>
      <c r="Q40" s="1261" t="str">
        <f t="shared" si="11"/>
        <v>单套建筑面积</v>
      </c>
      <c r="R40" s="667" t="s">
        <v>14</v>
      </c>
      <c r="S40" s="668">
        <f t="shared" si="12"/>
        <v>100</v>
      </c>
      <c r="T40" s="667" t="s">
        <v>14</v>
      </c>
      <c r="U40" s="668">
        <f t="shared" si="13"/>
        <v>100</v>
      </c>
      <c r="V40" s="667" t="s">
        <v>14</v>
      </c>
      <c r="W40" s="668">
        <f t="shared" si="14"/>
        <v>100</v>
      </c>
      <c r="X40" s="1263"/>
      <c r="Y40" s="3379"/>
      <c r="Z40" s="1262" t="str">
        <f t="shared" si="15"/>
        <v>单套建筑面积</v>
      </c>
      <c r="AA40" s="1262">
        <f t="shared" si="3"/>
        <v>1</v>
      </c>
      <c r="AB40" s="1262">
        <f t="shared" si="4"/>
        <v>1</v>
      </c>
      <c r="AC40" s="1262">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377"/>
      <c r="Q41" s="531" t="str">
        <f t="shared" si="11"/>
        <v>进深比</v>
      </c>
      <c r="R41" s="669" t="s">
        <v>14</v>
      </c>
      <c r="S41" s="670">
        <f t="shared" si="12"/>
        <v>100</v>
      </c>
      <c r="T41" s="669" t="s">
        <v>14</v>
      </c>
      <c r="U41" s="670">
        <f t="shared" si="13"/>
        <v>100</v>
      </c>
      <c r="V41" s="669" t="s">
        <v>14</v>
      </c>
      <c r="W41" s="670">
        <f t="shared" si="14"/>
        <v>100</v>
      </c>
      <c r="X41" s="671"/>
      <c r="Y41" s="3379"/>
      <c r="Z41" s="672" t="str">
        <f t="shared" si="15"/>
        <v>进深比</v>
      </c>
      <c r="AA41" s="1262">
        <f t="shared" si="3"/>
        <v>1</v>
      </c>
      <c r="AB41" s="1262">
        <f t="shared" si="4"/>
        <v>1</v>
      </c>
      <c r="AC41" s="1262">
        <f t="shared" si="5"/>
        <v>1</v>
      </c>
    </row>
    <row r="42" spans="1:29" ht="27.6">
      <c r="A42" s="409"/>
      <c r="B42" s="364" t="s">
        <v>1792</v>
      </c>
      <c r="C42" s="1758" t="s">
        <v>3581</v>
      </c>
      <c r="D42" s="374">
        <v>100</v>
      </c>
      <c r="E42" s="1758" t="s">
        <v>3557</v>
      </c>
      <c r="F42" s="400">
        <f>SUMIF(122:122,E42,123:123)-SUMIF(122:122,C42,123:123)+100</f>
        <v>101</v>
      </c>
      <c r="G42" s="1758" t="s">
        <v>3557</v>
      </c>
      <c r="H42" s="374">
        <f>SUMIF(122:122,G42,123:123)-SUMIF(122:122,C42,123:123)+100</f>
        <v>101</v>
      </c>
      <c r="I42" s="1758" t="s">
        <v>3557</v>
      </c>
      <c r="J42" s="374">
        <f>SUMIF(122:122,I42,123:123)-SUMIF(122:122,C42,123:123)+100</f>
        <v>101</v>
      </c>
      <c r="K42" s="538">
        <v>1</v>
      </c>
      <c r="L42" s="2488"/>
      <c r="M42" s="2483"/>
      <c r="N42" s="2483"/>
      <c r="O42" s="2483"/>
      <c r="P42" s="3377"/>
      <c r="Q42" s="1261" t="str">
        <f t="shared" si="11"/>
        <v>内部装修</v>
      </c>
      <c r="R42" s="667" t="s">
        <v>14</v>
      </c>
      <c r="S42" s="668">
        <f t="shared" si="12"/>
        <v>101</v>
      </c>
      <c r="T42" s="667" t="s">
        <v>14</v>
      </c>
      <c r="U42" s="668">
        <f t="shared" si="13"/>
        <v>101</v>
      </c>
      <c r="V42" s="667" t="s">
        <v>14</v>
      </c>
      <c r="W42" s="668">
        <f t="shared" si="14"/>
        <v>101</v>
      </c>
      <c r="X42" s="1263"/>
      <c r="Y42" s="3379"/>
      <c r="Z42" s="1262" t="str">
        <f t="shared" si="15"/>
        <v>内部装修</v>
      </c>
      <c r="AA42" s="1262">
        <f t="shared" si="3"/>
        <v>0.99009900990099009</v>
      </c>
      <c r="AB42" s="1262">
        <f t="shared" si="4"/>
        <v>0.99009900990099009</v>
      </c>
      <c r="AC42" s="1262">
        <f t="shared" si="5"/>
        <v>0.99009900990099009</v>
      </c>
    </row>
    <row r="43" spans="1:29" ht="28.8">
      <c r="A43" s="409"/>
      <c r="B43" s="364" t="s">
        <v>1707</v>
      </c>
      <c r="C43" s="1758" t="s">
        <v>3449</v>
      </c>
      <c r="D43" s="374">
        <v>100</v>
      </c>
      <c r="E43" s="1758" t="s">
        <v>3449</v>
      </c>
      <c r="F43" s="400">
        <f>SUMIF(124:124,E43,125:125)-SUMIF(124:124,C43,125:125)+100</f>
        <v>100</v>
      </c>
      <c r="G43" s="1758" t="s">
        <v>3449</v>
      </c>
      <c r="H43" s="374">
        <f>SUMIF(124:124,G43,125:125)-SUMIF(124:124,C43,125:125)+100</f>
        <v>100</v>
      </c>
      <c r="I43" s="1758" t="s">
        <v>3449</v>
      </c>
      <c r="J43" s="374">
        <f>SUMIF(124:124,I43,125:125)-SUMIF(124:124,C43,125:125)+100</f>
        <v>100</v>
      </c>
      <c r="K43" s="538">
        <v>2</v>
      </c>
      <c r="L43" s="2488"/>
      <c r="M43" s="2483"/>
      <c r="N43" s="2483"/>
      <c r="O43" s="2483"/>
      <c r="P43" s="3377"/>
      <c r="Q43" s="1261" t="str">
        <f t="shared" si="11"/>
        <v>内部装修维护情况</v>
      </c>
      <c r="R43" s="667" t="s">
        <v>14</v>
      </c>
      <c r="S43" s="668">
        <f t="shared" si="12"/>
        <v>100</v>
      </c>
      <c r="T43" s="667" t="s">
        <v>14</v>
      </c>
      <c r="U43" s="668">
        <f t="shared" si="13"/>
        <v>100</v>
      </c>
      <c r="V43" s="667" t="s">
        <v>14</v>
      </c>
      <c r="W43" s="668">
        <f t="shared" si="14"/>
        <v>100</v>
      </c>
      <c r="X43" s="1263"/>
      <c r="Y43" s="3379"/>
      <c r="Z43" s="1262" t="str">
        <f t="shared" si="15"/>
        <v>内部装修维护情况</v>
      </c>
      <c r="AA43" s="1262">
        <f t="shared" si="3"/>
        <v>1</v>
      </c>
      <c r="AB43" s="1262">
        <f t="shared" si="4"/>
        <v>1</v>
      </c>
      <c r="AC43" s="1262">
        <f t="shared" si="5"/>
        <v>1</v>
      </c>
    </row>
    <row r="44" spans="1:29" s="102" customFormat="1" ht="15">
      <c r="A44" s="410"/>
      <c r="B44" s="1064" t="s">
        <v>3603</v>
      </c>
      <c r="C44" s="407" t="s">
        <v>3624</v>
      </c>
      <c r="D44" s="119">
        <v>100</v>
      </c>
      <c r="E44" s="373" t="s">
        <v>3626</v>
      </c>
      <c r="F44" s="364">
        <f>SUMIF(126:126,E44,127:127)-SUMIF(126:126,C44,127:127)+100</f>
        <v>98</v>
      </c>
      <c r="G44" s="373" t="s">
        <v>3626</v>
      </c>
      <c r="H44" s="119">
        <f>SUMIF(126:126,G44,127:127)-SUMIF(126:126,C44,127:127)+100</f>
        <v>98</v>
      </c>
      <c r="I44" s="373" t="s">
        <v>3626</v>
      </c>
      <c r="J44" s="119">
        <f>SUMIF(126:126,I44,127:127)-SUMIF(126:126,C44,127:127)+100</f>
        <v>98</v>
      </c>
      <c r="K44" s="539"/>
      <c r="L44" s="2484"/>
      <c r="M44" s="2436"/>
      <c r="N44" s="2436"/>
      <c r="O44" s="2436"/>
      <c r="P44" s="3377"/>
      <c r="Q44" s="530" t="str">
        <f t="shared" si="11"/>
        <v>1层面积占比</v>
      </c>
      <c r="R44" s="664" t="s">
        <v>14</v>
      </c>
      <c r="S44" s="665">
        <f t="shared" si="12"/>
        <v>98</v>
      </c>
      <c r="T44" s="664" t="s">
        <v>14</v>
      </c>
      <c r="U44" s="665">
        <f t="shared" si="13"/>
        <v>98</v>
      </c>
      <c r="V44" s="664" t="s">
        <v>14</v>
      </c>
      <c r="W44" s="665">
        <f t="shared" si="14"/>
        <v>98</v>
      </c>
      <c r="X44" s="666"/>
      <c r="Y44" s="3379"/>
      <c r="Z44" s="50" t="str">
        <f t="shared" si="15"/>
        <v>1层面积占比</v>
      </c>
      <c r="AA44" s="50">
        <f t="shared" si="3"/>
        <v>1.0204081632653061</v>
      </c>
      <c r="AB44" s="50">
        <f t="shared" si="4"/>
        <v>1.0204081632653061</v>
      </c>
      <c r="AC44" s="50">
        <f t="shared" si="5"/>
        <v>1.0204081632653061</v>
      </c>
    </row>
    <row r="45" spans="1:29" ht="43.2">
      <c r="A45" s="409"/>
      <c r="B45" s="1064">
        <v>111</v>
      </c>
      <c r="C45" s="373"/>
      <c r="D45" s="374">
        <v>100</v>
      </c>
      <c r="E45" s="373" t="s">
        <v>3642</v>
      </c>
      <c r="F45" s="400">
        <f>SUMIF(128:128,E45,129:129)-SUMIF(128:128,C45,129:129)+100</f>
        <v>100</v>
      </c>
      <c r="G45" s="373" t="s">
        <v>3642</v>
      </c>
      <c r="H45" s="374">
        <f>SUMIF(128:128,G45,129:129)-SUMIF(128:128,C45,129:129)+100</f>
        <v>100</v>
      </c>
      <c r="I45" s="373" t="s">
        <v>3642</v>
      </c>
      <c r="J45" s="374">
        <f>SUMIF(128:128,I45,129:129)-SUMIF(128:128,C45,129:129)+100</f>
        <v>100</v>
      </c>
      <c r="K45" s="539"/>
      <c r="L45" s="2488"/>
      <c r="M45" s="2483"/>
      <c r="N45" s="2483"/>
      <c r="O45" s="2483"/>
      <c r="P45" s="3377"/>
      <c r="Q45" s="1261">
        <f t="shared" si="11"/>
        <v>111</v>
      </c>
      <c r="R45" s="667" t="s">
        <v>14</v>
      </c>
      <c r="S45" s="668">
        <f t="shared" si="12"/>
        <v>100</v>
      </c>
      <c r="T45" s="667" t="s">
        <v>14</v>
      </c>
      <c r="U45" s="668">
        <f t="shared" si="13"/>
        <v>100</v>
      </c>
      <c r="V45" s="667" t="s">
        <v>14</v>
      </c>
      <c r="W45" s="668">
        <f t="shared" si="14"/>
        <v>100</v>
      </c>
      <c r="X45" s="1263"/>
      <c r="Y45" s="3379"/>
      <c r="Z45" s="1262">
        <f t="shared" si="15"/>
        <v>111</v>
      </c>
      <c r="AA45" s="1262">
        <f t="shared" si="3"/>
        <v>1</v>
      </c>
      <c r="AB45" s="1262">
        <f t="shared" si="4"/>
        <v>1</v>
      </c>
      <c r="AC45" s="1262">
        <f t="shared" si="5"/>
        <v>1</v>
      </c>
    </row>
    <row r="46" spans="1:29" ht="15.6"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378"/>
      <c r="Q46" s="1261">
        <f t="shared" si="11"/>
        <v>111</v>
      </c>
      <c r="R46" s="667" t="s">
        <v>14</v>
      </c>
      <c r="S46" s="668">
        <f t="shared" si="12"/>
        <v>100</v>
      </c>
      <c r="T46" s="667" t="s">
        <v>14</v>
      </c>
      <c r="U46" s="668">
        <f t="shared" si="13"/>
        <v>100</v>
      </c>
      <c r="V46" s="667" t="s">
        <v>14</v>
      </c>
      <c r="W46" s="668">
        <f t="shared" si="14"/>
        <v>100</v>
      </c>
      <c r="X46" s="1263"/>
      <c r="Y46" s="3380"/>
      <c r="Z46" s="1262">
        <f t="shared" si="15"/>
        <v>111</v>
      </c>
      <c r="AA46" s="1262">
        <f t="shared" si="3"/>
        <v>1</v>
      </c>
      <c r="AB46" s="1262">
        <f t="shared" si="4"/>
        <v>1</v>
      </c>
      <c r="AC46" s="1262">
        <f t="shared" si="5"/>
        <v>1</v>
      </c>
    </row>
    <row r="47" spans="1:29" ht="14.4">
      <c r="A47" s="416" t="s">
        <v>1708</v>
      </c>
      <c r="B47" s="417"/>
      <c r="C47" s="1079" t="s">
        <v>0</v>
      </c>
      <c r="D47" s="418"/>
      <c r="E47" s="419">
        <f>案例!C6</f>
        <v>55614</v>
      </c>
      <c r="F47" s="420"/>
      <c r="G47" s="421">
        <f>案例!C7</f>
        <v>59388</v>
      </c>
      <c r="H47" s="422"/>
      <c r="I47" s="419">
        <f>案例!C8</f>
        <v>51242</v>
      </c>
      <c r="J47" s="422"/>
      <c r="K47" s="674"/>
      <c r="L47" s="2490"/>
      <c r="M47" s="2483"/>
      <c r="N47" s="2483"/>
      <c r="O47" s="2483"/>
      <c r="P47" s="3367" t="str">
        <f>A47</f>
        <v>成交单价（元/平方米）</v>
      </c>
      <c r="Q47" s="3367"/>
      <c r="R47" s="3368">
        <f>E47</f>
        <v>55614</v>
      </c>
      <c r="S47" s="3368"/>
      <c r="T47" s="3368">
        <f>G47</f>
        <v>59388</v>
      </c>
      <c r="U47" s="3368"/>
      <c r="V47" s="3368">
        <f>I47</f>
        <v>51242</v>
      </c>
      <c r="W47" s="3368"/>
      <c r="X47" s="385"/>
      <c r="Y47" s="673"/>
      <c r="Z47" s="385"/>
      <c r="AA47" s="385"/>
      <c r="AB47" s="385"/>
      <c r="AC47" s="385"/>
    </row>
    <row r="48" spans="1:29" ht="15" thickBot="1">
      <c r="A48" s="423" t="s">
        <v>1793</v>
      </c>
      <c r="B48" s="424"/>
      <c r="C48" s="1080">
        <f>R49</f>
        <v>53320</v>
      </c>
      <c r="D48" s="2138" t="s">
        <v>2133</v>
      </c>
      <c r="E48" s="1081">
        <f>R48</f>
        <v>53512</v>
      </c>
      <c r="F48" s="2139"/>
      <c r="G48" s="1080">
        <f>T48</f>
        <v>57143</v>
      </c>
      <c r="H48" s="2139"/>
      <c r="I48" s="1081">
        <f>V48</f>
        <v>49305</v>
      </c>
      <c r="J48" s="2139"/>
      <c r="K48" s="2141">
        <f>F48+H48+J48</f>
        <v>0</v>
      </c>
      <c r="L48" s="2490"/>
      <c r="M48" s="2483"/>
      <c r="N48" s="2483"/>
      <c r="O48" s="2483"/>
      <c r="P48" s="3367" t="str">
        <f>A48</f>
        <v>比较价值（元/平方米）</v>
      </c>
      <c r="Q48" s="3367"/>
      <c r="R48" s="3368">
        <f>IF(F1="售价",ROUND(PRODUCT(R47,AA7:AA46),0),ROUND(PRODUCT(R47,AA7:AA46),1))</f>
        <v>53512</v>
      </c>
      <c r="S48" s="3368"/>
      <c r="T48" s="3368">
        <f>IF(F1="售价",ROUND(PRODUCT(T47,AB7:AB46),0),ROUND(PRODUCT(T47,AB7:AB46),1))</f>
        <v>57143</v>
      </c>
      <c r="U48" s="3368"/>
      <c r="V48" s="3368">
        <f>IF(F1="售价",ROUND(PRODUCT(V47,AC7:AC46),0),ROUND(PRODUCT(V47,AC7:AC46),1))</f>
        <v>49305</v>
      </c>
      <c r="W48" s="3368"/>
      <c r="X48" s="385"/>
      <c r="Y48" s="385"/>
      <c r="Z48" s="385"/>
      <c r="AA48" s="385"/>
      <c r="AB48" s="385"/>
      <c r="AC48" s="385"/>
    </row>
    <row r="49" spans="1:29" ht="15" thickBot="1">
      <c r="A49" s="427" t="s">
        <v>1794</v>
      </c>
      <c r="B49" s="428"/>
      <c r="C49" s="351">
        <f>R49</f>
        <v>53320</v>
      </c>
      <c r="D49" s="351"/>
      <c r="E49" s="351"/>
      <c r="F49" s="351"/>
      <c r="G49" s="351"/>
      <c r="H49" s="351"/>
      <c r="I49" s="351"/>
      <c r="J49" s="351"/>
      <c r="K49" s="675"/>
      <c r="L49" s="2490"/>
      <c r="M49" s="2483"/>
      <c r="N49" s="2483"/>
      <c r="O49" s="2483"/>
      <c r="P49" s="3369" t="str">
        <f>A49</f>
        <v>估价对象XX用房的比较价值（楼面单价，元/平方米）</v>
      </c>
      <c r="Q49" s="3370"/>
      <c r="R49" s="3371">
        <f>IF(F1="售价",ROUND(IF(D48="简单平均",AVERAGE(R48:V48),R48*F48+T48*H48+V48*J48),0),ROUND(IF(D48="简单平均",AVERAGE(R48:V48),R48*F48+T48*H48+V48*J48),1))</f>
        <v>53320</v>
      </c>
      <c r="S49" s="3371"/>
      <c r="T49" s="3371"/>
      <c r="U49" s="3371"/>
      <c r="V49" s="3371"/>
      <c r="W49" s="3371"/>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1795</v>
      </c>
      <c r="D52" s="433"/>
      <c r="E52" s="434">
        <f>IF(E47&lt;E48,E48/E47-1,E47/E48-1)</f>
        <v>3.9280908955000804E-2</v>
      </c>
      <c r="F52" s="435" t="str">
        <f>IF(OR(E52&gt;=0.3,E52&lt;=-0.3),"超过30%","")</f>
        <v/>
      </c>
      <c r="G52" s="434">
        <f>IF(G47&lt;G48,G48/G47-1,G47/G48-1)</f>
        <v>3.9287401781495479E-2</v>
      </c>
      <c r="H52" s="435" t="str">
        <f>IF(OR(G52&gt;=0.3,G52&lt;=-0.3),"超过30%","")</f>
        <v/>
      </c>
      <c r="I52" s="434">
        <f>IF(I47&lt;I48,I48/I47-1,I47/I48-1)</f>
        <v>3.928607646283333E-2</v>
      </c>
      <c r="J52" s="435" t="str">
        <f>IF(OR(I52&gt;=0.3,I52&lt;=-0.3),"超过30%","")</f>
        <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1796</v>
      </c>
      <c r="D53" s="436"/>
      <c r="E53" s="434">
        <f>IF(E48&lt;G48,G48/E48-1,E48/G48-1)</f>
        <v>6.7853939303333721E-2</v>
      </c>
      <c r="F53" s="435" t="str">
        <f>IF(OR(E53&gt;=0.2,E53&lt;=-0.2),"超过20%","")</f>
        <v/>
      </c>
      <c r="G53" s="434">
        <f>IF(G48&lt;I48,I48/G48-1,G48/I48-1)</f>
        <v>0.15896967853158905</v>
      </c>
      <c r="H53" s="435" t="str">
        <f>IF(OR(G53&gt;=0.2,G53&lt;=-0.2),"超过20%","")</f>
        <v/>
      </c>
      <c r="I53" s="434">
        <f>IF(I48&lt;E48,E48/I48-1,I48/E48-1)</f>
        <v>8.5326031842612338E-2</v>
      </c>
      <c r="J53" s="435" t="str">
        <f>IF(OR(I53&gt;=0.2,I53&lt;=-0.2),"超过20%","")</f>
        <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1797</v>
      </c>
      <c r="D54" s="436"/>
      <c r="E54" s="434">
        <f>IF(E47&lt;G47,G47/E47-1,E47/G47-1)</f>
        <v>6.7860610637609176E-2</v>
      </c>
      <c r="F54" s="435" t="str">
        <f>IF(OR(E54&gt;=0.3,E54&lt;=-0.3),"超过30%","")</f>
        <v/>
      </c>
      <c r="G54" s="434">
        <f>IF(G47&lt;I47,I47/G47-1,G47/I47-1)</f>
        <v>0.15897115647320548</v>
      </c>
      <c r="H54" s="435" t="str">
        <f>IF(OR(G54&gt;=0.3,G54&lt;=-0.3),"超过30%","")</f>
        <v/>
      </c>
      <c r="I54" s="434">
        <f>IF(I47&lt;E47,E47/I47-1,I47/E47-1)</f>
        <v>8.5320635416260115E-2</v>
      </c>
      <c r="J54" s="435" t="str">
        <f>IF(OR(I54&gt;=0.3,I54&lt;=-0.3),"超过30%","")</f>
        <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2.2" thickBot="1">
      <c r="A57" s="658" t="s">
        <v>1798</v>
      </c>
      <c r="B57" s="385"/>
      <c r="C57" s="659"/>
      <c r="D57" s="659"/>
      <c r="E57" s="659"/>
      <c r="F57" s="660"/>
      <c r="G57" s="660"/>
      <c r="H57" s="659"/>
      <c r="I57" s="659"/>
      <c r="J57" s="659"/>
      <c r="K57" s="661"/>
      <c r="L57" s="886"/>
      <c r="M57" s="884"/>
      <c r="N57" s="884"/>
      <c r="O57" s="884"/>
      <c r="P57" s="2503"/>
      <c r="Q57" s="2504"/>
      <c r="R57" s="2483"/>
      <c r="S57" s="2483"/>
      <c r="T57" s="2483"/>
      <c r="U57" s="2483"/>
      <c r="V57" s="2483"/>
      <c r="W57" s="2483"/>
      <c r="X57" s="2483"/>
      <c r="Y57" s="2483"/>
      <c r="Z57" s="2483"/>
      <c r="AA57" s="2483"/>
      <c r="AB57" s="2483"/>
      <c r="AC57" s="2483"/>
    </row>
    <row r="58" spans="1:29" s="442" customFormat="1" ht="14.4">
      <c r="A58" s="440" t="s">
        <v>1679</v>
      </c>
      <c r="B58" s="441"/>
      <c r="C58" s="1101" t="str">
        <f>YEAR(C7)&amp;"-"&amp;MONTH(C7)</f>
        <v>2025-5</v>
      </c>
      <c r="D58" s="1102">
        <f>EDATE(C58,-1)</f>
        <v>45748</v>
      </c>
      <c r="E58" s="1102">
        <f t="shared" ref="E58:N58" si="16">EDATE(D58,-1)</f>
        <v>45717</v>
      </c>
      <c r="F58" s="1102">
        <f t="shared" si="16"/>
        <v>45689</v>
      </c>
      <c r="G58" s="1102">
        <f t="shared" si="16"/>
        <v>45658</v>
      </c>
      <c r="H58" s="1102">
        <f t="shared" si="16"/>
        <v>45627</v>
      </c>
      <c r="I58" s="1102">
        <f t="shared" si="16"/>
        <v>45597</v>
      </c>
      <c r="J58" s="1102">
        <f t="shared" si="16"/>
        <v>45566</v>
      </c>
      <c r="K58" s="1102">
        <f t="shared" si="16"/>
        <v>45536</v>
      </c>
      <c r="L58" s="1102">
        <f t="shared" si="16"/>
        <v>45505</v>
      </c>
      <c r="M58" s="1102">
        <f t="shared" si="16"/>
        <v>45474</v>
      </c>
      <c r="N58" s="1102">
        <f t="shared" si="16"/>
        <v>45444</v>
      </c>
      <c r="O58" s="1102">
        <f>EDATE(N58,-1)</f>
        <v>45413</v>
      </c>
      <c r="P58" s="2505"/>
      <c r="Q58" s="2506"/>
      <c r="R58" s="2506"/>
      <c r="S58" s="2506"/>
      <c r="T58" s="2506"/>
      <c r="U58" s="2506"/>
      <c r="V58" s="2506"/>
      <c r="W58" s="2506"/>
      <c r="X58" s="2506"/>
      <c r="Y58" s="2506"/>
      <c r="Z58" s="2506"/>
      <c r="AA58" s="2506"/>
      <c r="AB58" s="2506"/>
      <c r="AC58" s="2506"/>
    </row>
    <row r="59" spans="1:29" s="102" customFormat="1">
      <c r="A59" s="443"/>
      <c r="B59" s="444"/>
      <c r="C59" s="1100">
        <v>100</v>
      </c>
      <c r="D59" s="446"/>
      <c r="E59" s="446"/>
      <c r="F59" s="446"/>
      <c r="G59" s="446"/>
      <c r="H59" s="446"/>
      <c r="I59" s="446"/>
      <c r="J59" s="446"/>
      <c r="K59" s="446"/>
      <c r="L59" s="446"/>
      <c r="M59" s="447"/>
      <c r="N59" s="446"/>
      <c r="O59" s="447"/>
      <c r="P59" s="2507"/>
      <c r="Q59" s="2436"/>
      <c r="R59" s="2436"/>
      <c r="S59" s="2436"/>
      <c r="T59" s="2436"/>
      <c r="U59" s="2436"/>
      <c r="V59" s="2436"/>
      <c r="W59" s="2436"/>
      <c r="X59" s="2436"/>
      <c r="Y59" s="2436"/>
      <c r="Z59" s="2436"/>
      <c r="AA59" s="2436"/>
      <c r="AB59" s="2436"/>
      <c r="AC59" s="2436"/>
    </row>
    <row r="60" spans="1:29" s="102" customFormat="1" ht="15" thickBot="1">
      <c r="A60" s="449" t="s">
        <v>1716</v>
      </c>
      <c r="B60" s="450"/>
      <c r="C60" s="451"/>
      <c r="D60" s="452"/>
      <c r="E60" s="452"/>
      <c r="F60" s="452"/>
      <c r="G60" s="452"/>
      <c r="H60" s="452"/>
      <c r="I60" s="452"/>
      <c r="J60" s="452"/>
      <c r="K60" s="452"/>
      <c r="L60" s="452"/>
      <c r="M60" s="453"/>
      <c r="N60" s="452"/>
      <c r="O60" s="453"/>
      <c r="P60" s="2507"/>
      <c r="Q60" s="2504"/>
      <c r="R60" s="2436"/>
      <c r="S60" s="2436"/>
      <c r="T60" s="2436"/>
      <c r="U60" s="2436"/>
      <c r="V60" s="2436"/>
      <c r="W60" s="2436"/>
      <c r="X60" s="2436"/>
      <c r="Y60" s="2436"/>
      <c r="Z60" s="2436"/>
      <c r="AA60" s="2436"/>
      <c r="AB60" s="2436"/>
      <c r="AC60" s="2436"/>
    </row>
    <row r="61" spans="1:29" s="102" customFormat="1" ht="14.4">
      <c r="A61" s="455" t="s">
        <v>1681</v>
      </c>
      <c r="B61" s="444"/>
      <c r="C61" s="456" t="s">
        <v>1776</v>
      </c>
      <c r="D61" s="3175" t="s">
        <v>3525</v>
      </c>
      <c r="E61" s="31"/>
      <c r="F61" s="31"/>
      <c r="G61" s="31"/>
      <c r="H61" s="31"/>
      <c r="I61" s="31"/>
      <c r="J61" s="31"/>
      <c r="K61" s="31"/>
      <c r="L61" s="457"/>
      <c r="M61" s="458"/>
      <c r="N61" s="2516"/>
      <c r="O61" s="2516"/>
      <c r="P61" s="2508"/>
      <c r="Q61" s="2504"/>
      <c r="R61" s="2436"/>
      <c r="S61" s="2436"/>
      <c r="T61" s="2436"/>
      <c r="U61" s="2436"/>
      <c r="V61" s="2436"/>
      <c r="W61" s="2436"/>
      <c r="X61" s="2436"/>
      <c r="Y61" s="2436"/>
      <c r="Z61" s="2436"/>
      <c r="AA61" s="2436"/>
      <c r="AB61" s="2436"/>
      <c r="AC61" s="2436"/>
    </row>
    <row r="62" spans="1:29" s="102" customFormat="1" ht="14.4" thickBot="1">
      <c r="A62" s="455"/>
      <c r="B62" s="444"/>
      <c r="C62" s="445">
        <v>100</v>
      </c>
      <c r="D62" s="446">
        <v>105</v>
      </c>
      <c r="E62" s="446"/>
      <c r="F62" s="446"/>
      <c r="G62" s="446"/>
      <c r="H62" s="446"/>
      <c r="I62" s="446"/>
      <c r="J62" s="446"/>
      <c r="K62" s="446"/>
      <c r="L62" s="446"/>
      <c r="M62" s="448"/>
      <c r="N62" s="2516"/>
      <c r="O62" s="2516"/>
      <c r="P62" s="2507"/>
      <c r="Q62" s="2504"/>
      <c r="R62" s="2436"/>
      <c r="S62" s="2436"/>
      <c r="T62" s="2436"/>
      <c r="U62" s="2436"/>
      <c r="V62" s="2436"/>
      <c r="W62" s="2436"/>
      <c r="X62" s="2436"/>
      <c r="Y62" s="2436"/>
      <c r="Z62" s="2436"/>
      <c r="AA62" s="2436"/>
      <c r="AB62" s="2436"/>
      <c r="AC62" s="2436"/>
    </row>
    <row r="63" spans="1:29" ht="14.4">
      <c r="A63" s="379" t="s">
        <v>1719</v>
      </c>
      <c r="B63" s="460" t="s">
        <v>1685</v>
      </c>
      <c r="C63" s="461" t="str">
        <f>C9</f>
        <v>商业</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4.4"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9.4" thickTop="1">
      <c r="A65" s="367"/>
      <c r="B65" s="469" t="s">
        <v>1688</v>
      </c>
      <c r="C65" s="513" t="s">
        <v>3527</v>
      </c>
      <c r="D65" s="513" t="s">
        <v>3528</v>
      </c>
      <c r="E65" s="513" t="s">
        <v>3529</v>
      </c>
      <c r="F65" s="513" t="s">
        <v>3530</v>
      </c>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4.4" thickBot="1">
      <c r="A66" s="367"/>
      <c r="B66" s="474"/>
      <c r="C66" s="467">
        <f>D66-1</f>
        <v>97</v>
      </c>
      <c r="D66" s="467">
        <f>E66-1</f>
        <v>98</v>
      </c>
      <c r="E66" s="467">
        <f>F66-1</f>
        <v>99</v>
      </c>
      <c r="F66" s="467">
        <v>100</v>
      </c>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c r="A68" s="367"/>
      <c r="B68" s="479"/>
      <c r="C68" s="480">
        <v>0</v>
      </c>
      <c r="D68" s="480">
        <v>2</v>
      </c>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4.4"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4.4"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4.4"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4.4"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4.4"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4.4"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ht="14.4">
      <c r="A76" s="379" t="s">
        <v>1690</v>
      </c>
      <c r="B76" s="460" t="s">
        <v>1720</v>
      </c>
      <c r="C76" s="504" t="s">
        <v>1721</v>
      </c>
      <c r="D76" s="504" t="s">
        <v>1722</v>
      </c>
      <c r="E76" s="504" t="s">
        <v>1723</v>
      </c>
      <c r="F76" s="504" t="s">
        <v>1724</v>
      </c>
      <c r="G76" s="504" t="s">
        <v>1725</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4.4" thickBot="1">
      <c r="A77" s="367"/>
      <c r="B77" s="474"/>
      <c r="C77" s="475">
        <v>100</v>
      </c>
      <c r="D77" s="475">
        <f>C77-$K15</f>
        <v>97</v>
      </c>
      <c r="E77" s="475">
        <f>D77-$K15</f>
        <v>94</v>
      </c>
      <c r="F77" s="475">
        <f>E77-$K15</f>
        <v>91</v>
      </c>
      <c r="G77" s="475">
        <f>F77-$K15</f>
        <v>88</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 thickTop="1">
      <c r="A78" s="367"/>
      <c r="B78" s="469" t="s">
        <v>1726</v>
      </c>
      <c r="C78" s="509" t="s">
        <v>1721</v>
      </c>
      <c r="D78" s="509" t="s">
        <v>1722</v>
      </c>
      <c r="E78" s="509" t="s">
        <v>1723</v>
      </c>
      <c r="F78" s="509" t="s">
        <v>1724</v>
      </c>
      <c r="G78" s="509" t="s">
        <v>1725</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4.4" thickBot="1">
      <c r="A79" s="367"/>
      <c r="B79" s="474"/>
      <c r="C79" s="475">
        <v>100</v>
      </c>
      <c r="D79" s="475">
        <f>C79-$K17</f>
        <v>98</v>
      </c>
      <c r="E79" s="475">
        <f>D79-$K17</f>
        <v>96</v>
      </c>
      <c r="F79" s="475">
        <f>E79-$K17</f>
        <v>94</v>
      </c>
      <c r="G79" s="475">
        <f>F79-$K17</f>
        <v>92</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 thickTop="1">
      <c r="A80" s="367"/>
      <c r="B80" s="469" t="s">
        <v>1727</v>
      </c>
      <c r="C80" s="509" t="s">
        <v>1721</v>
      </c>
      <c r="D80" s="509" t="s">
        <v>1722</v>
      </c>
      <c r="E80" s="509" t="s">
        <v>1723</v>
      </c>
      <c r="F80" s="509" t="s">
        <v>1724</v>
      </c>
      <c r="G80" s="509" t="s">
        <v>1725</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4.4" thickBot="1">
      <c r="A81" s="367"/>
      <c r="B81" s="474"/>
      <c r="C81" s="475">
        <v>100</v>
      </c>
      <c r="D81" s="475">
        <f>C81-$K19</f>
        <v>98</v>
      </c>
      <c r="E81" s="475">
        <f>D81-$K19</f>
        <v>96</v>
      </c>
      <c r="F81" s="475">
        <f>E81-$K19</f>
        <v>94</v>
      </c>
      <c r="G81" s="475">
        <f>F81-$K19</f>
        <v>92</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 thickTop="1">
      <c r="A82" s="367"/>
      <c r="B82" s="477" t="s">
        <v>1779</v>
      </c>
      <c r="C82" s="581" t="s">
        <v>1799</v>
      </c>
      <c r="D82" s="581" t="s">
        <v>1800</v>
      </c>
      <c r="E82" s="581" t="s">
        <v>1801</v>
      </c>
      <c r="F82" s="581" t="s">
        <v>1802</v>
      </c>
      <c r="G82" s="581" t="s">
        <v>1803</v>
      </c>
      <c r="H82" s="470"/>
      <c r="I82" s="470"/>
      <c r="J82" s="470"/>
      <c r="K82" s="470"/>
      <c r="L82" s="470"/>
      <c r="M82" s="1061"/>
      <c r="N82" s="2518"/>
      <c r="O82" s="2518"/>
      <c r="P82" s="2509"/>
      <c r="Q82" s="2504"/>
      <c r="R82" s="2483"/>
      <c r="S82" s="2483"/>
      <c r="T82" s="2483"/>
      <c r="U82" s="2483"/>
      <c r="V82" s="2483"/>
      <c r="W82" s="2483"/>
      <c r="X82" s="2483"/>
      <c r="Y82" s="2483"/>
      <c r="Z82" s="2483"/>
      <c r="AA82" s="2483"/>
      <c r="AB82" s="2483"/>
      <c r="AC82" s="2483"/>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 thickTop="1">
      <c r="A84" s="367"/>
      <c r="B84" s="469" t="s">
        <v>1733</v>
      </c>
      <c r="C84" s="509" t="s">
        <v>1721</v>
      </c>
      <c r="D84" s="509" t="s">
        <v>1722</v>
      </c>
      <c r="E84" s="509" t="s">
        <v>1723</v>
      </c>
      <c r="F84" s="509" t="s">
        <v>1724</v>
      </c>
      <c r="G84" s="509" t="s">
        <v>1725</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4.4" thickBot="1">
      <c r="A85" s="367"/>
      <c r="B85" s="474"/>
      <c r="C85" s="475">
        <v>100</v>
      </c>
      <c r="D85" s="475">
        <f>C85-$K23</f>
        <v>98</v>
      </c>
      <c r="E85" s="475">
        <f>D85-$K23</f>
        <v>96</v>
      </c>
      <c r="F85" s="475">
        <f>E85-$K23</f>
        <v>94</v>
      </c>
      <c r="G85" s="475">
        <f>F85-$K23</f>
        <v>92</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 thickTop="1">
      <c r="A86" s="370"/>
      <c r="B86" s="469" t="s">
        <v>1804</v>
      </c>
      <c r="C86" s="3176" t="s">
        <v>3532</v>
      </c>
      <c r="D86" s="3176" t="s">
        <v>3534</v>
      </c>
      <c r="E86" s="485"/>
      <c r="F86" s="485"/>
      <c r="G86" s="485"/>
      <c r="H86" s="485"/>
      <c r="I86" s="485"/>
      <c r="J86" s="485"/>
      <c r="K86" s="485"/>
      <c r="L86" s="510"/>
      <c r="M86" s="511"/>
      <c r="N86" s="2516"/>
      <c r="O86" s="2516"/>
      <c r="P86" s="2509"/>
      <c r="Q86" s="2504"/>
      <c r="R86" s="2436"/>
      <c r="S86" s="2436"/>
      <c r="T86" s="2436"/>
      <c r="U86" s="2436"/>
      <c r="V86" s="2436"/>
      <c r="W86" s="2436"/>
      <c r="X86" s="2436"/>
      <c r="Y86" s="2436"/>
      <c r="Z86" s="2436"/>
      <c r="AA86" s="2436"/>
      <c r="AB86" s="2436"/>
      <c r="AC86" s="2436"/>
    </row>
    <row r="87" spans="1:29" s="102" customFormat="1" ht="14.4"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18"/>
      <c r="O87" s="2518"/>
      <c r="P87" s="2509"/>
      <c r="Q87" s="2504"/>
      <c r="R87" s="2436"/>
      <c r="S87" s="2436"/>
      <c r="T87" s="2436"/>
      <c r="U87" s="2436"/>
      <c r="V87" s="2436"/>
      <c r="W87" s="2436"/>
      <c r="X87" s="2436"/>
      <c r="Y87" s="2436"/>
      <c r="Z87" s="2436"/>
      <c r="AA87" s="2436"/>
      <c r="AB87" s="2436"/>
      <c r="AC87" s="2436"/>
    </row>
    <row r="88" spans="1:29" s="102" customFormat="1" ht="15" thickTop="1">
      <c r="A88" s="370"/>
      <c r="B88" s="469" t="str">
        <f>B26</f>
        <v>平面位置/可视性</v>
      </c>
      <c r="C88" s="3176" t="s">
        <v>3535</v>
      </c>
      <c r="D88" s="3176" t="s">
        <v>3536</v>
      </c>
      <c r="E88" s="3176" t="s">
        <v>3537</v>
      </c>
      <c r="F88" s="3177" t="s">
        <v>3538</v>
      </c>
      <c r="G88" s="3176" t="s">
        <v>3539</v>
      </c>
      <c r="H88" s="485"/>
      <c r="I88" s="485"/>
      <c r="J88" s="485"/>
      <c r="K88" s="485"/>
      <c r="L88" s="485"/>
      <c r="M88" s="511"/>
      <c r="N88" s="2516"/>
      <c r="O88" s="2516"/>
      <c r="P88" s="2509"/>
      <c r="Q88" s="2504"/>
      <c r="R88" s="2436"/>
      <c r="S88" s="2436"/>
      <c r="T88" s="2436"/>
      <c r="U88" s="2436"/>
      <c r="V88" s="2436"/>
      <c r="W88" s="2436"/>
      <c r="X88" s="2436"/>
      <c r="Y88" s="2436"/>
      <c r="Z88" s="2436"/>
      <c r="AA88" s="2436"/>
      <c r="AB88" s="2436"/>
      <c r="AC88" s="2436"/>
    </row>
    <row r="89" spans="1:29" s="102" customFormat="1" ht="14.4" thickBot="1">
      <c r="A89" s="370"/>
      <c r="B89" s="474"/>
      <c r="C89" s="491">
        <v>100</v>
      </c>
      <c r="D89" s="467">
        <f>C89-2</f>
        <v>98</v>
      </c>
      <c r="E89" s="467">
        <f t="shared" ref="E89:G89" si="21">D89-2</f>
        <v>96</v>
      </c>
      <c r="F89" s="467">
        <f t="shared" si="21"/>
        <v>94</v>
      </c>
      <c r="G89" s="467">
        <f t="shared" si="21"/>
        <v>92</v>
      </c>
      <c r="H89" s="467"/>
      <c r="I89" s="467"/>
      <c r="J89" s="467"/>
      <c r="K89" s="467"/>
      <c r="L89" s="467"/>
      <c r="M89" s="467"/>
      <c r="N89" s="2518"/>
      <c r="O89" s="2518"/>
      <c r="P89" s="2509"/>
      <c r="Q89" s="2504"/>
      <c r="R89" s="2436"/>
      <c r="S89" s="2436"/>
      <c r="T89" s="2436"/>
      <c r="U89" s="2436"/>
      <c r="V89" s="2436"/>
      <c r="W89" s="2436"/>
      <c r="X89" s="2436"/>
      <c r="Y89" s="2436"/>
      <c r="Z89" s="2436"/>
      <c r="AA89" s="2436"/>
      <c r="AB89" s="2436"/>
      <c r="AC89" s="2436"/>
    </row>
    <row r="90" spans="1:29" s="408" customFormat="1" ht="15" thickTop="1">
      <c r="A90" s="484"/>
      <c r="B90" s="469" t="str">
        <f>B27</f>
        <v>人流量</v>
      </c>
      <c r="C90" s="3176" t="s">
        <v>3540</v>
      </c>
      <c r="D90" s="3176" t="s">
        <v>3541</v>
      </c>
      <c r="E90" s="3176" t="s">
        <v>3537</v>
      </c>
      <c r="F90" s="3176" t="s">
        <v>3542</v>
      </c>
      <c r="G90" s="3176" t="s">
        <v>3543</v>
      </c>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4.4"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19"/>
      <c r="O91" s="2519"/>
      <c r="P91" s="2510"/>
      <c r="Q91" s="2511"/>
      <c r="R91" s="2489"/>
      <c r="S91" s="2489"/>
      <c r="T91" s="2489"/>
      <c r="U91" s="2489"/>
      <c r="V91" s="2489"/>
      <c r="W91" s="2489"/>
      <c r="X91" s="2489"/>
      <c r="Y91" s="2489"/>
      <c r="Z91" s="2489"/>
      <c r="AA91" s="2489"/>
      <c r="AB91" s="2489"/>
      <c r="AC91" s="2489"/>
    </row>
    <row r="92" spans="1:29" ht="15" thickTop="1">
      <c r="A92" s="367"/>
      <c r="B92" s="469" t="str">
        <f>B28</f>
        <v>楼层</v>
      </c>
      <c r="C92" s="485" t="s">
        <v>3560</v>
      </c>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4.4" thickBot="1">
      <c r="A93" s="367"/>
      <c r="B93" s="474"/>
      <c r="C93" s="467">
        <v>100</v>
      </c>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4.4"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4.4"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4.4"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4.4"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4.4"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4.4"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ht="14.4">
      <c r="A100" s="379" t="s">
        <v>1694</v>
      </c>
      <c r="B100" s="460" t="s">
        <v>1805</v>
      </c>
      <c r="C100" s="3178" t="s">
        <v>3545</v>
      </c>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4.4"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18"/>
      <c r="O101" s="2518"/>
      <c r="P101" s="2509"/>
      <c r="Q101" s="2504"/>
      <c r="R101" s="2483"/>
      <c r="S101" s="2483"/>
      <c r="T101" s="2483"/>
      <c r="U101" s="2483"/>
      <c r="V101" s="2483"/>
      <c r="W101" s="2483"/>
      <c r="X101" s="2483"/>
      <c r="Y101" s="2483"/>
      <c r="Z101" s="2483"/>
      <c r="AA101" s="2483"/>
      <c r="AB101" s="2483"/>
      <c r="AC101" s="2483"/>
    </row>
    <row r="102" spans="1:29" ht="15" thickTop="1">
      <c r="A102" s="367"/>
      <c r="B102" s="469" t="s">
        <v>1737</v>
      </c>
      <c r="C102" s="509" t="str">
        <f>C103&amp;"(含)"&amp;"-"&amp;D103</f>
        <v>0(含)-200</v>
      </c>
      <c r="D102" s="509" t="str">
        <f t="shared" ref="D102:L102" si="24">D103&amp;"(含)"&amp;"-"&amp;E103</f>
        <v>200(含)-400</v>
      </c>
      <c r="E102" s="509" t="str">
        <f t="shared" si="24"/>
        <v>400(含)-600</v>
      </c>
      <c r="F102" s="509" t="str">
        <f t="shared" si="24"/>
        <v>600(含)-800</v>
      </c>
      <c r="G102" s="509" t="str">
        <f t="shared" si="24"/>
        <v>800(含)-1000</v>
      </c>
      <c r="H102" s="509" t="str">
        <f t="shared" si="24"/>
        <v>1000(含)-</v>
      </c>
      <c r="I102" s="509" t="str">
        <f t="shared" si="24"/>
        <v>(含)-</v>
      </c>
      <c r="J102" s="509" t="str">
        <f t="shared" si="24"/>
        <v>(含)-</v>
      </c>
      <c r="K102" s="509" t="str">
        <f t="shared" si="24"/>
        <v>(含)-</v>
      </c>
      <c r="L102" s="509" t="str">
        <f t="shared" si="24"/>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v>0</v>
      </c>
      <c r="D103" s="6">
        <v>200</v>
      </c>
      <c r="E103" s="6">
        <v>400</v>
      </c>
      <c r="F103" s="6">
        <v>600</v>
      </c>
      <c r="G103" s="6">
        <v>800</v>
      </c>
      <c r="H103" s="6">
        <v>1000</v>
      </c>
      <c r="I103" s="6"/>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4.4" thickBot="1">
      <c r="A104" s="484"/>
      <c r="B104" s="474"/>
      <c r="C104" s="491">
        <v>100</v>
      </c>
      <c r="D104" s="467">
        <f>C104-1</f>
        <v>99</v>
      </c>
      <c r="E104" s="467">
        <f t="shared" ref="E104:H104" si="25">D104-1</f>
        <v>98</v>
      </c>
      <c r="F104" s="467">
        <f t="shared" si="25"/>
        <v>97</v>
      </c>
      <c r="G104" s="467">
        <f t="shared" si="25"/>
        <v>96</v>
      </c>
      <c r="H104" s="467">
        <f t="shared" si="25"/>
        <v>95</v>
      </c>
      <c r="I104" s="467"/>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1738</v>
      </c>
      <c r="C105" s="3176" t="s">
        <v>3546</v>
      </c>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1740</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4.4"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1742</v>
      </c>
      <c r="C112" s="3176" t="s">
        <v>3548</v>
      </c>
      <c r="D112" s="3176" t="s">
        <v>3550</v>
      </c>
      <c r="E112" s="3176" t="s">
        <v>3551</v>
      </c>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4.4"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1806</v>
      </c>
      <c r="C114" s="3176" t="s">
        <v>3552</v>
      </c>
      <c r="D114" s="3176" t="s">
        <v>3554</v>
      </c>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4.4"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1807</v>
      </c>
      <c r="C116" s="3176" t="s">
        <v>3574</v>
      </c>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4.4" thickBot="1">
      <c r="A117" s="367"/>
      <c r="B117" s="474"/>
      <c r="C117" s="475">
        <v>100</v>
      </c>
      <c r="D117" s="475">
        <f>C117-$K39</f>
        <v>95</v>
      </c>
      <c r="E117" s="475">
        <f>D117-$K39</f>
        <v>90</v>
      </c>
      <c r="F117" s="475">
        <f>E117-$K39</f>
        <v>85</v>
      </c>
      <c r="G117" s="475">
        <f>F117-$K39</f>
        <v>80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1808</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4.4"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1809</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4.4"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19"/>
      <c r="O121" s="2519"/>
      <c r="P121" s="2510"/>
      <c r="Q121" s="2511"/>
      <c r="R121" s="2489"/>
      <c r="S121" s="2489"/>
      <c r="T121" s="2489"/>
      <c r="U121" s="2489"/>
      <c r="V121" s="2489"/>
      <c r="W121" s="2489"/>
      <c r="X121" s="2489"/>
      <c r="Y121" s="2489"/>
      <c r="Z121" s="2489"/>
      <c r="AA121" s="2489"/>
      <c r="AB121" s="2489"/>
      <c r="AC121" s="2489"/>
    </row>
    <row r="122" spans="1:29" ht="43.8" thickTop="1">
      <c r="A122" s="409"/>
      <c r="B122" s="469" t="s">
        <v>1744</v>
      </c>
      <c r="C122" s="3176" t="s">
        <v>3555</v>
      </c>
      <c r="D122" s="3176" t="s">
        <v>3556</v>
      </c>
      <c r="E122" s="3176" t="s">
        <v>3558</v>
      </c>
      <c r="F122" s="3179" t="s">
        <v>3582</v>
      </c>
      <c r="G122" s="3179" t="s">
        <v>3559</v>
      </c>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4.4" thickBot="1">
      <c r="A123" s="367"/>
      <c r="B123" s="474"/>
      <c r="C123" s="475">
        <v>100</v>
      </c>
      <c r="D123" s="475">
        <f t="shared" ref="D123:M123" si="32">C123-$K42</f>
        <v>99</v>
      </c>
      <c r="E123" s="475">
        <f t="shared" si="32"/>
        <v>98</v>
      </c>
      <c r="F123" s="475">
        <f t="shared" si="32"/>
        <v>97</v>
      </c>
      <c r="G123" s="475">
        <f t="shared" si="32"/>
        <v>96</v>
      </c>
      <c r="H123" s="475">
        <f t="shared" si="32"/>
        <v>95</v>
      </c>
      <c r="I123" s="475">
        <f t="shared" si="32"/>
        <v>94</v>
      </c>
      <c r="J123" s="475">
        <f t="shared" si="32"/>
        <v>93</v>
      </c>
      <c r="K123" s="475">
        <f t="shared" si="32"/>
        <v>92</v>
      </c>
      <c r="L123" s="475">
        <f t="shared" si="32"/>
        <v>91</v>
      </c>
      <c r="M123" s="476">
        <f t="shared" si="32"/>
        <v>90</v>
      </c>
      <c r="N123" s="2518"/>
      <c r="O123" s="2518"/>
      <c r="P123" s="2509"/>
      <c r="Q123" s="2504"/>
      <c r="R123" s="2483"/>
      <c r="S123" s="2483"/>
      <c r="T123" s="2483"/>
      <c r="U123" s="2483"/>
      <c r="V123" s="2483"/>
      <c r="W123" s="2483"/>
      <c r="X123" s="2483"/>
      <c r="Y123" s="2483"/>
      <c r="Z123" s="2483"/>
      <c r="AA123" s="2483"/>
      <c r="AB123" s="2483"/>
      <c r="AC123" s="2483"/>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28.8" thickTop="1">
      <c r="A126" s="406"/>
      <c r="B126" s="469" t="str">
        <f>B44</f>
        <v>1层面积占比</v>
      </c>
      <c r="C126" s="408" t="s">
        <v>3621</v>
      </c>
      <c r="D126" s="373" t="s">
        <v>3622</v>
      </c>
      <c r="E126" s="485" t="s">
        <v>3623</v>
      </c>
      <c r="F126" s="485" t="s">
        <v>3624</v>
      </c>
      <c r="G126" s="485" t="s">
        <v>3625</v>
      </c>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4.4" thickBot="1">
      <c r="A127" s="484"/>
      <c r="B127" s="474"/>
      <c r="C127" s="493">
        <f t="shared" ref="C127:E127" si="33">D127-2</f>
        <v>92</v>
      </c>
      <c r="D127" s="493">
        <f t="shared" si="33"/>
        <v>94</v>
      </c>
      <c r="E127" s="493">
        <f t="shared" si="33"/>
        <v>96</v>
      </c>
      <c r="F127" s="493">
        <f>G127-2</f>
        <v>98</v>
      </c>
      <c r="G127" s="493">
        <v>100</v>
      </c>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4.4"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4.4"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4.4"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4.4"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I15" sqref="I15"/>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0" customWidth="1"/>
    <col min="12" max="12" width="16.33203125" style="250" customWidth="1"/>
    <col min="13" max="13" width="13" style="250"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50"/>
  </cols>
  <sheetData>
    <row r="1" spans="1:37" s="285" customFormat="1" ht="21.6">
      <c r="A1" s="1281" t="s">
        <v>877</v>
      </c>
      <c r="B1" s="663"/>
      <c r="C1" s="1285">
        <v>102</v>
      </c>
      <c r="D1" s="1269" t="s">
        <v>43</v>
      </c>
      <c r="E1" s="1270" t="s">
        <v>678</v>
      </c>
      <c r="F1" s="997">
        <f ca="1">J53</f>
        <v>26.47</v>
      </c>
      <c r="G1" s="1284">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878</v>
      </c>
      <c r="B2" s="3119">
        <f ca="1">ROUND(D2/10000,4)</f>
        <v>605.55190000000005</v>
      </c>
      <c r="C2" s="1287" t="s">
        <v>879</v>
      </c>
      <c r="D2" s="1373">
        <f ca="1">C40+J29+L46</f>
        <v>6055519</v>
      </c>
      <c r="E2" s="1293" t="s">
        <v>880</v>
      </c>
      <c r="F2" s="1294"/>
      <c r="G2" s="2474"/>
      <c r="H2" s="2464"/>
      <c r="I2" s="2464"/>
      <c r="J2" s="2464"/>
      <c r="K2" s="2465"/>
      <c r="L2" s="2464"/>
      <c r="M2" s="2464"/>
    </row>
    <row r="3" spans="1:37" ht="18" customHeight="1" thickBot="1">
      <c r="A3" s="1295" t="s">
        <v>881</v>
      </c>
      <c r="B3" s="1296">
        <f ca="1">IF(ISERROR(D2/F43),0,ROUND(D2/F43,0))</f>
        <v>24642</v>
      </c>
      <c r="C3" s="1287" t="s">
        <v>882</v>
      </c>
      <c r="D3" s="1287"/>
      <c r="E3" s="1293"/>
      <c r="F3" s="1294"/>
      <c r="G3" s="2474"/>
      <c r="H3" s="649" t="s">
        <v>876</v>
      </c>
      <c r="I3" s="1288"/>
      <c r="J3" s="1288"/>
      <c r="K3" s="1289"/>
      <c r="L3" s="1288"/>
      <c r="M3" s="1288"/>
    </row>
    <row r="4" spans="1:37" ht="18" customHeight="1">
      <c r="A4" s="287" t="s">
        <v>883</v>
      </c>
      <c r="B4" s="288" t="s">
        <v>884</v>
      </c>
      <c r="C4" s="288" t="s">
        <v>885</v>
      </c>
      <c r="D4" s="288" t="s">
        <v>886</v>
      </c>
      <c r="E4" s="289" t="s">
        <v>887</v>
      </c>
      <c r="F4" s="290"/>
      <c r="G4" s="1290"/>
      <c r="H4" s="287" t="s">
        <v>883</v>
      </c>
      <c r="I4" s="288" t="s">
        <v>884</v>
      </c>
      <c r="J4" s="288" t="s">
        <v>885</v>
      </c>
      <c r="K4" s="288" t="s">
        <v>886</v>
      </c>
      <c r="L4" s="289" t="s">
        <v>887</v>
      </c>
      <c r="M4" s="290"/>
    </row>
    <row r="5" spans="1:37" ht="18" customHeight="1">
      <c r="A5" s="291">
        <v>1</v>
      </c>
      <c r="B5" s="292" t="s">
        <v>888</v>
      </c>
      <c r="C5" s="1005">
        <f ca="1">C6+C10+C12</f>
        <v>449037</v>
      </c>
      <c r="D5" s="1271" t="s">
        <v>889</v>
      </c>
      <c r="E5" s="1006"/>
      <c r="F5" s="1007"/>
      <c r="G5" s="1290"/>
      <c r="H5" s="291">
        <v>1</v>
      </c>
      <c r="I5" s="292" t="s">
        <v>888</v>
      </c>
      <c r="J5" s="1005">
        <f ca="1">J6+J10+J12</f>
        <v>0</v>
      </c>
      <c r="K5" s="1271" t="s">
        <v>889</v>
      </c>
      <c r="L5" s="1006"/>
      <c r="M5" s="1007"/>
    </row>
    <row r="6" spans="1:37" ht="18" customHeight="1">
      <c r="A6" s="1004" t="s">
        <v>398</v>
      </c>
      <c r="B6" s="3413" t="s">
        <v>694</v>
      </c>
      <c r="C6" s="1009">
        <f ca="1">ROUND(F6*F8*F7*(1-F9),0)</f>
        <v>448476</v>
      </c>
      <c r="D6" s="147" t="s">
        <v>2101</v>
      </c>
      <c r="E6" s="294" t="s">
        <v>696</v>
      </c>
      <c r="F6" s="295">
        <f ca="1">INDIRECT("'数据-取费表'!u"&amp;$G$1)</f>
        <v>6.25</v>
      </c>
      <c r="G6" s="1290"/>
      <c r="H6" s="1004" t="s">
        <v>398</v>
      </c>
      <c r="I6" s="3413" t="s">
        <v>694</v>
      </c>
      <c r="J6" s="293">
        <f ca="1">ROUND(M6*M8*M7*(1-M9),0)</f>
        <v>0</v>
      </c>
      <c r="K6" s="1282" t="s">
        <v>2102</v>
      </c>
      <c r="L6" s="294" t="s">
        <v>696</v>
      </c>
      <c r="M6" s="295">
        <f ca="1">INDIRECT("'数据-取费表'!z"&amp;$G$1)</f>
        <v>0</v>
      </c>
    </row>
    <row r="7" spans="1:37" ht="18" customHeight="1">
      <c r="A7" s="1008"/>
      <c r="B7" s="3414"/>
      <c r="C7" s="1010"/>
      <c r="D7" s="299"/>
      <c r="E7" s="1011" t="s">
        <v>697</v>
      </c>
      <c r="F7" s="295">
        <f ca="1">IF(INDIRECT("'数据-取费表'!ah"&amp;$G$1)="",INDIRECT("'数据-取费表'!k"&amp;$G$1),INDIRECT("'数据-取费表'!ah"&amp;$G$1))</f>
        <v>245.74</v>
      </c>
      <c r="G7" s="1290"/>
      <c r="H7" s="296"/>
      <c r="I7" s="3414"/>
      <c r="J7" s="298"/>
      <c r="K7" s="299"/>
      <c r="L7" s="294" t="s">
        <v>697</v>
      </c>
      <c r="M7" s="295">
        <f ca="1">F7</f>
        <v>245.74</v>
      </c>
    </row>
    <row r="8" spans="1:37" ht="18" customHeight="1">
      <c r="A8" s="296"/>
      <c r="B8" s="3414"/>
      <c r="C8" s="298"/>
      <c r="D8" s="299"/>
      <c r="E8" s="294" t="s">
        <v>698</v>
      </c>
      <c r="F8" s="295">
        <f ca="1">INDIRECT("'数据-取费表'!ai"&amp;$G$1)</f>
        <v>365</v>
      </c>
      <c r="G8" s="1290"/>
      <c r="H8" s="296"/>
      <c r="I8" s="3414"/>
      <c r="J8" s="298"/>
      <c r="K8" s="299"/>
      <c r="L8" s="294" t="s">
        <v>698</v>
      </c>
      <c r="M8" s="295">
        <f ca="1">INDIRECT("'数据-取费表'!ai"&amp;$G$1)</f>
        <v>365</v>
      </c>
    </row>
    <row r="9" spans="1:37" ht="18" customHeight="1">
      <c r="A9" s="296"/>
      <c r="B9" s="3415"/>
      <c r="C9" s="298"/>
      <c r="D9" s="299"/>
      <c r="E9" s="294" t="s">
        <v>699</v>
      </c>
      <c r="F9" s="304">
        <f ca="1">INDIRECT("'数据-取费表'!w"&amp;$G$1)</f>
        <v>0.2</v>
      </c>
      <c r="G9" s="1290"/>
      <c r="H9" s="296"/>
      <c r="I9" s="3415"/>
      <c r="J9" s="298"/>
      <c r="K9" s="299"/>
      <c r="L9" s="305" t="s">
        <v>699</v>
      </c>
      <c r="M9" s="306">
        <f ca="1">INDIRECT("'数据-取费表'!ab"&amp;$G$1)</f>
        <v>0</v>
      </c>
    </row>
    <row r="10" spans="1:37" ht="18" customHeight="1">
      <c r="A10" s="1004" t="s">
        <v>402</v>
      </c>
      <c r="B10" s="1272" t="s">
        <v>700</v>
      </c>
      <c r="C10" s="308">
        <f ca="1">ROUND(IF(F10="押一",C6/12*F11,IF(F10="押二",C6/12*2*F11,IF(F10="押三",C6/12*3*F11,C11*F11))),0)</f>
        <v>561</v>
      </c>
      <c r="D10" s="150" t="s">
        <v>2111</v>
      </c>
      <c r="E10" s="305" t="s">
        <v>701</v>
      </c>
      <c r="F10" s="1051" t="s">
        <v>3454</v>
      </c>
      <c r="G10" s="1290"/>
      <c r="H10" s="1004" t="s">
        <v>402</v>
      </c>
      <c r="I10" s="1272" t="s">
        <v>700</v>
      </c>
      <c r="J10" s="293">
        <f ca="1">ROUND(IF(M10="押一",J6/12*M11,IF(M10="押二",J6/12*2*M11,IF(M10="押三",J6/12*3*M11,J11*M11))),0)</f>
        <v>0</v>
      </c>
      <c r="K10" s="1283" t="s">
        <v>2113</v>
      </c>
      <c r="L10" s="305" t="s">
        <v>701</v>
      </c>
      <c r="M10" s="1051"/>
    </row>
    <row r="11" spans="1:37" ht="18" customHeight="1">
      <c r="A11" s="300"/>
      <c r="B11" s="1273" t="s">
        <v>890</v>
      </c>
      <c r="C11" s="903"/>
      <c r="D11" s="299"/>
      <c r="E11" s="305" t="s">
        <v>702</v>
      </c>
      <c r="F11" s="306">
        <f ca="1">'数据-取费表'!B39</f>
        <v>1.4999999999999999E-2</v>
      </c>
      <c r="G11" s="1290"/>
      <c r="H11" s="1012"/>
      <c r="I11" s="1273" t="s">
        <v>891</v>
      </c>
      <c r="J11" s="903"/>
      <c r="K11" s="646"/>
      <c r="L11" s="305" t="s">
        <v>702</v>
      </c>
      <c r="M11" s="809">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1163697</v>
      </c>
      <c r="D13" s="1016" t="s">
        <v>705</v>
      </c>
      <c r="E13" s="1016" t="s">
        <v>706</v>
      </c>
      <c r="F13" s="1017">
        <f ca="1">INDIRECT("'数据-取费表'!y"&amp;$G$1)</f>
        <v>0.81</v>
      </c>
      <c r="G13" s="1290"/>
      <c r="H13" s="1014">
        <v>2</v>
      </c>
      <c r="I13" s="1015" t="s">
        <v>704</v>
      </c>
      <c r="J13" s="1003">
        <f ca="1">ROUND(J14*J15,0)</f>
        <v>0</v>
      </c>
      <c r="K13" s="1022" t="s">
        <v>705</v>
      </c>
      <c r="L13" s="1297"/>
      <c r="M13" s="1298"/>
    </row>
    <row r="14" spans="1:37" ht="18" customHeight="1">
      <c r="A14" s="926" t="s">
        <v>397</v>
      </c>
      <c r="B14" s="294" t="s">
        <v>707</v>
      </c>
      <c r="C14" s="310">
        <f ca="1">ROUND(INDIRECT("'数据-取费表'!l"&amp;$G$1)*F43+'数据-取费表'!L14*INDIRECT("'数据-取费表'!S"&amp;$G$1),0)</f>
        <v>982960</v>
      </c>
      <c r="D14" s="1255" t="s">
        <v>708</v>
      </c>
      <c r="E14" s="1253"/>
      <c r="F14" s="311"/>
      <c r="G14" s="1290"/>
      <c r="H14" s="926" t="s">
        <v>398</v>
      </c>
      <c r="I14" s="294" t="s">
        <v>709</v>
      </c>
      <c r="J14" s="21">
        <f ca="1">C29</f>
        <v>1436663</v>
      </c>
      <c r="K14" s="12"/>
      <c r="L14" s="759"/>
      <c r="M14" s="760"/>
    </row>
    <row r="15" spans="1:37" s="1302" customFormat="1" ht="18" customHeight="1" thickBot="1">
      <c r="A15" s="926" t="s">
        <v>399</v>
      </c>
      <c r="B15" s="294" t="s">
        <v>710</v>
      </c>
      <c r="C15" s="21">
        <f ca="1">ROUND(C14*F15,0)</f>
        <v>49148</v>
      </c>
      <c r="D15" s="312" t="s">
        <v>711</v>
      </c>
      <c r="E15" s="312" t="s">
        <v>712</v>
      </c>
      <c r="F15" s="313">
        <f>'数据-取费表'!B33</f>
        <v>0.05</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ROUND(INDIRECT("'数据-取费表'!l"&amp;$G$1)*F43*F16,0)</f>
        <v>0</v>
      </c>
      <c r="D16" s="294" t="s">
        <v>711</v>
      </c>
      <c r="E16" s="294" t="s">
        <v>712</v>
      </c>
      <c r="F16" s="314">
        <f ca="1">IF(INDIRECT("'数据-取费表'!c"&amp;$G$1)="住宅",'数据-取费表'!B34,0)</f>
        <v>0</v>
      </c>
      <c r="G16" s="1290"/>
      <c r="H16" s="1014" t="s">
        <v>393</v>
      </c>
      <c r="I16" s="1015" t="s">
        <v>714</v>
      </c>
      <c r="J16" s="302">
        <f ca="1">ROUND(J17+J22+J23+J24,0)</f>
        <v>14367</v>
      </c>
      <c r="K16" s="1022" t="s">
        <v>715</v>
      </c>
      <c r="L16" s="1023"/>
      <c r="M16" s="1007"/>
    </row>
    <row r="17" spans="1:37" s="1302" customFormat="1" ht="18" customHeight="1">
      <c r="A17" s="926" t="s">
        <v>681</v>
      </c>
      <c r="B17" s="294" t="s">
        <v>716</v>
      </c>
      <c r="C17" s="21">
        <f ca="1">ROUND(F17*(F43+INDIRECT("'数据-取费表'!S"&amp;$G$1)),0)</f>
        <v>49148</v>
      </c>
      <c r="D17" s="294" t="s">
        <v>717</v>
      </c>
      <c r="E17" s="294" t="s">
        <v>718</v>
      </c>
      <c r="F17" s="23">
        <f>'数据-取费表'!B35</f>
        <v>200</v>
      </c>
      <c r="G17" s="1301"/>
      <c r="H17" s="926" t="s">
        <v>398</v>
      </c>
      <c r="I17" s="294" t="s">
        <v>719</v>
      </c>
      <c r="J17" s="2137">
        <f ca="1">ROUND(IF(AND(项目基本情况!B11="自然人",项目基本情况!B10="北京市"),J6*M17/(1+'数据-取费表'!C42),J18+J19+J20),0)</f>
        <v>0</v>
      </c>
      <c r="K17" s="1255" t="s">
        <v>720</v>
      </c>
      <c r="L17" s="1254" t="s">
        <v>721</v>
      </c>
      <c r="M17" s="2136"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19659</v>
      </c>
      <c r="D18" s="294" t="s">
        <v>711</v>
      </c>
      <c r="E18" s="294" t="s">
        <v>712</v>
      </c>
      <c r="F18" s="314">
        <f>'数据-取费表'!B36</f>
        <v>0.02</v>
      </c>
      <c r="G18" s="1301"/>
      <c r="H18" s="926" t="s">
        <v>397</v>
      </c>
      <c r="I18" s="294" t="s">
        <v>723</v>
      </c>
      <c r="J18" s="21">
        <f ca="1">ROUND(J6*M18/(1+'数据-取费表'!C42),0)</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1100915</v>
      </c>
      <c r="D19" s="123" t="s">
        <v>726</v>
      </c>
      <c r="E19" s="1267"/>
      <c r="F19" s="23"/>
      <c r="G19" s="1290"/>
      <c r="H19" s="926" t="s">
        <v>399</v>
      </c>
      <c r="I19" s="294" t="s">
        <v>727</v>
      </c>
      <c r="J19" s="21">
        <f ca="1">IF(K19="按租金收入计税",ROUND(J6*M19/(1+'数据-取费表'!C42),0),ROUND(C29*M19*0.7,0))</f>
        <v>0</v>
      </c>
      <c r="K19" s="1276" t="s">
        <v>3330</v>
      </c>
      <c r="L19" s="294" t="s">
        <v>712</v>
      </c>
      <c r="M19" s="314">
        <f>IF(K19="按租金收入计税",'数据-取费表'!B51,'数据-取费表'!B50)</f>
        <v>0.12</v>
      </c>
    </row>
    <row r="20" spans="1:37" s="1302" customFormat="1" ht="18" customHeight="1">
      <c r="A20" s="926" t="s">
        <v>402</v>
      </c>
      <c r="B20" s="294" t="s">
        <v>728</v>
      </c>
      <c r="C20" s="21">
        <f ca="1">ROUND(C19*F20,0)</f>
        <v>22018</v>
      </c>
      <c r="D20" s="315" t="s">
        <v>729</v>
      </c>
      <c r="E20" s="294" t="s">
        <v>712</v>
      </c>
      <c r="F20" s="314">
        <f>'数据-取费表'!B37</f>
        <v>0.02</v>
      </c>
      <c r="G20" s="1301"/>
      <c r="H20" s="926" t="s">
        <v>680</v>
      </c>
      <c r="I20" s="147" t="s">
        <v>730</v>
      </c>
      <c r="J20" s="22">
        <f ca="1">ROUND(M20*M21,0)</f>
        <v>0</v>
      </c>
      <c r="K20" s="316" t="s">
        <v>731</v>
      </c>
      <c r="L20" s="294" t="s">
        <v>732</v>
      </c>
      <c r="M20" s="317">
        <f>'数据-取费表'!B52</f>
        <v>3</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0</v>
      </c>
      <c r="D21" s="315" t="s">
        <v>734</v>
      </c>
      <c r="E21" s="294" t="s">
        <v>735</v>
      </c>
      <c r="F21" s="314">
        <f>'数据-取费表'!B38</f>
        <v>0.02</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ROUND(J14*M22,0)</f>
        <v>14367</v>
      </c>
      <c r="K22" s="1254" t="s">
        <v>739</v>
      </c>
      <c r="L22" s="294" t="s">
        <v>712</v>
      </c>
      <c r="M22" s="320">
        <f ca="1">INDIRECT("'数据-取费表'!Ak"&amp;$G$1)</f>
        <v>0.01</v>
      </c>
    </row>
    <row r="23" spans="1:37" s="1302" customFormat="1" ht="18" customHeight="1">
      <c r="A23" s="926" t="s">
        <v>397</v>
      </c>
      <c r="B23" s="294" t="s">
        <v>740</v>
      </c>
      <c r="C23" s="21">
        <f ca="1">IF('数据-取费表'!B22&lt;=1,ROUND(C19*F24*F23/2,0)+ROUND(C20*F24*F23/2,0),ROUND(C19*(POWER((1+F24),F23/2)-1),0)+ROUND(C20*(POWER((1+F24),F23/2)-1),0))</f>
        <v>34811</v>
      </c>
      <c r="D23" s="138" t="str">
        <f>IF(F23&lt;=1,"(建造成本+管理费用)×利率×(建设周期÷2)","(建造成本+管理费用)×((1+利率)^(建设周期÷2)-1)")</f>
        <v>(建造成本+管理费用)×((1+利率)^(建设周期÷2)-1)</v>
      </c>
      <c r="E23" s="294" t="s">
        <v>741</v>
      </c>
      <c r="F23" s="317">
        <f>'数据-取费表'!B20</f>
        <v>2</v>
      </c>
      <c r="G23" s="1301"/>
      <c r="H23" s="926" t="s">
        <v>437</v>
      </c>
      <c r="I23" s="294" t="s">
        <v>742</v>
      </c>
      <c r="J23" s="21">
        <f ca="1">ROUND(J13*M23,0)</f>
        <v>0</v>
      </c>
      <c r="K23" s="1254" t="s">
        <v>743</v>
      </c>
      <c r="L23" s="294" t="s">
        <v>744</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1"/>
      <c r="H24" s="1024" t="s">
        <v>684</v>
      </c>
      <c r="I24" s="1025" t="s">
        <v>728</v>
      </c>
      <c r="J24" s="1026">
        <f ca="1">ROUND(J5*M24,0)</f>
        <v>0</v>
      </c>
      <c r="K24" s="1027" t="s">
        <v>748</v>
      </c>
      <c r="L24" s="1025" t="s">
        <v>744</v>
      </c>
      <c r="M24" s="1021">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4" t="s">
        <v>750</v>
      </c>
      <c r="C25" s="21"/>
      <c r="D25" s="123" t="s">
        <v>751</v>
      </c>
      <c r="E25" s="1267"/>
      <c r="F25" s="23"/>
      <c r="G25" s="1290"/>
      <c r="H25" s="1014" t="s">
        <v>394</v>
      </c>
      <c r="I25" s="1029" t="s">
        <v>752</v>
      </c>
      <c r="J25" s="302">
        <f ca="1">J5-J16</f>
        <v>-14367</v>
      </c>
      <c r="K25" s="1030" t="s">
        <v>753</v>
      </c>
      <c r="L25" s="1031"/>
      <c r="M25" s="1032"/>
    </row>
    <row r="26" spans="1:37" ht="18" customHeight="1">
      <c r="A26" s="926" t="s">
        <v>397</v>
      </c>
      <c r="B26" s="294" t="s">
        <v>754</v>
      </c>
      <c r="C26" s="21">
        <f ca="1">ROUND((C19+C20)*F26,0)</f>
        <v>168440</v>
      </c>
      <c r="D26" s="315" t="s">
        <v>755</v>
      </c>
      <c r="E26" s="305" t="s">
        <v>756</v>
      </c>
      <c r="F26" s="304">
        <f ca="1">INDIRECT("'数据-取费表'!q"&amp;$G$1)</f>
        <v>0.15</v>
      </c>
      <c r="G26" s="1290"/>
      <c r="H26" s="291" t="s">
        <v>395</v>
      </c>
      <c r="I26" s="292" t="s">
        <v>757</v>
      </c>
      <c r="J26" s="293">
        <f ca="1">IF(J5&lt;&gt;0,ROUND(J25*(1-((1+M28)/(1+M26))^M27)/(M26-M28),0),0)</f>
        <v>0</v>
      </c>
      <c r="K26" s="316" t="s">
        <v>758</v>
      </c>
      <c r="L26" s="294" t="s">
        <v>759</v>
      </c>
      <c r="M26" s="304">
        <f ca="1">INDIRECT("'数据-取费表'!I"&amp;$G$1)</f>
        <v>5.5E-2</v>
      </c>
    </row>
    <row r="27" spans="1:37" ht="18" customHeight="1">
      <c r="A27" s="926" t="s">
        <v>399</v>
      </c>
      <c r="B27" s="294" t="s">
        <v>760</v>
      </c>
      <c r="C27" s="21">
        <f ca="1">ROUND(F21*F26,4)</f>
        <v>3.0000000000000001E-3</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1436663</v>
      </c>
      <c r="D29" s="1027"/>
      <c r="E29" s="1025"/>
      <c r="F29" s="1028"/>
      <c r="G29" s="1301"/>
      <c r="H29" s="325" t="s">
        <v>396</v>
      </c>
      <c r="I29" s="326" t="s">
        <v>768</v>
      </c>
      <c r="J29" s="327">
        <f ca="1">ROUND(J26/(1+F40)^F41,0)</f>
        <v>0</v>
      </c>
      <c r="K29" s="328" t="s">
        <v>769</v>
      </c>
      <c r="L29" s="329"/>
      <c r="M29" s="330">
        <f ca="1">INDIRECT("'数据-取费表'!k"&amp;$G$1)</f>
        <v>245.74</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95194</v>
      </c>
      <c r="D30" s="1022" t="s">
        <v>715</v>
      </c>
      <c r="E30" s="1023"/>
      <c r="F30" s="1007"/>
      <c r="G30" s="1290"/>
      <c r="H30" s="2466"/>
      <c r="I30" s="1303"/>
      <c r="J30" s="1304"/>
      <c r="K30" s="121"/>
      <c r="L30" s="2467"/>
      <c r="M30" s="2468"/>
    </row>
    <row r="31" spans="1:37" ht="18" customHeight="1">
      <c r="A31" s="926" t="s">
        <v>398</v>
      </c>
      <c r="B31" s="294" t="s">
        <v>719</v>
      </c>
      <c r="C31" s="2137">
        <f ca="1">ROUND(IF(AND(项目基本情况!B11="自然人",项目基本情况!B10="北京市"),C6*F31/(1+'数据-取费表'!C42),C32+C33+C34),0)</f>
        <v>75173</v>
      </c>
      <c r="D31" s="1255" t="s">
        <v>720</v>
      </c>
      <c r="E31" s="1254" t="s">
        <v>770</v>
      </c>
      <c r="F31" s="2136" t="str">
        <f>IF(项目基本情况!B11="企业","——",IF(M47="住宅",IF(F6*F7*F8/12/(1+'数据-取费表'!F30)&gt;100000,4%,2.5%),IF(F6*F7*F8/12/(1+'数据-取费表'!F30)&gt;100000,12%,7%)))</f>
        <v>——</v>
      </c>
      <c r="G31" s="1290"/>
      <c r="H31" s="2565" t="s">
        <v>2301</v>
      </c>
      <c r="I31" s="1303"/>
      <c r="J31" s="1304"/>
      <c r="K31" s="121"/>
      <c r="L31" s="2467"/>
      <c r="M31" s="2468"/>
    </row>
    <row r="32" spans="1:37" ht="18" customHeight="1">
      <c r="A32" s="926" t="s">
        <v>397</v>
      </c>
      <c r="B32" s="294" t="s">
        <v>723</v>
      </c>
      <c r="C32" s="21">
        <f ca="1">IF(项目基本情况!B11="自然人","——",ROUND(C6*F32/(1+'数据-取费表'!C42),0))</f>
        <v>23919</v>
      </c>
      <c r="D32" s="1254" t="s">
        <v>724</v>
      </c>
      <c r="E32" s="294" t="s">
        <v>712</v>
      </c>
      <c r="F32" s="322">
        <f>'数据-取费表'!B41</f>
        <v>5.6000000000000001E-2</v>
      </c>
      <c r="G32" s="1290"/>
      <c r="H32" s="2466"/>
      <c r="I32" s="1303"/>
      <c r="J32" s="1304"/>
      <c r="K32" s="121"/>
      <c r="L32" s="2467"/>
      <c r="M32" s="2468"/>
    </row>
    <row r="33" spans="1:18" ht="18" customHeight="1">
      <c r="A33" s="926" t="s">
        <v>399</v>
      </c>
      <c r="B33" s="294" t="s">
        <v>727</v>
      </c>
      <c r="C33" s="21">
        <f ca="1">IF(项目基本情况!B11="自然人","——",IF(D33="按租金收入计税",ROUND(C6*F33/(1+'数据-取费表'!C42),0),IF(D33="按房产原值计税",ROUND(C29*F33*0.7,0),INDIRECT("'数据-取费表'!Aj"&amp;$G$1))))</f>
        <v>51254</v>
      </c>
      <c r="D33" s="1276" t="s">
        <v>3330</v>
      </c>
      <c r="E33" s="294" t="s">
        <v>712</v>
      </c>
      <c r="F33" s="314">
        <f>IF(D33="按票据","——",IF(D33="按租金收入计税",'数据-取费表'!B51,'数据-取费表'!B50))</f>
        <v>0.12</v>
      </c>
      <c r="G33" s="1290"/>
      <c r="H33" s="2469"/>
      <c r="I33" s="1303"/>
      <c r="J33" s="1304"/>
      <c r="K33" s="2470"/>
      <c r="L33" s="2469"/>
      <c r="M33" s="2469"/>
    </row>
    <row r="34" spans="1:18" ht="18" customHeight="1">
      <c r="A34" s="1004" t="s">
        <v>680</v>
      </c>
      <c r="B34" s="147" t="s">
        <v>730</v>
      </c>
      <c r="C34" s="22">
        <f ca="1">IF(项目基本情况!B11="自然人","——",ROUND(F34*F35,0))</f>
        <v>0</v>
      </c>
      <c r="D34" s="316" t="s">
        <v>731</v>
      </c>
      <c r="E34" s="294" t="s">
        <v>732</v>
      </c>
      <c r="F34" s="317">
        <f>'数据-取费表'!B52</f>
        <v>3</v>
      </c>
      <c r="G34" s="1290"/>
      <c r="H34" s="2466"/>
      <c r="I34" s="1303"/>
      <c r="J34" s="1304"/>
      <c r="K34" s="2471"/>
      <c r="L34" s="2472"/>
      <c r="M34" s="2472"/>
    </row>
    <row r="35" spans="1:18" ht="18" customHeight="1">
      <c r="A35" s="1038"/>
      <c r="B35" s="1036"/>
      <c r="C35" s="26"/>
      <c r="D35" s="319"/>
      <c r="E35" s="294" t="s">
        <v>736</v>
      </c>
      <c r="F35" s="295">
        <f ca="1">INDIRECT("'数据-取费表'!r"&amp;$G$1)</f>
        <v>0</v>
      </c>
      <c r="G35" s="1290"/>
      <c r="H35" s="2466"/>
      <c r="I35" s="1303"/>
      <c r="J35" s="1304"/>
      <c r="K35" s="2470"/>
      <c r="L35" s="2469"/>
      <c r="M35" s="2469"/>
    </row>
    <row r="36" spans="1:18" ht="18" customHeight="1">
      <c r="A36" s="1037" t="s">
        <v>402</v>
      </c>
      <c r="B36" s="294" t="s">
        <v>738</v>
      </c>
      <c r="C36" s="21">
        <f ca="1">ROUND(C29*F36,0)</f>
        <v>14367</v>
      </c>
      <c r="D36" s="1254" t="s">
        <v>771</v>
      </c>
      <c r="E36" s="294" t="s">
        <v>712</v>
      </c>
      <c r="F36" s="320">
        <f ca="1">INDIRECT("'数据-取费表'!Ak"&amp;$G$1)</f>
        <v>0.01</v>
      </c>
      <c r="G36" s="1290"/>
      <c r="H36" s="2469"/>
      <c r="I36" s="1303"/>
      <c r="J36" s="1304"/>
      <c r="K36" s="2327"/>
      <c r="L36" s="2469"/>
      <c r="M36" s="2469"/>
    </row>
    <row r="37" spans="1:18" ht="18" customHeight="1">
      <c r="A37" s="926" t="s">
        <v>437</v>
      </c>
      <c r="B37" s="294" t="s">
        <v>742</v>
      </c>
      <c r="C37" s="21">
        <f ca="1">ROUND(C13*F37,0)</f>
        <v>1164</v>
      </c>
      <c r="D37" s="1254" t="s">
        <v>743</v>
      </c>
      <c r="E37" s="294" t="s">
        <v>744</v>
      </c>
      <c r="F37" s="321">
        <f ca="1">INDIRECT("'数据-取费表'!Al"&amp;$G$1)</f>
        <v>1E-3</v>
      </c>
      <c r="G37" s="1290"/>
      <c r="H37" s="2469"/>
      <c r="I37" s="1303"/>
      <c r="J37" s="1304"/>
      <c r="K37" s="2327"/>
      <c r="L37" s="2469"/>
      <c r="M37" s="2469"/>
    </row>
    <row r="38" spans="1:18" ht="18" customHeight="1" thickBot="1">
      <c r="A38" s="1024" t="s">
        <v>684</v>
      </c>
      <c r="B38" s="1025" t="s">
        <v>728</v>
      </c>
      <c r="C38" s="1026">
        <f ca="1">ROUND(C5*F38,0)</f>
        <v>4490</v>
      </c>
      <c r="D38" s="1027" t="s">
        <v>748</v>
      </c>
      <c r="E38" s="1025" t="s">
        <v>744</v>
      </c>
      <c r="F38" s="1021">
        <f ca="1">INDIRECT("'数据-取费表'!Am"&amp;$G$1)</f>
        <v>0.01</v>
      </c>
      <c r="G38" s="1290"/>
      <c r="H38" s="2469"/>
      <c r="I38" s="1303"/>
      <c r="J38" s="1304"/>
      <c r="K38" s="2467"/>
      <c r="L38" s="2469"/>
      <c r="M38" s="2469"/>
    </row>
    <row r="39" spans="1:18" ht="24.6" customHeight="1" thickTop="1">
      <c r="A39" s="1014" t="s">
        <v>394</v>
      </c>
      <c r="B39" s="1029" t="s">
        <v>772</v>
      </c>
      <c r="C39" s="302">
        <f ca="1">C5-C30</f>
        <v>353843</v>
      </c>
      <c r="D39" s="1030" t="s">
        <v>773</v>
      </c>
      <c r="E39" s="1031"/>
      <c r="F39" s="1032"/>
      <c r="G39" s="1290"/>
      <c r="H39" s="2469"/>
      <c r="I39" s="1303"/>
      <c r="J39" s="1304"/>
      <c r="K39" s="2467"/>
      <c r="L39" s="2469"/>
      <c r="M39" s="2469"/>
    </row>
    <row r="40" spans="1:18" ht="18" customHeight="1">
      <c r="A40" s="291" t="s">
        <v>395</v>
      </c>
      <c r="B40" s="292" t="s">
        <v>774</v>
      </c>
      <c r="C40" s="293">
        <f ca="1">ROUND(C39*(1-((1+F42)/(1+F40))^F41)/(F40-F42),0)</f>
        <v>5970790</v>
      </c>
      <c r="D40" s="316" t="s">
        <v>758</v>
      </c>
      <c r="E40" s="294" t="s">
        <v>759</v>
      </c>
      <c r="F40" s="304">
        <f ca="1">INDIRECT("'数据-取费表'!I"&amp;$G$1)</f>
        <v>5.5E-2</v>
      </c>
      <c r="G40" s="1290"/>
      <c r="H40" s="1364"/>
      <c r="I40" s="1303"/>
      <c r="J40" s="1304"/>
      <c r="K40" s="2467"/>
      <c r="L40" s="1364"/>
      <c r="M40" s="1364"/>
    </row>
    <row r="41" spans="1:18" ht="18" customHeight="1">
      <c r="A41" s="296"/>
      <c r="B41" s="297"/>
      <c r="C41" s="298"/>
      <c r="D41" s="323" t="s">
        <v>775</v>
      </c>
      <c r="E41" s="294" t="s">
        <v>763</v>
      </c>
      <c r="F41" s="324">
        <f ca="1">IF(INDIRECT("'数据-取费表'!af"&amp;$G$1)=0,INDIRECT("'数据-取费表'!ae"&amp;$G$1),INDIRECT("'数据-取费表'!af"&amp;$G$1))</f>
        <v>26.47</v>
      </c>
      <c r="G41" s="1290"/>
      <c r="H41" s="121"/>
      <c r="I41" s="1303"/>
      <c r="J41" s="1304"/>
      <c r="K41" s="2327"/>
      <c r="L41" s="121"/>
      <c r="M41" s="121"/>
    </row>
    <row r="42" spans="1:18" ht="18" customHeight="1">
      <c r="A42" s="300"/>
      <c r="B42" s="301"/>
      <c r="C42" s="302"/>
      <c r="D42" s="319"/>
      <c r="E42" s="294" t="s">
        <v>766</v>
      </c>
      <c r="F42" s="304">
        <f ca="1">INDIRECT("'数据-取费表'!v"&amp;$G$1)</f>
        <v>0.02</v>
      </c>
      <c r="G42" s="1290"/>
      <c r="H42" s="121">
        <f ca="1">C39/C5</f>
        <v>0.78800410656582864</v>
      </c>
      <c r="I42" s="1303"/>
      <c r="J42" s="1304"/>
      <c r="K42" s="2327"/>
      <c r="L42" s="121"/>
      <c r="M42" s="121"/>
    </row>
    <row r="43" spans="1:18" ht="18" customHeight="1" thickBot="1">
      <c r="A43" s="325" t="s">
        <v>396</v>
      </c>
      <c r="B43" s="326" t="s">
        <v>776</v>
      </c>
      <c r="C43" s="327">
        <f ca="1">ROUND(C40/F43,0)</f>
        <v>24297</v>
      </c>
      <c r="D43" s="328" t="s">
        <v>777</v>
      </c>
      <c r="E43" s="329" t="s">
        <v>778</v>
      </c>
      <c r="F43" s="330">
        <f ca="1">INDIRECT("'数据-取费表'!k"&amp;$G$1)</f>
        <v>245.74</v>
      </c>
      <c r="G43" s="1290"/>
      <c r="H43" s="121"/>
      <c r="I43" s="121"/>
      <c r="J43" s="121"/>
      <c r="K43" s="2327"/>
      <c r="L43" s="121"/>
      <c r="M43" s="121"/>
    </row>
    <row r="44" spans="1:18" s="1290" customFormat="1" ht="18" customHeight="1">
      <c r="A44" s="1305"/>
      <c r="B44" s="1305"/>
      <c r="C44" s="1306"/>
      <c r="D44" s="1305"/>
      <c r="E44" s="1305"/>
      <c r="F44" s="1305"/>
      <c r="K44" s="1307"/>
    </row>
    <row r="45" spans="1:18" s="1290" customFormat="1" ht="18" customHeight="1" thickBot="1">
      <c r="A45" s="3125" t="s">
        <v>3346</v>
      </c>
      <c r="B45" s="1305"/>
      <c r="C45" s="1374">
        <f ca="1">ROUND((C68-C40)/10000,4)</f>
        <v>-618.47260000000006</v>
      </c>
      <c r="D45" s="3126" t="s">
        <v>3347</v>
      </c>
      <c r="E45" s="1305"/>
      <c r="F45" s="1305"/>
      <c r="O45" s="1308" t="s">
        <v>808</v>
      </c>
      <c r="P45" s="1364"/>
      <c r="Q45" s="1364"/>
      <c r="R45" s="1364"/>
    </row>
    <row r="46" spans="1:18" s="1290" customFormat="1" ht="13.8" thickBot="1">
      <c r="A46" s="1309" t="s">
        <v>809</v>
      </c>
      <c r="C46" s="1310">
        <f ca="1">ROUND(C45,0)</f>
        <v>-618</v>
      </c>
      <c r="D46" s="1311" t="str">
        <f>C2</f>
        <v>万元</v>
      </c>
      <c r="I46" s="1312" t="s">
        <v>810</v>
      </c>
      <c r="J46" s="1313"/>
      <c r="K46" s="1314"/>
      <c r="L46" s="1315">
        <f ca="1">IF(M47="住宅",0,IF(L48&gt;J51,L60,J60))</f>
        <v>84729</v>
      </c>
      <c r="O46" s="1316" t="s">
        <v>811</v>
      </c>
      <c r="P46" s="1317" t="s">
        <v>812</v>
      </c>
      <c r="Q46" s="1318" t="s">
        <v>813</v>
      </c>
      <c r="R46" s="1318" t="s">
        <v>814</v>
      </c>
    </row>
    <row r="47" spans="1:18" s="1290" customFormat="1" ht="13.8" thickBot="1">
      <c r="A47" s="890" t="s">
        <v>687</v>
      </c>
      <c r="B47" s="922" t="s">
        <v>688</v>
      </c>
      <c r="C47" s="922" t="s">
        <v>689</v>
      </c>
      <c r="D47" s="922" t="s">
        <v>690</v>
      </c>
      <c r="E47" s="993" t="s">
        <v>691</v>
      </c>
      <c r="F47" s="994"/>
      <c r="G47" s="681"/>
      <c r="I47" s="1319" t="s">
        <v>815</v>
      </c>
      <c r="J47" s="1320" t="s">
        <v>3417</v>
      </c>
      <c r="K47" s="1321" t="s">
        <v>816</v>
      </c>
      <c r="L47" s="1322">
        <f ca="1">INDIRECT("'数据-取费表'!d"&amp;$G$1)</f>
        <v>0</v>
      </c>
      <c r="M47" s="1286" t="str">
        <f>IF(ISNUMBER(FIND("住宅",C1)),"住宅","非住宅")</f>
        <v>非住宅</v>
      </c>
      <c r="O47" s="1323" t="s">
        <v>403</v>
      </c>
      <c r="P47" s="1324" t="s">
        <v>817</v>
      </c>
      <c r="Q47" s="1325">
        <f ca="1">C40+J29</f>
        <v>5970790</v>
      </c>
      <c r="R47" s="1325" t="s">
        <v>818</v>
      </c>
    </row>
    <row r="48" spans="1:18" s="1290" customFormat="1" ht="40.200000000000003" thickBot="1">
      <c r="A48" s="1045" t="s">
        <v>438</v>
      </c>
      <c r="B48" s="292" t="s">
        <v>692</v>
      </c>
      <c r="C48" s="1266">
        <f ca="1">C49+C53+C55</f>
        <v>0</v>
      </c>
      <c r="D48" s="1047"/>
      <c r="E48" s="1048"/>
      <c r="F48" s="906"/>
      <c r="G48" s="681"/>
      <c r="H48" s="682"/>
      <c r="I48" s="1326" t="s">
        <v>819</v>
      </c>
      <c r="J48" s="1327" t="s">
        <v>3455</v>
      </c>
      <c r="K48" s="1328" t="s">
        <v>820</v>
      </c>
      <c r="L48" s="1329">
        <f ca="1">INDIRECT("'数据-取费表'!f"&amp;$G$1)</f>
        <v>26.47</v>
      </c>
      <c r="O48" s="1323" t="s">
        <v>404</v>
      </c>
      <c r="P48" s="1324" t="s">
        <v>821</v>
      </c>
      <c r="Q48" s="1325">
        <f ca="1">J60</f>
        <v>84729</v>
      </c>
      <c r="R48" s="1325" t="s">
        <v>822</v>
      </c>
    </row>
    <row r="49" spans="1:18" s="1290" customFormat="1" ht="13.8" thickBot="1">
      <c r="A49" s="919" t="s">
        <v>439</v>
      </c>
      <c r="B49" s="1277" t="s">
        <v>779</v>
      </c>
      <c r="C49" s="1049">
        <f ca="1">ROUND(F49*F51*F50*(1-F52),0)</f>
        <v>0</v>
      </c>
      <c r="D49" s="990" t="s">
        <v>695</v>
      </c>
      <c r="E49" s="1278" t="s">
        <v>780</v>
      </c>
      <c r="F49" s="995"/>
      <c r="H49" s="682"/>
      <c r="I49" s="1326" t="s">
        <v>823</v>
      </c>
      <c r="J49" s="1330">
        <f>'数据-取费表'!N18</f>
        <v>2011</v>
      </c>
      <c r="K49" s="1328" t="s">
        <v>824</v>
      </c>
      <c r="L49" s="1331"/>
      <c r="O49" s="1332" t="s">
        <v>405</v>
      </c>
      <c r="P49" s="1324" t="s">
        <v>825</v>
      </c>
      <c r="Q49" s="1325">
        <f ca="1">C29</f>
        <v>1436663</v>
      </c>
      <c r="R49" s="1325" t="s">
        <v>818</v>
      </c>
    </row>
    <row r="50" spans="1:18" s="1290" customFormat="1" ht="13.8" thickBot="1">
      <c r="A50" s="920"/>
      <c r="B50" s="923"/>
      <c r="C50" s="924"/>
      <c r="D50" s="897"/>
      <c r="E50" s="991" t="s">
        <v>697</v>
      </c>
      <c r="F50" s="992">
        <f ca="1">F7</f>
        <v>245.74</v>
      </c>
      <c r="H50" s="682"/>
      <c r="I50" s="1326" t="s">
        <v>826</v>
      </c>
      <c r="J50" s="1333">
        <f>SUMPRODUCT((I63:I65=J47)*(J62:L62=J48)*(J63:L65))</f>
        <v>60</v>
      </c>
      <c r="K50" s="1328" t="s">
        <v>827</v>
      </c>
      <c r="L50" s="1331"/>
      <c r="M50" s="1334"/>
      <c r="O50" s="1332" t="s">
        <v>406</v>
      </c>
      <c r="P50" s="1324" t="s">
        <v>828</v>
      </c>
      <c r="Q50" s="1335">
        <f ca="1">J58</f>
        <v>0.4</v>
      </c>
      <c r="R50" s="1325"/>
    </row>
    <row r="51" spans="1:18" s="1290" customFormat="1" ht="13.8" thickBot="1">
      <c r="A51" s="921"/>
      <c r="B51" s="923"/>
      <c r="C51" s="924"/>
      <c r="D51" s="897"/>
      <c r="E51" s="925" t="s">
        <v>698</v>
      </c>
      <c r="F51" s="295">
        <f ca="1">F8</f>
        <v>365</v>
      </c>
      <c r="I51" s="1336" t="s">
        <v>829</v>
      </c>
      <c r="J51" s="1329">
        <f>IF(J49="",J50,J49+J50-YEAR('数据-取费表'!B2))</f>
        <v>46</v>
      </c>
      <c r="K51" s="1337" t="s">
        <v>830</v>
      </c>
      <c r="L51" s="1338">
        <f ca="1">ROUND(-PV(INDIRECT("'数据-取费表'!h"&amp;$G$1),J51,(C39-C13*C76),0),0)</f>
        <v>4870248</v>
      </c>
      <c r="M51" s="1339"/>
      <c r="O51" s="1332" t="s">
        <v>407</v>
      </c>
      <c r="P51" s="1324" t="s">
        <v>831</v>
      </c>
      <c r="Q51" s="1335">
        <f>J52</f>
        <v>7.4999999999999997E-2</v>
      </c>
      <c r="R51" s="1325"/>
    </row>
    <row r="52" spans="1:18" s="1290" customFormat="1" ht="13.8" thickBot="1">
      <c r="A52" s="921"/>
      <c r="B52" s="923"/>
      <c r="C52" s="924"/>
      <c r="D52" s="897"/>
      <c r="E52" s="925" t="s">
        <v>699</v>
      </c>
      <c r="F52" s="989"/>
      <c r="I52" s="1340" t="s">
        <v>832</v>
      </c>
      <c r="J52" s="1341">
        <v>7.4999999999999997E-2</v>
      </c>
      <c r="K52" s="1340" t="s">
        <v>833</v>
      </c>
      <c r="L52" s="1341"/>
      <c r="O52" s="1332" t="s">
        <v>408</v>
      </c>
      <c r="P52" s="1324" t="s">
        <v>834</v>
      </c>
      <c r="Q52" s="1325">
        <f ca="1">J53</f>
        <v>26.47</v>
      </c>
      <c r="R52" s="1325" t="s">
        <v>835</v>
      </c>
    </row>
    <row r="53" spans="1:18" s="1290" customFormat="1" ht="30.75" customHeight="1" thickBot="1">
      <c r="A53" s="1046" t="s">
        <v>440</v>
      </c>
      <c r="B53" s="315" t="s">
        <v>700</v>
      </c>
      <c r="C53" s="308">
        <f ca="1">ROUND(IF(F53="押一",C49/12*F11,IF(F53="押二",C49/12*2*F11,IF(F53="押三",C49/12*3*F11,C54*F11))),0)</f>
        <v>0</v>
      </c>
      <c r="D53" s="150" t="s">
        <v>2114</v>
      </c>
      <c r="E53" s="305" t="s">
        <v>701</v>
      </c>
      <c r="F53" s="1051"/>
      <c r="I53" s="1342" t="s">
        <v>836</v>
      </c>
      <c r="J53" s="2003">
        <f ca="1">IF(M47="住宅",IF(D1="——",MAX(J51,L48),MAX(J51,L48-'数据-取费表'!B24)),IF(D1="——",MIN(J51,L48),MIN(J51,L48-'数据-取费表'!B24)))</f>
        <v>26.47</v>
      </c>
      <c r="K53" s="3416" t="s">
        <v>837</v>
      </c>
      <c r="L53" s="3417"/>
      <c r="O53" s="1323" t="s">
        <v>409</v>
      </c>
      <c r="P53" s="1324" t="s">
        <v>838</v>
      </c>
      <c r="Q53" s="1325">
        <f ca="1">Q47+Q48</f>
        <v>6055519</v>
      </c>
      <c r="R53" s="1325" t="s">
        <v>410</v>
      </c>
    </row>
    <row r="54" spans="1:18" s="1290" customFormat="1" ht="13.8" thickBot="1">
      <c r="A54" s="919"/>
      <c r="B54" s="1375" t="s">
        <v>891</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8" thickBot="1">
      <c r="A55" s="1018" t="s">
        <v>437</v>
      </c>
      <c r="B55" s="1275" t="s">
        <v>703</v>
      </c>
      <c r="C55" s="1019"/>
      <c r="D55" s="150"/>
      <c r="E55" s="1280"/>
      <c r="F55" s="1343"/>
      <c r="I55" s="1346" t="s">
        <v>840</v>
      </c>
      <c r="J55" s="1347">
        <f ca="1">ROUND(IF(J47="钢混",J57/J50,1-(1-2%)*(J50-J57)/J50),3)</f>
        <v>0.32600000000000001</v>
      </c>
      <c r="K55" s="1348" t="s">
        <v>841</v>
      </c>
      <c r="L55" s="1349"/>
      <c r="O55" s="1316" t="s">
        <v>811</v>
      </c>
      <c r="P55" s="1317" t="s">
        <v>812</v>
      </c>
      <c r="Q55" s="1318" t="s">
        <v>813</v>
      </c>
      <c r="R55" s="1318" t="s">
        <v>814</v>
      </c>
    </row>
    <row r="56" spans="1:18" s="1290" customFormat="1" ht="36" customHeight="1" thickTop="1" thickBot="1">
      <c r="A56" s="901">
        <v>2</v>
      </c>
      <c r="B56" s="902" t="s">
        <v>704</v>
      </c>
      <c r="C56" s="224">
        <f ca="1">C13</f>
        <v>1163697</v>
      </c>
      <c r="D56" s="1350"/>
      <c r="E56" s="1351"/>
      <c r="F56" s="1343"/>
      <c r="I56" s="1352" t="s">
        <v>842</v>
      </c>
      <c r="J56" s="1353" t="s">
        <v>3434</v>
      </c>
      <c r="K56" s="1326" t="s">
        <v>843</v>
      </c>
      <c r="L56" s="1329" t="str">
        <f ca="1">IF(L48&lt;J51,"——",L48-J51)</f>
        <v>——</v>
      </c>
      <c r="O56" s="1323" t="s">
        <v>403</v>
      </c>
      <c r="P56" s="1324" t="s">
        <v>817</v>
      </c>
      <c r="Q56" s="1325">
        <f ca="1">C40+J29</f>
        <v>5970790</v>
      </c>
      <c r="R56" s="1325" t="s">
        <v>818</v>
      </c>
    </row>
    <row r="57" spans="1:18" s="1290" customFormat="1" ht="24.6" thickBot="1">
      <c r="A57" s="1354"/>
      <c r="B57" s="894" t="s">
        <v>767</v>
      </c>
      <c r="C57" s="230">
        <f ca="1">C29</f>
        <v>1436663</v>
      </c>
      <c r="D57" s="1355"/>
      <c r="E57" s="1356"/>
      <c r="F57" s="1357"/>
      <c r="I57" s="1358" t="s">
        <v>844</v>
      </c>
      <c r="J57" s="1359">
        <f ca="1">IF(OR(M47="住宅",J51&lt;L48,J56="是"),"——",J51-L48)</f>
        <v>19.53</v>
      </c>
      <c r="K57" s="1326" t="s">
        <v>892</v>
      </c>
      <c r="L57" s="1329" t="str">
        <f ca="1">IF(L48&lt;J51,"——",IF(L55="比较法",L49,IF(L55="基准地价",L50,L51)))</f>
        <v>——</v>
      </c>
      <c r="O57" s="1323" t="s">
        <v>404</v>
      </c>
      <c r="P57" s="1324" t="s">
        <v>893</v>
      </c>
      <c r="Q57" s="1325">
        <f ca="1">L60</f>
        <v>0</v>
      </c>
      <c r="R57" s="1325" t="s">
        <v>894</v>
      </c>
    </row>
    <row r="58" spans="1:18" s="1290" customFormat="1" ht="24.6" thickBot="1">
      <c r="A58" s="307" t="s">
        <v>393</v>
      </c>
      <c r="B58" s="902" t="s">
        <v>714</v>
      </c>
      <c r="C58" s="308">
        <f ca="1">ROUND(C59+C64+C65+C66,0)</f>
        <v>15531</v>
      </c>
      <c r="D58" s="904" t="s">
        <v>715</v>
      </c>
      <c r="E58" s="905"/>
      <c r="F58" s="906"/>
      <c r="I58" s="1358" t="s">
        <v>848</v>
      </c>
      <c r="J58" s="1360">
        <f ca="1">IF(J55&lt;0.4,0.4,J55)</f>
        <v>0.4</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6" t="s">
        <v>398</v>
      </c>
      <c r="B59" s="894" t="s">
        <v>719</v>
      </c>
      <c r="C59" s="2137">
        <f ca="1">ROUND(IF(AND(项目基本情况!B11="自然人",项目基本情况!B10="北京市"),C49*F59/(1+'数据-取费表'!C42),C60+C61+C62),0)</f>
        <v>0</v>
      </c>
      <c r="D59" s="907" t="s">
        <v>720</v>
      </c>
      <c r="E59" s="908" t="s">
        <v>721</v>
      </c>
      <c r="F59" s="2136" t="str">
        <f>IF(项目基本情况!B11="企业","——",IF('数据-取费表'!B10="住宅",IF(F49*F50*F51/12/(1+'数据-取费表'!F30)&gt;100000,4%,2.5%),IF(F49*F50*F51/12/(1+'数据-取费表'!F30)&gt;100000,12%,7%)))</f>
        <v>——</v>
      </c>
      <c r="I59" s="1358" t="s">
        <v>851</v>
      </c>
      <c r="J59" s="1359">
        <f ca="1">IF(OR(M47="住宅",J51&lt;L48,J56="是"),"——",ROUND(C29*J58,0))</f>
        <v>574665</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2" thickBot="1">
      <c r="A60" s="926" t="s">
        <v>397</v>
      </c>
      <c r="B60" s="894" t="s">
        <v>723</v>
      </c>
      <c r="C60" s="21">
        <f ca="1">IF(项目基本情况!B11="自然人","——",ROUND(C48*F60/(1+'数据-取费表'!C42),0))</f>
        <v>0</v>
      </c>
      <c r="D60" s="908" t="s">
        <v>724</v>
      </c>
      <c r="E60" s="894" t="s">
        <v>712</v>
      </c>
      <c r="F60" s="322">
        <f t="shared" ref="F60:F66" si="0">F32</f>
        <v>5.6000000000000001E-2</v>
      </c>
      <c r="I60" s="1361" t="s">
        <v>853</v>
      </c>
      <c r="J60" s="1362">
        <f ca="1">IF(OR(M47="住宅",J51&lt;L48,J56="是"),"0",ROUND(J59/(1+J52)^J53,0))</f>
        <v>84729</v>
      </c>
      <c r="K60" s="1363" t="s">
        <v>854</v>
      </c>
      <c r="L60" s="1362">
        <f ca="1">IF(OR(M47="住宅",L48&lt;J51),0,ROUND(L57*(L58/L59-1),0))</f>
        <v>0</v>
      </c>
      <c r="O60" s="1332" t="s">
        <v>407</v>
      </c>
      <c r="P60" s="1324" t="s">
        <v>855</v>
      </c>
      <c r="Q60" s="1325" t="e">
        <f ca="1">L58</f>
        <v>#DIV/0!</v>
      </c>
      <c r="R60" s="1325" t="s">
        <v>856</v>
      </c>
    </row>
    <row r="61" spans="1:18" s="1290" customFormat="1" ht="13.8" thickBot="1">
      <c r="A61" s="926" t="s">
        <v>781</v>
      </c>
      <c r="B61" s="894" t="s">
        <v>782</v>
      </c>
      <c r="C61" s="21">
        <f ca="1">IF(项目基本情况!B11="自然人","——",IF(D61="按租金收入计税",ROUND(C49*F61/(1+'数据-取费表'!C42),0),IF(D61="按房产原值计税",ROUND(C57*F61*0.7,0),INDIRECT("'数据-取费表'!Aj"&amp;$G$1))))</f>
        <v>0</v>
      </c>
      <c r="D61" s="1276" t="s">
        <v>3330</v>
      </c>
      <c r="E61" s="894"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6" t="s">
        <v>784</v>
      </c>
      <c r="B62" s="893" t="s">
        <v>785</v>
      </c>
      <c r="C62" s="22">
        <f ca="1">IF(项目基本情况!B11="自然人","——",ROUND(F62*F63,0))</f>
        <v>0</v>
      </c>
      <c r="D62" s="909" t="s">
        <v>786</v>
      </c>
      <c r="E62" s="894" t="s">
        <v>787</v>
      </c>
      <c r="F62" s="317">
        <f t="shared" si="0"/>
        <v>3</v>
      </c>
      <c r="I62" s="1365" t="s">
        <v>858</v>
      </c>
      <c r="J62" s="610" t="s">
        <v>859</v>
      </c>
      <c r="K62" s="610" t="s">
        <v>860</v>
      </c>
      <c r="L62" s="610" t="s">
        <v>861</v>
      </c>
      <c r="M62" s="1366" t="s">
        <v>862</v>
      </c>
      <c r="O62" s="1323" t="s">
        <v>409</v>
      </c>
      <c r="P62" s="1324" t="s">
        <v>863</v>
      </c>
      <c r="Q62" s="1325">
        <f ca="1">Q56+Q57</f>
        <v>5970790</v>
      </c>
      <c r="R62" s="1325" t="s">
        <v>410</v>
      </c>
    </row>
    <row r="63" spans="1:18" s="1290" customFormat="1" ht="13.8" thickBot="1">
      <c r="A63" s="318"/>
      <c r="B63" s="900"/>
      <c r="C63" s="26"/>
      <c r="D63" s="910"/>
      <c r="E63" s="894" t="s">
        <v>788</v>
      </c>
      <c r="F63" s="295">
        <f t="shared" ca="1" si="0"/>
        <v>0</v>
      </c>
      <c r="I63" s="1365" t="s">
        <v>864</v>
      </c>
      <c r="J63" s="610">
        <v>70</v>
      </c>
      <c r="K63" s="610">
        <v>50</v>
      </c>
      <c r="L63" s="610">
        <v>80</v>
      </c>
      <c r="M63" s="1367">
        <v>0.02</v>
      </c>
      <c r="O63" s="1308" t="s">
        <v>865</v>
      </c>
      <c r="P63" s="1287"/>
      <c r="Q63" s="1287"/>
      <c r="R63" s="1287"/>
    </row>
    <row r="64" spans="1:18" s="1290" customFormat="1" ht="13.8" thickBot="1">
      <c r="A64" s="926" t="s">
        <v>789</v>
      </c>
      <c r="B64" s="894" t="s">
        <v>790</v>
      </c>
      <c r="C64" s="21">
        <f ca="1">ROUND(C57*F64,0)</f>
        <v>14367</v>
      </c>
      <c r="D64" s="908" t="s">
        <v>791</v>
      </c>
      <c r="E64" s="894" t="s">
        <v>783</v>
      </c>
      <c r="F64" s="320">
        <f t="shared" ca="1" si="0"/>
        <v>0.01</v>
      </c>
      <c r="I64" s="1365" t="s">
        <v>866</v>
      </c>
      <c r="J64" s="610">
        <v>50</v>
      </c>
      <c r="K64" s="610">
        <v>35</v>
      </c>
      <c r="L64" s="610">
        <v>60</v>
      </c>
      <c r="M64" s="1366">
        <v>0</v>
      </c>
      <c r="O64" s="1316" t="s">
        <v>811</v>
      </c>
      <c r="P64" s="1317" t="s">
        <v>812</v>
      </c>
      <c r="Q64" s="1318" t="s">
        <v>813</v>
      </c>
      <c r="R64" s="1318" t="s">
        <v>814</v>
      </c>
    </row>
    <row r="65" spans="1:18" s="1290" customFormat="1" ht="13.8" thickBot="1">
      <c r="A65" s="926" t="s">
        <v>792</v>
      </c>
      <c r="B65" s="894" t="s">
        <v>742</v>
      </c>
      <c r="C65" s="21">
        <f ca="1">ROUND(C56*F65,0)</f>
        <v>1164</v>
      </c>
      <c r="D65" s="908" t="s">
        <v>743</v>
      </c>
      <c r="E65" s="894" t="s">
        <v>744</v>
      </c>
      <c r="F65" s="321">
        <f t="shared" ca="1" si="0"/>
        <v>1E-3</v>
      </c>
      <c r="I65" s="1365" t="s">
        <v>867</v>
      </c>
      <c r="J65" s="610">
        <v>40</v>
      </c>
      <c r="K65" s="610">
        <v>30</v>
      </c>
      <c r="L65" s="610">
        <v>50</v>
      </c>
      <c r="M65" s="1367">
        <v>0.02</v>
      </c>
      <c r="O65" s="1323" t="s">
        <v>403</v>
      </c>
      <c r="P65" s="1324" t="s">
        <v>868</v>
      </c>
      <c r="Q65" s="1325">
        <f ca="1">C40+J29</f>
        <v>5970790</v>
      </c>
      <c r="R65" s="1325" t="s">
        <v>818</v>
      </c>
    </row>
    <row r="66" spans="1:18" s="1290" customFormat="1" ht="16.2" thickBot="1">
      <c r="A66" s="926" t="s">
        <v>793</v>
      </c>
      <c r="B66" s="894" t="s">
        <v>728</v>
      </c>
      <c r="C66" s="21">
        <f ca="1">ROUND(C48*F66,0)</f>
        <v>0</v>
      </c>
      <c r="D66" s="908" t="s">
        <v>794</v>
      </c>
      <c r="E66" s="894" t="s">
        <v>712</v>
      </c>
      <c r="F66" s="304">
        <f t="shared" ca="1" si="0"/>
        <v>0.01</v>
      </c>
      <c r="O66" s="1323" t="s">
        <v>404</v>
      </c>
      <c r="P66" s="1324" t="s">
        <v>846</v>
      </c>
      <c r="Q66" s="1325">
        <f ca="1">L60</f>
        <v>0</v>
      </c>
      <c r="R66" s="1325" t="s">
        <v>869</v>
      </c>
    </row>
    <row r="67" spans="1:18" s="1290" customFormat="1" ht="24.6" thickBot="1">
      <c r="A67" s="901" t="s">
        <v>394</v>
      </c>
      <c r="B67" s="911" t="s">
        <v>752</v>
      </c>
      <c r="C67" s="308">
        <f ca="1">C48-C58</f>
        <v>-15531</v>
      </c>
      <c r="D67" s="907" t="s">
        <v>753</v>
      </c>
      <c r="E67" s="912"/>
      <c r="F67" s="913"/>
      <c r="O67" s="1332" t="s">
        <v>405</v>
      </c>
      <c r="P67" s="1324" t="s">
        <v>850</v>
      </c>
      <c r="Q67" s="1368">
        <f ca="1">L51</f>
        <v>4870248</v>
      </c>
      <c r="R67" s="1325" t="s">
        <v>870</v>
      </c>
    </row>
    <row r="68" spans="1:18" s="1290" customFormat="1" ht="16.2" thickBot="1">
      <c r="A68" s="891" t="s">
        <v>395</v>
      </c>
      <c r="B68" s="892" t="s">
        <v>774</v>
      </c>
      <c r="C68" s="293">
        <f ca="1">ROUND(C67*(1-((1+F70)/(1+F68))^F69)/(F68-F70),0)</f>
        <v>-213936</v>
      </c>
      <c r="D68" s="909" t="s">
        <v>758</v>
      </c>
      <c r="E68" s="894" t="s">
        <v>759</v>
      </c>
      <c r="F68" s="304">
        <f ca="1">F40</f>
        <v>5.5E-2</v>
      </c>
      <c r="O68" s="1332" t="s">
        <v>406</v>
      </c>
      <c r="P68" s="1369" t="s">
        <v>871</v>
      </c>
      <c r="Q68" s="1325">
        <f ca="1">ROUND(Q69-Q70*Q71,0)</f>
        <v>272384</v>
      </c>
      <c r="R68" s="1325" t="s">
        <v>414</v>
      </c>
    </row>
    <row r="69" spans="1:18" s="1290" customFormat="1" ht="13.8" thickBot="1">
      <c r="A69" s="895"/>
      <c r="B69" s="896"/>
      <c r="C69" s="298"/>
      <c r="D69" s="914" t="s">
        <v>762</v>
      </c>
      <c r="E69" s="894" t="s">
        <v>763</v>
      </c>
      <c r="F69" s="324">
        <f ca="1">F41</f>
        <v>26.47</v>
      </c>
      <c r="O69" s="1332" t="s">
        <v>411</v>
      </c>
      <c r="P69" s="1369" t="s">
        <v>872</v>
      </c>
      <c r="Q69" s="1325">
        <f ca="1">C39</f>
        <v>353843</v>
      </c>
      <c r="R69" s="1325" t="s">
        <v>818</v>
      </c>
    </row>
    <row r="70" spans="1:18" s="1290" customFormat="1" ht="13.8" thickBot="1">
      <c r="A70" s="898"/>
      <c r="B70" s="899"/>
      <c r="C70" s="302"/>
      <c r="D70" s="910"/>
      <c r="E70" s="894" t="s">
        <v>766</v>
      </c>
      <c r="F70" s="989"/>
      <c r="O70" s="1332" t="s">
        <v>412</v>
      </c>
      <c r="P70" s="1369" t="s">
        <v>873</v>
      </c>
      <c r="Q70" s="1325">
        <f ca="1">C13</f>
        <v>1163697</v>
      </c>
      <c r="R70" s="1325" t="s">
        <v>818</v>
      </c>
    </row>
    <row r="71" spans="1:18" s="1290" customFormat="1" ht="13.8" thickBot="1">
      <c r="A71" s="915" t="s">
        <v>396</v>
      </c>
      <c r="B71" s="916" t="s">
        <v>776</v>
      </c>
      <c r="C71" s="327">
        <f ca="1">ROUND(C68/F71,0)</f>
        <v>-871</v>
      </c>
      <c r="D71" s="917" t="s">
        <v>777</v>
      </c>
      <c r="E71" s="918" t="s">
        <v>778</v>
      </c>
      <c r="F71" s="330">
        <f ca="1">F43</f>
        <v>245.74</v>
      </c>
      <c r="O71" s="1332" t="s">
        <v>413</v>
      </c>
      <c r="P71" s="1369" t="s">
        <v>874</v>
      </c>
      <c r="Q71" s="1335">
        <f ca="1">C76</f>
        <v>7.0000000000000007E-2</v>
      </c>
      <c r="R71" s="1325"/>
    </row>
    <row r="72" spans="1:18" s="1290" customFormat="1" ht="13.8" thickBot="1">
      <c r="B72" s="685"/>
      <c r="C72" s="685"/>
      <c r="O72" s="1332" t="s">
        <v>407</v>
      </c>
      <c r="P72" s="1324" t="s">
        <v>852</v>
      </c>
      <c r="Q72" s="1335">
        <f>L52</f>
        <v>0</v>
      </c>
      <c r="R72" s="1325"/>
    </row>
    <row r="73" spans="1:18" ht="16.2" thickBot="1">
      <c r="A73" s="1290"/>
      <c r="B73" s="685"/>
      <c r="C73" s="685"/>
      <c r="D73" s="1290"/>
      <c r="E73" s="1290"/>
      <c r="F73" s="1290"/>
      <c r="O73" s="1332" t="s">
        <v>408</v>
      </c>
      <c r="P73" s="1324" t="s">
        <v>855</v>
      </c>
      <c r="Q73" s="1325" t="e">
        <f ca="1">L58</f>
        <v>#DIV/0!</v>
      </c>
      <c r="R73" s="1325" t="s">
        <v>856</v>
      </c>
    </row>
    <row r="74" spans="1:18" ht="13.8"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31" t="s">
        <v>795</v>
      </c>
      <c r="C75" s="332">
        <f ca="1">ROUND(C13*C76,0)</f>
        <v>81459</v>
      </c>
      <c r="D75" s="1290"/>
      <c r="E75" s="1290"/>
      <c r="F75" s="1290"/>
      <c r="K75" s="1307"/>
      <c r="L75" s="1290"/>
      <c r="O75" s="1323" t="s">
        <v>409</v>
      </c>
      <c r="P75" s="1324" t="s">
        <v>838</v>
      </c>
      <c r="Q75" s="1325">
        <f ca="1">Q65+Q66</f>
        <v>5970790</v>
      </c>
      <c r="R75" s="1325" t="s">
        <v>410</v>
      </c>
    </row>
    <row r="76" spans="1:18">
      <c r="B76" s="333" t="s">
        <v>796</v>
      </c>
      <c r="C76" s="334">
        <f ca="1">INDIRECT("'数据-取费表'!j"&amp;$G$1)</f>
        <v>7.0000000000000007E-2</v>
      </c>
      <c r="I76" s="1290"/>
      <c r="J76" s="1290"/>
      <c r="K76" s="1307"/>
      <c r="L76" s="1290"/>
    </row>
    <row r="77" spans="1:18">
      <c r="B77" s="335" t="s">
        <v>797</v>
      </c>
      <c r="C77" s="336"/>
      <c r="I77" s="1290"/>
      <c r="J77" s="1290"/>
      <c r="K77" s="1307"/>
      <c r="L77" s="1290"/>
    </row>
    <row r="78" spans="1:18">
      <c r="B78" s="262" t="s">
        <v>798</v>
      </c>
      <c r="C78" s="337"/>
    </row>
    <row r="79" spans="1:18">
      <c r="B79" s="331" t="s">
        <v>799</v>
      </c>
      <c r="C79" s="266">
        <f ca="1">1-C80</f>
        <v>0.77</v>
      </c>
    </row>
    <row r="80" spans="1:18">
      <c r="B80" s="331" t="s">
        <v>800</v>
      </c>
      <c r="C80" s="266">
        <f ca="1">ROUND(C75/C39,3)</f>
        <v>0.23</v>
      </c>
    </row>
    <row r="81" spans="2:3">
      <c r="B81" s="262" t="s">
        <v>801</v>
      </c>
      <c r="C81" s="230"/>
    </row>
    <row r="82" spans="2:3">
      <c r="B82" s="265" t="s">
        <v>802</v>
      </c>
      <c r="C82" s="267">
        <f ca="1">1-C83</f>
        <v>0.80499999999999994</v>
      </c>
    </row>
    <row r="83" spans="2:3">
      <c r="B83" s="265" t="s">
        <v>803</v>
      </c>
      <c r="C83" s="266">
        <f ca="1">ROUND(C13/C40,3)</f>
        <v>0.19500000000000001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J11">
    <cfRule type="expression" dxfId="113" priority="2">
      <formula>$M$10="自定义"</formula>
    </cfRule>
  </conditionalFormatting>
  <conditionalFormatting sqref="K55 K60">
    <cfRule type="expression" dxfId="11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70" zoomScaleNormal="70" workbookViewId="0">
      <pane ySplit="24" topLeftCell="A25" activePane="bottomLeft" state="frozen"/>
      <selection activeCell="C50" sqref="C50"/>
      <selection pane="bottomLeft" activeCell="A26" sqref="A26"/>
    </sheetView>
  </sheetViews>
  <sheetFormatPr defaultColWidth="9" defaultRowHeight="13.2"/>
  <cols>
    <col min="1" max="1" width="11.44140625" style="122" customWidth="1"/>
    <col min="2" max="2" width="9.21875" style="24" customWidth="1"/>
    <col min="3" max="3" width="13.21875" style="24" customWidth="1"/>
    <col min="4" max="4" width="15.33203125" style="24" customWidth="1"/>
    <col min="5" max="5" width="12.7773437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7" t="s">
        <v>2083</v>
      </c>
      <c r="C1" s="3421" t="s">
        <v>2084</v>
      </c>
      <c r="D1" s="3422"/>
      <c r="E1" s="3422"/>
      <c r="F1" s="3422"/>
      <c r="G1" s="3422"/>
      <c r="H1" s="3422"/>
      <c r="I1" s="3422"/>
      <c r="J1" s="3422"/>
      <c r="K1" s="3422"/>
      <c r="L1" s="3422"/>
      <c r="M1" s="3422"/>
      <c r="N1" s="3422"/>
      <c r="O1" s="3422"/>
      <c r="P1" s="3422"/>
      <c r="Q1" s="3422"/>
      <c r="R1" s="3422"/>
      <c r="S1" s="3423"/>
      <c r="T1" s="927" t="s">
        <v>2085</v>
      </c>
    </row>
    <row r="2" spans="1:45" s="625" customFormat="1" ht="39.6">
      <c r="A2" s="928"/>
      <c r="B2" s="622" t="s">
        <v>2086</v>
      </c>
      <c r="C2" s="14" t="str">
        <f t="shared" ref="C2:L2" si="0">C3&amp;"(含)"&amp;"-"&amp;D3</f>
        <v>0(含)-200</v>
      </c>
      <c r="D2" s="623" t="str">
        <f t="shared" si="0"/>
        <v>200(含)-400</v>
      </c>
      <c r="E2" s="623" t="str">
        <f t="shared" si="0"/>
        <v>400(含)-600</v>
      </c>
      <c r="F2" s="623" t="str">
        <f t="shared" si="0"/>
        <v>600(含)-800</v>
      </c>
      <c r="G2" s="623" t="str">
        <f t="shared" si="0"/>
        <v>800(含)-1000</v>
      </c>
      <c r="H2" s="623" t="str">
        <f t="shared" si="0"/>
        <v>1000(含)-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9"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0"/>
      <c r="B3" s="626"/>
      <c r="C3" s="627">
        <f>'比较法-商业'!C103</f>
        <v>0</v>
      </c>
      <c r="D3" s="627">
        <f>'比较法-商业'!D103</f>
        <v>200</v>
      </c>
      <c r="E3" s="627">
        <f>'比较法-商业'!E103</f>
        <v>400</v>
      </c>
      <c r="F3" s="627">
        <f>'比较法-商业'!F103</f>
        <v>600</v>
      </c>
      <c r="G3" s="627">
        <f>'比较法-商业'!G103</f>
        <v>800</v>
      </c>
      <c r="H3" s="627">
        <f>'比较法-商业'!H103</f>
        <v>1000</v>
      </c>
      <c r="I3" s="1218"/>
      <c r="J3" s="1218"/>
      <c r="K3" s="1218"/>
      <c r="L3" s="1219"/>
      <c r="M3" s="1220"/>
      <c r="N3" s="1220"/>
      <c r="O3" s="1218"/>
      <c r="P3" s="1218"/>
      <c r="Q3" s="1218"/>
      <c r="R3" s="1218"/>
      <c r="S3" s="1221"/>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1"/>
      <c r="B4" s="932"/>
      <c r="C4" s="627">
        <f>'比较法-商业'!C104</f>
        <v>100</v>
      </c>
      <c r="D4" s="627">
        <f>'比较法-商业'!D104</f>
        <v>99</v>
      </c>
      <c r="E4" s="627">
        <f>'比较法-商业'!E104</f>
        <v>98</v>
      </c>
      <c r="F4" s="627">
        <f>'比较法-商业'!F104</f>
        <v>97</v>
      </c>
      <c r="G4" s="627">
        <f>'比较法-商业'!G104</f>
        <v>96</v>
      </c>
      <c r="H4" s="627">
        <f>'比较法-商业'!H104</f>
        <v>95</v>
      </c>
      <c r="I4" s="1222"/>
      <c r="J4" s="1222"/>
      <c r="K4" s="1222"/>
      <c r="L4" s="1222"/>
      <c r="M4" s="1223"/>
      <c r="N4" s="1223"/>
      <c r="O4" s="1222"/>
      <c r="P4" s="1222"/>
      <c r="Q4" s="1222"/>
      <c r="R4" s="1222"/>
      <c r="S4" s="1224"/>
      <c r="T4" s="937"/>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3"/>
      <c r="B5" s="1247" t="str">
        <f>'比较法-商业'!B25</f>
        <v>临街状况</v>
      </c>
      <c r="C5" s="938" t="str">
        <f>'比较法-商业'!C86</f>
        <v>双面临街</v>
      </c>
      <c r="D5" s="938" t="str">
        <f>'比较法-商业'!D86</f>
        <v>单面临街</v>
      </c>
      <c r="E5" s="939"/>
      <c r="F5" s="1225"/>
      <c r="G5" s="1225"/>
      <c r="H5" s="1225"/>
      <c r="I5" s="1225"/>
      <c r="J5" s="1225"/>
      <c r="K5" s="1225"/>
      <c r="L5" s="1226"/>
      <c r="M5" s="1227"/>
      <c r="N5" s="1227"/>
      <c r="O5" s="1225"/>
      <c r="P5" s="1225"/>
      <c r="Q5" s="1225"/>
      <c r="R5" s="1225"/>
      <c r="S5" s="1228"/>
      <c r="T5" s="941">
        <f>'比较法-商业'!K25</f>
        <v>2</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3"/>
      <c r="B6" s="845"/>
      <c r="C6" s="850">
        <v>100</v>
      </c>
      <c r="D6" s="848">
        <f>C6-$T5</f>
        <v>98</v>
      </c>
      <c r="E6" s="848">
        <f t="shared" ref="E6:S6" si="7">D6-$T5</f>
        <v>96</v>
      </c>
      <c r="F6" s="1229">
        <f t="shared" si="7"/>
        <v>94</v>
      </c>
      <c r="G6" s="1229">
        <f t="shared" si="7"/>
        <v>92</v>
      </c>
      <c r="H6" s="1229">
        <f t="shared" si="7"/>
        <v>90</v>
      </c>
      <c r="I6" s="1229">
        <f t="shared" si="7"/>
        <v>88</v>
      </c>
      <c r="J6" s="1229">
        <f t="shared" si="7"/>
        <v>86</v>
      </c>
      <c r="K6" s="1229">
        <f t="shared" si="7"/>
        <v>84</v>
      </c>
      <c r="L6" s="1229">
        <f t="shared" si="7"/>
        <v>82</v>
      </c>
      <c r="M6" s="1229">
        <f t="shared" si="7"/>
        <v>80</v>
      </c>
      <c r="N6" s="1229">
        <f t="shared" si="7"/>
        <v>78</v>
      </c>
      <c r="O6" s="1229">
        <f t="shared" si="7"/>
        <v>76</v>
      </c>
      <c r="P6" s="1229">
        <f t="shared" si="7"/>
        <v>74</v>
      </c>
      <c r="Q6" s="1229">
        <f t="shared" si="7"/>
        <v>72</v>
      </c>
      <c r="R6" s="1229">
        <f t="shared" si="7"/>
        <v>70</v>
      </c>
      <c r="S6" s="1229">
        <f t="shared" si="7"/>
        <v>68</v>
      </c>
      <c r="T6" s="847"/>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43.2" customHeight="1">
      <c r="A7" s="923"/>
      <c r="B7" s="1248" t="str">
        <f>'比较法-商业'!B122</f>
        <v>内部装修</v>
      </c>
      <c r="C7" s="849" t="str">
        <f>'比较法-商业'!C122</f>
        <v>精装修</v>
      </c>
      <c r="D7" s="849" t="str">
        <f>'比较法-商业'!D122</f>
        <v>普通装修</v>
      </c>
      <c r="E7" s="849" t="str">
        <f>'比较法-商业'!E122</f>
        <v>简单装修</v>
      </c>
      <c r="F7" s="849" t="str">
        <f>'比较法-商业'!F122</f>
        <v>部分简单装修、部分毛坯</v>
      </c>
      <c r="G7" s="849" t="str">
        <f>'比较法-商业'!G122</f>
        <v>毛坯</v>
      </c>
      <c r="H7" s="1230"/>
      <c r="I7" s="1230"/>
      <c r="J7" s="1230"/>
      <c r="K7" s="1230"/>
      <c r="L7" s="1230"/>
      <c r="M7" s="1231"/>
      <c r="N7" s="1232"/>
      <c r="O7" s="1233"/>
      <c r="P7" s="1233"/>
      <c r="Q7" s="1234"/>
      <c r="R7" s="1235"/>
      <c r="S7" s="1236"/>
      <c r="T7" s="631">
        <f>'比较法-商业'!K42</f>
        <v>1</v>
      </c>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3"/>
      <c r="B8" s="845"/>
      <c r="C8" s="850">
        <v>100</v>
      </c>
      <c r="D8" s="848">
        <f>C8-$T7</f>
        <v>99</v>
      </c>
      <c r="E8" s="848">
        <f t="shared" ref="E8:S8" si="8">D8-$T7</f>
        <v>98</v>
      </c>
      <c r="F8" s="1229">
        <f t="shared" si="8"/>
        <v>97</v>
      </c>
      <c r="G8" s="1229">
        <f t="shared" si="8"/>
        <v>96</v>
      </c>
      <c r="H8" s="1229">
        <f t="shared" si="8"/>
        <v>95</v>
      </c>
      <c r="I8" s="1229">
        <f t="shared" si="8"/>
        <v>94</v>
      </c>
      <c r="J8" s="1229">
        <f t="shared" si="8"/>
        <v>93</v>
      </c>
      <c r="K8" s="1229">
        <f t="shared" si="8"/>
        <v>92</v>
      </c>
      <c r="L8" s="1229">
        <f t="shared" si="8"/>
        <v>91</v>
      </c>
      <c r="M8" s="1229">
        <f t="shared" si="8"/>
        <v>90</v>
      </c>
      <c r="N8" s="1229">
        <f t="shared" si="8"/>
        <v>89</v>
      </c>
      <c r="O8" s="1229">
        <f t="shared" si="8"/>
        <v>88</v>
      </c>
      <c r="P8" s="1229">
        <f t="shared" si="8"/>
        <v>87</v>
      </c>
      <c r="Q8" s="1229">
        <f t="shared" si="8"/>
        <v>86</v>
      </c>
      <c r="R8" s="1229">
        <f t="shared" si="8"/>
        <v>85</v>
      </c>
      <c r="S8" s="1229">
        <f t="shared" si="8"/>
        <v>84</v>
      </c>
      <c r="T8" s="847"/>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3"/>
      <c r="B9" s="1248"/>
      <c r="C9" s="849"/>
      <c r="D9" s="849"/>
      <c r="E9" s="849"/>
      <c r="F9" s="1230"/>
      <c r="G9" s="1230"/>
      <c r="H9" s="1230"/>
      <c r="I9" s="1230"/>
      <c r="J9" s="1230"/>
      <c r="K9" s="1230"/>
      <c r="L9" s="1237"/>
      <c r="M9" s="1231"/>
      <c r="N9" s="1232"/>
      <c r="O9" s="1233"/>
      <c r="P9" s="1233"/>
      <c r="Q9" s="1234"/>
      <c r="R9" s="1235"/>
      <c r="S9" s="1236"/>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3"/>
      <c r="B10" s="932"/>
      <c r="C10" s="942">
        <v>100</v>
      </c>
      <c r="D10" s="715">
        <f>C10-$T9</f>
        <v>100</v>
      </c>
      <c r="E10" s="715">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7"/>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3"/>
      <c r="B11" s="1247" t="s">
        <v>2087</v>
      </c>
      <c r="C11" s="938"/>
      <c r="D11" s="939"/>
      <c r="E11" s="939"/>
      <c r="F11" s="939"/>
      <c r="G11" s="939"/>
      <c r="H11" s="939"/>
      <c r="I11" s="939"/>
      <c r="J11" s="939"/>
      <c r="K11" s="939"/>
      <c r="L11" s="939"/>
      <c r="M11" s="940"/>
      <c r="N11" s="943"/>
      <c r="O11" s="944"/>
      <c r="P11" s="944"/>
      <c r="Q11" s="945"/>
      <c r="R11" s="946"/>
      <c r="S11" s="947"/>
      <c r="T11" s="941"/>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3"/>
      <c r="B12" s="845"/>
      <c r="C12" s="850">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28.8" customHeight="1" thickBot="1">
      <c r="A13" s="923"/>
      <c r="B13" s="1247" t="str">
        <f>'比较法-商业'!B126</f>
        <v>1层面积占比</v>
      </c>
      <c r="C13" s="938" t="str">
        <f>'比较法-商业'!C126</f>
        <v>0-20%（含）</v>
      </c>
      <c r="D13" s="938" t="str">
        <f>'比较法-商业'!D126</f>
        <v>20-40%（含）</v>
      </c>
      <c r="E13" s="938" t="str">
        <f>'比较法-商业'!E126</f>
        <v>40-60%（含）</v>
      </c>
      <c r="F13" s="939"/>
      <c r="G13" s="939"/>
      <c r="H13" s="939"/>
      <c r="I13" s="939"/>
      <c r="J13" s="939"/>
      <c r="K13" s="939"/>
      <c r="L13" s="939"/>
      <c r="M13" s="940"/>
      <c r="N13" s="943"/>
      <c r="O13" s="944"/>
      <c r="P13" s="944"/>
      <c r="Q13" s="945"/>
      <c r="R13" s="946"/>
      <c r="S13" s="947"/>
      <c r="T13" s="948"/>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3"/>
      <c r="B14" s="845"/>
      <c r="C14" s="938">
        <f>'比较法-商业'!C127</f>
        <v>92</v>
      </c>
      <c r="D14" s="938">
        <f>'比较法-商业'!D127</f>
        <v>94</v>
      </c>
      <c r="E14" s="938">
        <f>'比较法-商业'!E127</f>
        <v>96</v>
      </c>
      <c r="F14" s="846"/>
      <c r="G14" s="846"/>
      <c r="H14" s="846"/>
      <c r="I14" s="846"/>
      <c r="J14" s="846"/>
      <c r="K14" s="846"/>
      <c r="L14" s="846"/>
      <c r="M14" s="949"/>
      <c r="N14" s="949"/>
      <c r="O14" s="846"/>
      <c r="P14" s="846"/>
      <c r="Q14" s="846"/>
      <c r="R14" s="846"/>
      <c r="S14" s="950"/>
      <c r="T14" s="847"/>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3"/>
      <c r="B15" s="1247" t="s">
        <v>2088</v>
      </c>
      <c r="C15" s="938"/>
      <c r="D15" s="939"/>
      <c r="E15" s="939"/>
      <c r="F15" s="939"/>
      <c r="G15" s="939"/>
      <c r="H15" s="939"/>
      <c r="I15" s="939"/>
      <c r="J15" s="939"/>
      <c r="K15" s="939"/>
      <c r="L15" s="939"/>
      <c r="M15" s="940"/>
      <c r="N15" s="943"/>
      <c r="O15" s="944"/>
      <c r="P15" s="944"/>
      <c r="Q15" s="945"/>
      <c r="R15" s="946"/>
      <c r="S15" s="947"/>
      <c r="T15" s="948"/>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3"/>
      <c r="B16" s="932"/>
      <c r="C16" s="933"/>
      <c r="D16" s="934"/>
      <c r="E16" s="934"/>
      <c r="F16" s="934"/>
      <c r="G16" s="934"/>
      <c r="H16" s="934"/>
      <c r="I16" s="934"/>
      <c r="J16" s="934"/>
      <c r="K16" s="934"/>
      <c r="L16" s="934"/>
      <c r="M16" s="935"/>
      <c r="N16" s="935"/>
      <c r="O16" s="934"/>
      <c r="P16" s="934"/>
      <c r="Q16" s="934"/>
      <c r="R16" s="934"/>
      <c r="S16" s="936"/>
      <c r="T16" s="937"/>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2089</v>
      </c>
      <c r="B17" s="1985" t="s">
        <v>2090</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5"/>
      <c r="AS17" s="685"/>
    </row>
    <row r="18" spans="1:45" s="625" customFormat="1" ht="13.8"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5"/>
      <c r="AS18" s="685"/>
    </row>
    <row r="19" spans="1:45">
      <c r="A19" s="121"/>
      <c r="B19" s="151"/>
      <c r="C19" s="151"/>
      <c r="D19" s="1986" t="s">
        <v>2091</v>
      </c>
      <c r="E19" s="1251"/>
      <c r="F19" s="1251"/>
      <c r="G19" s="1251"/>
      <c r="H19" s="994"/>
      <c r="I19" s="151"/>
      <c r="J19" s="151"/>
      <c r="K19" s="151"/>
      <c r="L19" s="151"/>
      <c r="M19" s="151"/>
      <c r="N19" s="151"/>
      <c r="O19" s="151"/>
      <c r="P19" s="151"/>
      <c r="Q19" s="151"/>
      <c r="R19" s="151"/>
      <c r="S19" s="121"/>
    </row>
    <row r="20" spans="1:45" ht="16.2" thickBot="1">
      <c r="A20" s="632" t="s">
        <v>2092</v>
      </c>
      <c r="B20" s="286">
        <f ca="1">IF(D20="——",S22,S22-F20)</f>
        <v>2074</v>
      </c>
      <c r="C20" s="151"/>
      <c r="D20" s="1987" t="s">
        <v>43</v>
      </c>
      <c r="E20" s="1252"/>
      <c r="F20" s="927" t="e">
        <f ca="1">SUMIF(INDIRECT("'"&amp;H20&amp;"'"&amp;"!A:A"),"承租人权益价值",INDIRECT("'"&amp;H20&amp;"'"&amp;"!c:c"))</f>
        <v>#REF!</v>
      </c>
      <c r="G20" s="927" t="s">
        <v>2093</v>
      </c>
      <c r="H20" s="1988"/>
      <c r="I20" s="151"/>
      <c r="J20" s="151"/>
      <c r="K20" s="151"/>
      <c r="L20" s="151"/>
      <c r="M20" s="151"/>
      <c r="N20" s="151"/>
      <c r="O20" s="151"/>
      <c r="P20" s="151"/>
      <c r="Q20" s="151"/>
      <c r="R20" s="151"/>
      <c r="S20" s="121"/>
    </row>
    <row r="21" spans="1:45" ht="15.6">
      <c r="A21" s="632" t="s">
        <v>2094</v>
      </c>
      <c r="B21" s="286">
        <f ca="1">ROUND(B20*10000/B22,0)</f>
        <v>36512</v>
      </c>
      <c r="C21" s="151"/>
      <c r="D21" s="151"/>
      <c r="E21" s="151"/>
      <c r="F21" s="151"/>
      <c r="G21" s="151"/>
      <c r="H21" s="151"/>
      <c r="I21" s="151"/>
      <c r="J21" s="151"/>
      <c r="K21" s="151"/>
      <c r="L21" s="151"/>
      <c r="M21" s="151"/>
      <c r="N21" s="151"/>
      <c r="O21" s="151"/>
      <c r="P21" s="151"/>
      <c r="Q21" s="151"/>
      <c r="R21" s="151"/>
      <c r="S21" s="121"/>
    </row>
    <row r="22" spans="1:45">
      <c r="A22" s="308" t="s">
        <v>2095</v>
      </c>
      <c r="B22" s="21">
        <f>SUM(B24:B10000)</f>
        <v>568.04</v>
      </c>
      <c r="C22" s="3418" t="s">
        <v>27</v>
      </c>
      <c r="D22" s="3419"/>
      <c r="E22" s="3419"/>
      <c r="F22" s="3419"/>
      <c r="G22" s="3419"/>
      <c r="H22" s="3419"/>
      <c r="I22" s="3419"/>
      <c r="J22" s="3419"/>
      <c r="K22" s="3419"/>
      <c r="L22" s="3419"/>
      <c r="M22" s="3419"/>
      <c r="N22" s="3419"/>
      <c r="O22" s="3419"/>
      <c r="P22" s="3419"/>
      <c r="Q22" s="3420"/>
      <c r="R22" s="21">
        <f ca="1">ROUND(S22*10000/B22,0)</f>
        <v>36512</v>
      </c>
      <c r="S22" s="21">
        <f ca="1">SUM(S24:S10000)</f>
        <v>2074</v>
      </c>
    </row>
    <row r="23" spans="1:45" s="9" customFormat="1" ht="26.4">
      <c r="A23" s="8" t="s">
        <v>2096</v>
      </c>
      <c r="B23" s="8" t="s">
        <v>2097</v>
      </c>
      <c r="C23" s="8" t="s">
        <v>2098</v>
      </c>
      <c r="D23" s="8" t="str">
        <f>B5</f>
        <v>临街状况</v>
      </c>
      <c r="E23" s="8" t="s">
        <v>2098</v>
      </c>
      <c r="F23" s="8" t="str">
        <f>B7</f>
        <v>内部装修</v>
      </c>
      <c r="G23" s="8" t="s">
        <v>2098</v>
      </c>
      <c r="H23" s="8">
        <f>B9</f>
        <v>0</v>
      </c>
      <c r="I23" s="8" t="s">
        <v>2098</v>
      </c>
      <c r="J23" s="8" t="str">
        <f>B11</f>
        <v>修正项5</v>
      </c>
      <c r="K23" s="8" t="s">
        <v>2098</v>
      </c>
      <c r="L23" s="8" t="str">
        <f>B13</f>
        <v>1层面积占比</v>
      </c>
      <c r="M23" s="8" t="s">
        <v>2098</v>
      </c>
      <c r="N23" s="8" t="str">
        <f>B15</f>
        <v>修正项7</v>
      </c>
      <c r="O23" s="8" t="s">
        <v>2098</v>
      </c>
      <c r="P23" s="8" t="str">
        <f>B17</f>
        <v>楼层</v>
      </c>
      <c r="Q23" s="8" t="s">
        <v>2098</v>
      </c>
      <c r="R23" s="8" t="s">
        <v>2099</v>
      </c>
      <c r="S23" s="8" t="s">
        <v>2100</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102</v>
      </c>
      <c r="B24" s="633">
        <f>'数据-汇总表'!E19</f>
        <v>245.74</v>
      </c>
      <c r="C24" s="2566">
        <v>1</v>
      </c>
      <c r="D24" s="2567" t="s">
        <v>3533</v>
      </c>
      <c r="E24" s="2566">
        <v>1</v>
      </c>
      <c r="F24" s="2567" t="s">
        <v>3581</v>
      </c>
      <c r="G24" s="2566">
        <v>1</v>
      </c>
      <c r="H24" s="2567"/>
      <c r="I24" s="2566">
        <v>1</v>
      </c>
      <c r="J24" s="2567"/>
      <c r="K24" s="2566">
        <v>1</v>
      </c>
      <c r="L24" s="2567" t="s">
        <v>3595</v>
      </c>
      <c r="M24" s="2566">
        <v>1</v>
      </c>
      <c r="N24" s="2567"/>
      <c r="O24" s="2566">
        <v>1</v>
      </c>
      <c r="P24" s="2567"/>
      <c r="Q24" s="2566">
        <v>1</v>
      </c>
      <c r="R24" s="633">
        <f ca="1">结果表!H102</f>
        <v>36113</v>
      </c>
      <c r="S24" s="634">
        <f t="shared" ref="S24:S54" ca="1" si="11">ROUND(R24*B24/10000,0)</f>
        <v>887</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v>105</v>
      </c>
      <c r="B25" s="52">
        <f>'数据-基础表'!G14</f>
        <v>322.3</v>
      </c>
      <c r="C25" s="21">
        <f>IF(B25="",1,(LOOKUP(B25,$3:$3,$4:$4)-LOOKUP($B$24,$3:$3,$4:$4)+100)/100)</f>
        <v>1</v>
      </c>
      <c r="D25" s="635" t="s">
        <v>3531</v>
      </c>
      <c r="E25" s="21">
        <f>(SUMIF($5:$5,D25,$6:$6)-SUMIF($5:$5,$D$24,$6:$6)+100)/100</f>
        <v>1.02</v>
      </c>
      <c r="F25" s="635" t="s">
        <v>3581</v>
      </c>
      <c r="G25" s="21">
        <f>(SUMIF($7:$7,F25,$8:$8)-SUMIF($7:$7,$F$24,$8:$8)+100)/100</f>
        <v>1</v>
      </c>
      <c r="H25" s="635"/>
      <c r="I25" s="21">
        <f>(SUMIF($9:$9,H25,$10:$10)-SUMIF($9:$9,$H$24,$10:$10)+100)/100</f>
        <v>1</v>
      </c>
      <c r="J25" s="635"/>
      <c r="K25" s="21">
        <f>(SUMIF($11:$11,J25,$12:$12)-SUMIF($11:$11,$J$24,$12:$12)+100)/100</f>
        <v>1</v>
      </c>
      <c r="L25" s="635" t="s">
        <v>3594</v>
      </c>
      <c r="M25" s="21">
        <f>(SUMIF($13:$13,L25,$14:$14)-SUMIF($13:$13,$L$24,$14:$14)+100)/100</f>
        <v>1</v>
      </c>
      <c r="N25" s="635"/>
      <c r="O25" s="21">
        <f>(SUMIF($15:$15,N25,$16:$16)-SUMIF($15:$15,$N$24,$16:$16)+100)/100</f>
        <v>1</v>
      </c>
      <c r="P25" s="635"/>
      <c r="Q25" s="21">
        <f>(SUMIF($17:$17,P25,$18:$18)-SUMIF($17:$17,$P$24,$18:$18)+100)/100</f>
        <v>1</v>
      </c>
      <c r="R25" s="21">
        <f ca="1">IF(B25="",0,ROUND($R$24*C25*E25*G25*I25*K25*M25*O25*Q25,0))</f>
        <v>36835</v>
      </c>
      <c r="S25" s="308">
        <f t="shared" ca="1" si="11"/>
        <v>1187</v>
      </c>
    </row>
    <row r="26" spans="1:45">
      <c r="A26" s="142"/>
      <c r="B26" s="52"/>
      <c r="C26" s="21">
        <f t="shared" ref="C26:C89" si="12">IF(B26="",1,(LOOKUP(B26,$3:$3,$4:$4)-LOOKUP($B$24,$3:$3,$4:$4)+100)/100)</f>
        <v>1</v>
      </c>
      <c r="D26" s="635"/>
      <c r="E26" s="21">
        <f t="shared" ref="E26:E89" si="13">(SUMIF($5:$5,D26,$6:$6)-SUMIF($5:$5,$D$24,$6:$6)+100)/100</f>
        <v>0.02</v>
      </c>
      <c r="F26" s="635"/>
      <c r="G26" s="21">
        <f t="shared" ref="G26:G89" si="14">(SUMIF($7:$7,F26,$8:$8)-SUMIF($7:$7,$F$24,$8:$8)+100)/100</f>
        <v>0.03</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0.02</v>
      </c>
      <c r="F27" s="635"/>
      <c r="G27" s="21">
        <f t="shared" si="14"/>
        <v>0.03</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0.02</v>
      </c>
      <c r="F28" s="635"/>
      <c r="G28" s="21">
        <f t="shared" si="14"/>
        <v>0.03</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0.02</v>
      </c>
      <c r="F29" s="635"/>
      <c r="G29" s="21">
        <f t="shared" si="14"/>
        <v>0.03</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0.02</v>
      </c>
      <c r="F30" s="635"/>
      <c r="G30" s="21">
        <f t="shared" si="14"/>
        <v>0.03</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0.02</v>
      </c>
      <c r="F31" s="635"/>
      <c r="G31" s="21">
        <f t="shared" si="14"/>
        <v>0.03</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0.02</v>
      </c>
      <c r="F32" s="635"/>
      <c r="G32" s="21">
        <f t="shared" si="14"/>
        <v>0.03</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0.02</v>
      </c>
      <c r="F33" s="635"/>
      <c r="G33" s="21">
        <f t="shared" si="14"/>
        <v>0.03</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0.02</v>
      </c>
      <c r="F34" s="635"/>
      <c r="G34" s="21">
        <f t="shared" si="14"/>
        <v>0.03</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0.02</v>
      </c>
      <c r="F35" s="635"/>
      <c r="G35" s="21">
        <f t="shared" si="14"/>
        <v>0.03</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0.02</v>
      </c>
      <c r="F36" s="635"/>
      <c r="G36" s="21">
        <f t="shared" si="14"/>
        <v>0.03</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0.02</v>
      </c>
      <c r="F37" s="635"/>
      <c r="G37" s="21">
        <f t="shared" si="14"/>
        <v>0.03</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0.02</v>
      </c>
      <c r="F38" s="635"/>
      <c r="G38" s="21">
        <f t="shared" si="14"/>
        <v>0.03</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0.02</v>
      </c>
      <c r="F39" s="635"/>
      <c r="G39" s="21">
        <f t="shared" si="14"/>
        <v>0.03</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0.02</v>
      </c>
      <c r="F40" s="635"/>
      <c r="G40" s="21">
        <f t="shared" si="14"/>
        <v>0.03</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0.02</v>
      </c>
      <c r="F41" s="635"/>
      <c r="G41" s="21">
        <f t="shared" si="14"/>
        <v>0.03</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0.02</v>
      </c>
      <c r="F42" s="635"/>
      <c r="G42" s="21">
        <f t="shared" si="14"/>
        <v>0.03</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0.02</v>
      </c>
      <c r="F43" s="635"/>
      <c r="G43" s="21">
        <f t="shared" si="14"/>
        <v>0.03</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0.02</v>
      </c>
      <c r="F44" s="635"/>
      <c r="G44" s="21">
        <f t="shared" si="14"/>
        <v>0.03</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0.02</v>
      </c>
      <c r="F45" s="635"/>
      <c r="G45" s="21">
        <f t="shared" si="14"/>
        <v>0.03</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0.02</v>
      </c>
      <c r="F46" s="635"/>
      <c r="G46" s="21">
        <f t="shared" si="14"/>
        <v>0.03</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0.02</v>
      </c>
      <c r="F47" s="635"/>
      <c r="G47" s="21">
        <f t="shared" si="14"/>
        <v>0.03</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0.02</v>
      </c>
      <c r="F48" s="635"/>
      <c r="G48" s="21">
        <f t="shared" si="14"/>
        <v>0.03</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0.02</v>
      </c>
      <c r="F49" s="635"/>
      <c r="G49" s="21">
        <f t="shared" si="14"/>
        <v>0.03</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0.02</v>
      </c>
      <c r="F50" s="635"/>
      <c r="G50" s="21">
        <f t="shared" si="14"/>
        <v>0.03</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0.02</v>
      </c>
      <c r="F51" s="635"/>
      <c r="G51" s="21">
        <f t="shared" si="14"/>
        <v>0.03</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0.02</v>
      </c>
      <c r="F52" s="635"/>
      <c r="G52" s="21">
        <f t="shared" si="14"/>
        <v>0.03</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0.02</v>
      </c>
      <c r="F53" s="635"/>
      <c r="G53" s="21">
        <f t="shared" si="14"/>
        <v>0.03</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0.02</v>
      </c>
      <c r="F54" s="635"/>
      <c r="G54" s="21">
        <f t="shared" si="14"/>
        <v>0.03</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0.02</v>
      </c>
      <c r="F55" s="635"/>
      <c r="G55" s="21">
        <f t="shared" si="14"/>
        <v>0.03</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0.02</v>
      </c>
      <c r="F56" s="635"/>
      <c r="G56" s="21">
        <f t="shared" si="14"/>
        <v>0.03</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0.02</v>
      </c>
      <c r="F57" s="635"/>
      <c r="G57" s="21">
        <f t="shared" si="14"/>
        <v>0.03</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0.02</v>
      </c>
      <c r="F58" s="635"/>
      <c r="G58" s="21">
        <f t="shared" si="14"/>
        <v>0.03</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0.02</v>
      </c>
      <c r="F59" s="635"/>
      <c r="G59" s="21">
        <f t="shared" si="14"/>
        <v>0.03</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0.02</v>
      </c>
      <c r="F60" s="635"/>
      <c r="G60" s="21">
        <f t="shared" si="14"/>
        <v>0.03</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0.02</v>
      </c>
      <c r="F61" s="635"/>
      <c r="G61" s="21">
        <f t="shared" si="14"/>
        <v>0.03</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0.02</v>
      </c>
      <c r="F62" s="635"/>
      <c r="G62" s="21">
        <f t="shared" si="14"/>
        <v>0.03</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0.02</v>
      </c>
      <c r="F63" s="635"/>
      <c r="G63" s="21">
        <f t="shared" si="14"/>
        <v>0.03</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0.02</v>
      </c>
      <c r="F64" s="635"/>
      <c r="G64" s="21">
        <f t="shared" si="14"/>
        <v>0.03</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0.02</v>
      </c>
      <c r="F65" s="635"/>
      <c r="G65" s="21">
        <f t="shared" si="14"/>
        <v>0.03</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0.02</v>
      </c>
      <c r="F66" s="635"/>
      <c r="G66" s="21">
        <f t="shared" si="14"/>
        <v>0.03</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0.02</v>
      </c>
      <c r="F67" s="635"/>
      <c r="G67" s="21">
        <f t="shared" si="14"/>
        <v>0.03</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0.02</v>
      </c>
      <c r="F68" s="635"/>
      <c r="G68" s="21">
        <f t="shared" si="14"/>
        <v>0.03</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0.02</v>
      </c>
      <c r="F69" s="635"/>
      <c r="G69" s="21">
        <f t="shared" si="14"/>
        <v>0.03</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0.02</v>
      </c>
      <c r="F70" s="635"/>
      <c r="G70" s="21">
        <f t="shared" si="14"/>
        <v>0.03</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0.02</v>
      </c>
      <c r="F71" s="635"/>
      <c r="G71" s="21">
        <f t="shared" si="14"/>
        <v>0.03</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0.02</v>
      </c>
      <c r="F72" s="635"/>
      <c r="G72" s="21">
        <f t="shared" si="14"/>
        <v>0.03</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0.02</v>
      </c>
      <c r="F73" s="635"/>
      <c r="G73" s="21">
        <f t="shared" si="14"/>
        <v>0.03</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0.02</v>
      </c>
      <c r="F74" s="635"/>
      <c r="G74" s="21">
        <f t="shared" si="14"/>
        <v>0.03</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0.02</v>
      </c>
      <c r="F75" s="635"/>
      <c r="G75" s="21">
        <f t="shared" si="14"/>
        <v>0.03</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0.02</v>
      </c>
      <c r="F76" s="635"/>
      <c r="G76" s="21">
        <f t="shared" si="14"/>
        <v>0.03</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0.02</v>
      </c>
      <c r="F77" s="635"/>
      <c r="G77" s="21">
        <f t="shared" si="14"/>
        <v>0.03</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0.02</v>
      </c>
      <c r="F78" s="635"/>
      <c r="G78" s="21">
        <f t="shared" si="14"/>
        <v>0.03</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0.02</v>
      </c>
      <c r="F79" s="635"/>
      <c r="G79" s="21">
        <f t="shared" si="14"/>
        <v>0.03</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0.02</v>
      </c>
      <c r="F80" s="635"/>
      <c r="G80" s="21">
        <f t="shared" si="14"/>
        <v>0.03</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0.02</v>
      </c>
      <c r="F81" s="635"/>
      <c r="G81" s="21">
        <f t="shared" si="14"/>
        <v>0.03</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0.02</v>
      </c>
      <c r="F82" s="635"/>
      <c r="G82" s="21">
        <f t="shared" si="14"/>
        <v>0.03</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0.02</v>
      </c>
      <c r="F83" s="635"/>
      <c r="G83" s="21">
        <f t="shared" si="14"/>
        <v>0.03</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0.02</v>
      </c>
      <c r="F84" s="635"/>
      <c r="G84" s="21">
        <f t="shared" si="14"/>
        <v>0.03</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0.02</v>
      </c>
      <c r="F85" s="635"/>
      <c r="G85" s="21">
        <f t="shared" si="14"/>
        <v>0.03</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0.02</v>
      </c>
      <c r="F86" s="635"/>
      <c r="G86" s="21">
        <f t="shared" si="14"/>
        <v>0.03</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0.02</v>
      </c>
      <c r="F87" s="635"/>
      <c r="G87" s="21">
        <f t="shared" si="14"/>
        <v>0.03</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0.02</v>
      </c>
      <c r="F88" s="635"/>
      <c r="G88" s="21">
        <f t="shared" si="14"/>
        <v>0.03</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0.02</v>
      </c>
      <c r="F89" s="635"/>
      <c r="G89" s="21">
        <f t="shared" si="14"/>
        <v>0.03</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0.02</v>
      </c>
      <c r="F90" s="635"/>
      <c r="G90" s="21">
        <f t="shared" ref="G90:G153" si="25">(SUMIF($7:$7,F90,$8:$8)-SUMIF($7:$7,$F$24,$8:$8)+100)/100</f>
        <v>0.03</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0.02</v>
      </c>
      <c r="F91" s="635"/>
      <c r="G91" s="21">
        <f t="shared" si="25"/>
        <v>0.03</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0.02</v>
      </c>
      <c r="F92" s="635"/>
      <c r="G92" s="21">
        <f t="shared" si="25"/>
        <v>0.03</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0.02</v>
      </c>
      <c r="F93" s="635"/>
      <c r="G93" s="21">
        <f t="shared" si="25"/>
        <v>0.03</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0.02</v>
      </c>
      <c r="F94" s="635"/>
      <c r="G94" s="21">
        <f t="shared" si="25"/>
        <v>0.03</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0.02</v>
      </c>
      <c r="F95" s="635"/>
      <c r="G95" s="21">
        <f t="shared" si="25"/>
        <v>0.03</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0.02</v>
      </c>
      <c r="F96" s="635"/>
      <c r="G96" s="21">
        <f t="shared" si="25"/>
        <v>0.03</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0.02</v>
      </c>
      <c r="F97" s="635"/>
      <c r="G97" s="21">
        <f t="shared" si="25"/>
        <v>0.03</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0.02</v>
      </c>
      <c r="F98" s="635"/>
      <c r="G98" s="21">
        <f t="shared" si="25"/>
        <v>0.03</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0.02</v>
      </c>
      <c r="F99" s="635"/>
      <c r="G99" s="21">
        <f t="shared" si="25"/>
        <v>0.03</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0.02</v>
      </c>
      <c r="F100" s="635"/>
      <c r="G100" s="21">
        <f t="shared" si="25"/>
        <v>0.03</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0.02</v>
      </c>
      <c r="F101" s="635"/>
      <c r="G101" s="21">
        <f t="shared" si="25"/>
        <v>0.03</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0.02</v>
      </c>
      <c r="F102" s="635"/>
      <c r="G102" s="21">
        <f t="shared" si="25"/>
        <v>0.03</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0.02</v>
      </c>
      <c r="F103" s="635"/>
      <c r="G103" s="21">
        <f t="shared" si="25"/>
        <v>0.03</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0.02</v>
      </c>
      <c r="F104" s="635"/>
      <c r="G104" s="21">
        <f t="shared" si="25"/>
        <v>0.03</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0.02</v>
      </c>
      <c r="F105" s="635"/>
      <c r="G105" s="21">
        <f t="shared" si="25"/>
        <v>0.03</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0.02</v>
      </c>
      <c r="F106" s="635"/>
      <c r="G106" s="21">
        <f t="shared" si="25"/>
        <v>0.03</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0.02</v>
      </c>
      <c r="F107" s="635"/>
      <c r="G107" s="21">
        <f t="shared" si="25"/>
        <v>0.03</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0.02</v>
      </c>
      <c r="F108" s="635"/>
      <c r="G108" s="21">
        <f t="shared" si="25"/>
        <v>0.03</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0.02</v>
      </c>
      <c r="F109" s="635"/>
      <c r="G109" s="21">
        <f t="shared" si="25"/>
        <v>0.03</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0.02</v>
      </c>
      <c r="F110" s="635"/>
      <c r="G110" s="21">
        <f t="shared" si="25"/>
        <v>0.03</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0.02</v>
      </c>
      <c r="F111" s="635"/>
      <c r="G111" s="21">
        <f t="shared" si="25"/>
        <v>0.03</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0.02</v>
      </c>
      <c r="F112" s="635"/>
      <c r="G112" s="21">
        <f t="shared" si="25"/>
        <v>0.03</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0.02</v>
      </c>
      <c r="F113" s="635"/>
      <c r="G113" s="21">
        <f t="shared" si="25"/>
        <v>0.03</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0.02</v>
      </c>
      <c r="F114" s="635"/>
      <c r="G114" s="21">
        <f t="shared" si="25"/>
        <v>0.03</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0.02</v>
      </c>
      <c r="F115" s="635"/>
      <c r="G115" s="21">
        <f t="shared" si="25"/>
        <v>0.03</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0.02</v>
      </c>
      <c r="F116" s="635"/>
      <c r="G116" s="21">
        <f t="shared" si="25"/>
        <v>0.03</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0.02</v>
      </c>
      <c r="F117" s="635"/>
      <c r="G117" s="21">
        <f t="shared" si="25"/>
        <v>0.03</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0.02</v>
      </c>
      <c r="F118" s="635"/>
      <c r="G118" s="21">
        <f t="shared" si="25"/>
        <v>0.03</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0.02</v>
      </c>
      <c r="F119" s="635"/>
      <c r="G119" s="21">
        <f t="shared" si="25"/>
        <v>0.03</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0.02</v>
      </c>
      <c r="F120" s="635"/>
      <c r="G120" s="21">
        <f t="shared" si="25"/>
        <v>0.03</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0.02</v>
      </c>
      <c r="F121" s="635"/>
      <c r="G121" s="21">
        <f t="shared" si="25"/>
        <v>0.03</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0.02</v>
      </c>
      <c r="F122" s="635"/>
      <c r="G122" s="21">
        <f t="shared" si="25"/>
        <v>0.03</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0.02</v>
      </c>
      <c r="F123" s="635"/>
      <c r="G123" s="21">
        <f t="shared" si="25"/>
        <v>0.03</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0.02</v>
      </c>
      <c r="F124" s="635"/>
      <c r="G124" s="21">
        <f t="shared" si="25"/>
        <v>0.03</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0.02</v>
      </c>
      <c r="F125" s="635"/>
      <c r="G125" s="21">
        <f t="shared" si="25"/>
        <v>0.03</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0.02</v>
      </c>
      <c r="F126" s="635"/>
      <c r="G126" s="21">
        <f t="shared" si="25"/>
        <v>0.03</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0.02</v>
      </c>
      <c r="F127" s="635"/>
      <c r="G127" s="21">
        <f t="shared" si="25"/>
        <v>0.03</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0.02</v>
      </c>
      <c r="F128" s="635"/>
      <c r="G128" s="21">
        <f t="shared" si="25"/>
        <v>0.03</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0.02</v>
      </c>
      <c r="F129" s="635"/>
      <c r="G129" s="21">
        <f t="shared" si="25"/>
        <v>0.03</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0.02</v>
      </c>
      <c r="F130" s="635"/>
      <c r="G130" s="21">
        <f t="shared" si="25"/>
        <v>0.03</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0.02</v>
      </c>
      <c r="F131" s="635"/>
      <c r="G131" s="21">
        <f t="shared" si="25"/>
        <v>0.03</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0.02</v>
      </c>
      <c r="F132" s="635"/>
      <c r="G132" s="21">
        <f t="shared" si="25"/>
        <v>0.03</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0.02</v>
      </c>
      <c r="F133" s="635"/>
      <c r="G133" s="21">
        <f t="shared" si="25"/>
        <v>0.03</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0.02</v>
      </c>
      <c r="F134" s="635"/>
      <c r="G134" s="21">
        <f t="shared" si="25"/>
        <v>0.03</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0.02</v>
      </c>
      <c r="F135" s="635"/>
      <c r="G135" s="21">
        <f t="shared" si="25"/>
        <v>0.03</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0.02</v>
      </c>
      <c r="F136" s="635"/>
      <c r="G136" s="21">
        <f t="shared" si="25"/>
        <v>0.03</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0.02</v>
      </c>
      <c r="F137" s="635"/>
      <c r="G137" s="21">
        <f t="shared" si="25"/>
        <v>0.03</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0.02</v>
      </c>
      <c r="F138" s="635"/>
      <c r="G138" s="21">
        <f t="shared" si="25"/>
        <v>0.03</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0.02</v>
      </c>
      <c r="F139" s="635"/>
      <c r="G139" s="21">
        <f t="shared" si="25"/>
        <v>0.03</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0.02</v>
      </c>
      <c r="F140" s="635"/>
      <c r="G140" s="21">
        <f t="shared" si="25"/>
        <v>0.03</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0.02</v>
      </c>
      <c r="F141" s="635"/>
      <c r="G141" s="21">
        <f t="shared" si="25"/>
        <v>0.03</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0.02</v>
      </c>
      <c r="F142" s="635"/>
      <c r="G142" s="21">
        <f t="shared" si="25"/>
        <v>0.03</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0.02</v>
      </c>
      <c r="F143" s="635"/>
      <c r="G143" s="21">
        <f t="shared" si="25"/>
        <v>0.03</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0.02</v>
      </c>
      <c r="F144" s="635"/>
      <c r="G144" s="21">
        <f t="shared" si="25"/>
        <v>0.03</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0.02</v>
      </c>
      <c r="F145" s="635"/>
      <c r="G145" s="21">
        <f t="shared" si="25"/>
        <v>0.03</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0.02</v>
      </c>
      <c r="F146" s="635"/>
      <c r="G146" s="21">
        <f t="shared" si="25"/>
        <v>0.03</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0.02</v>
      </c>
      <c r="F147" s="635"/>
      <c r="G147" s="21">
        <f t="shared" si="25"/>
        <v>0.03</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0.02</v>
      </c>
      <c r="F148" s="635"/>
      <c r="G148" s="21">
        <f t="shared" si="25"/>
        <v>0.03</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0.02</v>
      </c>
      <c r="F149" s="635"/>
      <c r="G149" s="21">
        <f t="shared" si="25"/>
        <v>0.03</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0.02</v>
      </c>
      <c r="F150" s="635"/>
      <c r="G150" s="21">
        <f t="shared" si="25"/>
        <v>0.03</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0.02</v>
      </c>
      <c r="F151" s="635"/>
      <c r="G151" s="21">
        <f t="shared" si="25"/>
        <v>0.03</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0.02</v>
      </c>
      <c r="F152" s="635"/>
      <c r="G152" s="21">
        <f t="shared" si="25"/>
        <v>0.03</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0.02</v>
      </c>
      <c r="F153" s="635"/>
      <c r="G153" s="21">
        <f t="shared" si="25"/>
        <v>0.03</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0.02</v>
      </c>
      <c r="F154" s="635"/>
      <c r="G154" s="21">
        <f t="shared" ref="G154:G217" si="35">(SUMIF($7:$7,F154,$8:$8)-SUMIF($7:$7,$F$24,$8:$8)+100)/100</f>
        <v>0.03</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0.02</v>
      </c>
      <c r="F155" s="635"/>
      <c r="G155" s="21">
        <f t="shared" si="35"/>
        <v>0.03</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0.02</v>
      </c>
      <c r="F156" s="635"/>
      <c r="G156" s="21">
        <f t="shared" si="35"/>
        <v>0.03</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0.02</v>
      </c>
      <c r="F157" s="635"/>
      <c r="G157" s="21">
        <f t="shared" si="35"/>
        <v>0.03</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0.02</v>
      </c>
      <c r="F158" s="635"/>
      <c r="G158" s="21">
        <f t="shared" si="35"/>
        <v>0.03</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0.02</v>
      </c>
      <c r="F159" s="635"/>
      <c r="G159" s="21">
        <f t="shared" si="35"/>
        <v>0.03</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0.02</v>
      </c>
      <c r="F160" s="635"/>
      <c r="G160" s="21">
        <f t="shared" si="35"/>
        <v>0.03</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0.02</v>
      </c>
      <c r="F161" s="635"/>
      <c r="G161" s="21">
        <f t="shared" si="35"/>
        <v>0.03</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0.02</v>
      </c>
      <c r="F162" s="635"/>
      <c r="G162" s="21">
        <f t="shared" si="35"/>
        <v>0.03</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0.02</v>
      </c>
      <c r="F163" s="635"/>
      <c r="G163" s="21">
        <f t="shared" si="35"/>
        <v>0.03</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0.02</v>
      </c>
      <c r="F164" s="635"/>
      <c r="G164" s="21">
        <f t="shared" si="35"/>
        <v>0.03</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0.02</v>
      </c>
      <c r="F165" s="635"/>
      <c r="G165" s="21">
        <f t="shared" si="35"/>
        <v>0.03</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0.02</v>
      </c>
      <c r="F166" s="635"/>
      <c r="G166" s="21">
        <f t="shared" si="35"/>
        <v>0.03</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0.02</v>
      </c>
      <c r="F167" s="635"/>
      <c r="G167" s="21">
        <f t="shared" si="35"/>
        <v>0.03</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0.02</v>
      </c>
      <c r="F168" s="635"/>
      <c r="G168" s="21">
        <f t="shared" si="35"/>
        <v>0.03</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0.02</v>
      </c>
      <c r="F169" s="635"/>
      <c r="G169" s="21">
        <f t="shared" si="35"/>
        <v>0.03</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0.02</v>
      </c>
      <c r="F170" s="635"/>
      <c r="G170" s="21">
        <f t="shared" si="35"/>
        <v>0.03</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0.02</v>
      </c>
      <c r="F171" s="635"/>
      <c r="G171" s="21">
        <f t="shared" si="35"/>
        <v>0.03</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0.02</v>
      </c>
      <c r="F172" s="635"/>
      <c r="G172" s="21">
        <f t="shared" si="35"/>
        <v>0.03</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0.02</v>
      </c>
      <c r="F173" s="635"/>
      <c r="G173" s="21">
        <f t="shared" si="35"/>
        <v>0.03</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0.02</v>
      </c>
      <c r="F174" s="635"/>
      <c r="G174" s="21">
        <f t="shared" si="35"/>
        <v>0.03</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0.02</v>
      </c>
      <c r="F175" s="635"/>
      <c r="G175" s="21">
        <f t="shared" si="35"/>
        <v>0.03</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0.02</v>
      </c>
      <c r="F176" s="635"/>
      <c r="G176" s="21">
        <f t="shared" si="35"/>
        <v>0.03</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0.02</v>
      </c>
      <c r="F177" s="635"/>
      <c r="G177" s="21">
        <f t="shared" si="35"/>
        <v>0.03</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0.02</v>
      </c>
      <c r="F178" s="635"/>
      <c r="G178" s="21">
        <f t="shared" si="35"/>
        <v>0.03</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0.02</v>
      </c>
      <c r="F179" s="635"/>
      <c r="G179" s="21">
        <f t="shared" si="35"/>
        <v>0.03</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0.02</v>
      </c>
      <c r="F180" s="635"/>
      <c r="G180" s="21">
        <f t="shared" si="35"/>
        <v>0.03</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0.02</v>
      </c>
      <c r="F181" s="635"/>
      <c r="G181" s="21">
        <f t="shared" si="35"/>
        <v>0.03</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0.02</v>
      </c>
      <c r="F182" s="635"/>
      <c r="G182" s="21">
        <f t="shared" si="35"/>
        <v>0.03</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0.02</v>
      </c>
      <c r="F183" s="635"/>
      <c r="G183" s="21">
        <f t="shared" si="35"/>
        <v>0.03</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0.02</v>
      </c>
      <c r="F184" s="635"/>
      <c r="G184" s="21">
        <f t="shared" si="35"/>
        <v>0.03</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0.02</v>
      </c>
      <c r="F185" s="635"/>
      <c r="G185" s="21">
        <f t="shared" si="35"/>
        <v>0.03</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0.02</v>
      </c>
      <c r="F186" s="635"/>
      <c r="G186" s="21">
        <f t="shared" si="35"/>
        <v>0.03</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0.02</v>
      </c>
      <c r="F187" s="635"/>
      <c r="G187" s="21">
        <f t="shared" si="35"/>
        <v>0.03</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0.02</v>
      </c>
      <c r="F188" s="635"/>
      <c r="G188" s="21">
        <f t="shared" si="35"/>
        <v>0.03</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0.02</v>
      </c>
      <c r="F189" s="635"/>
      <c r="G189" s="21">
        <f t="shared" si="35"/>
        <v>0.03</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0.02</v>
      </c>
      <c r="F190" s="635"/>
      <c r="G190" s="21">
        <f t="shared" si="35"/>
        <v>0.03</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0.02</v>
      </c>
      <c r="F191" s="635"/>
      <c r="G191" s="21">
        <f t="shared" si="35"/>
        <v>0.03</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0.02</v>
      </c>
      <c r="F192" s="635"/>
      <c r="G192" s="21">
        <f t="shared" si="35"/>
        <v>0.03</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0.02</v>
      </c>
      <c r="F193" s="635"/>
      <c r="G193" s="21">
        <f t="shared" si="35"/>
        <v>0.03</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0.02</v>
      </c>
      <c r="F194" s="635"/>
      <c r="G194" s="21">
        <f t="shared" si="35"/>
        <v>0.03</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0.02</v>
      </c>
      <c r="F195" s="635"/>
      <c r="G195" s="21">
        <f t="shared" si="35"/>
        <v>0.03</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0.02</v>
      </c>
      <c r="F196" s="635"/>
      <c r="G196" s="21">
        <f t="shared" si="35"/>
        <v>0.03</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0.02</v>
      </c>
      <c r="F197" s="635"/>
      <c r="G197" s="21">
        <f t="shared" si="35"/>
        <v>0.03</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0.02</v>
      </c>
      <c r="F198" s="635"/>
      <c r="G198" s="21">
        <f t="shared" si="35"/>
        <v>0.03</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0.02</v>
      </c>
      <c r="F199" s="635"/>
      <c r="G199" s="21">
        <f t="shared" si="35"/>
        <v>0.03</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0.02</v>
      </c>
      <c r="F200" s="635"/>
      <c r="G200" s="21">
        <f t="shared" si="35"/>
        <v>0.03</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0.02</v>
      </c>
      <c r="F201" s="635"/>
      <c r="G201" s="21">
        <f t="shared" si="35"/>
        <v>0.03</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0.02</v>
      </c>
      <c r="F202" s="635"/>
      <c r="G202" s="21">
        <f t="shared" si="35"/>
        <v>0.03</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0.02</v>
      </c>
      <c r="F203" s="635"/>
      <c r="G203" s="21">
        <f t="shared" si="35"/>
        <v>0.03</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0.02</v>
      </c>
      <c r="F204" s="635"/>
      <c r="G204" s="21">
        <f t="shared" si="35"/>
        <v>0.03</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0.02</v>
      </c>
      <c r="F205" s="635"/>
      <c r="G205" s="21">
        <f t="shared" si="35"/>
        <v>0.03</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0.02</v>
      </c>
      <c r="F206" s="635"/>
      <c r="G206" s="21">
        <f t="shared" si="35"/>
        <v>0.03</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0.02</v>
      </c>
      <c r="F207" s="635"/>
      <c r="G207" s="21">
        <f t="shared" si="35"/>
        <v>0.03</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0.02</v>
      </c>
      <c r="F208" s="635"/>
      <c r="G208" s="21">
        <f t="shared" si="35"/>
        <v>0.03</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0.02</v>
      </c>
      <c r="F209" s="635"/>
      <c r="G209" s="21">
        <f t="shared" si="35"/>
        <v>0.03</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0.02</v>
      </c>
      <c r="F210" s="635"/>
      <c r="G210" s="21">
        <f t="shared" si="35"/>
        <v>0.03</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0.02</v>
      </c>
      <c r="F211" s="635"/>
      <c r="G211" s="21">
        <f t="shared" si="35"/>
        <v>0.03</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0.02</v>
      </c>
      <c r="F212" s="635"/>
      <c r="G212" s="21">
        <f t="shared" si="35"/>
        <v>0.03</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0.02</v>
      </c>
      <c r="F213" s="635"/>
      <c r="G213" s="21">
        <f t="shared" si="35"/>
        <v>0.03</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0.02</v>
      </c>
      <c r="F214" s="635"/>
      <c r="G214" s="21">
        <f t="shared" si="35"/>
        <v>0.03</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0.02</v>
      </c>
      <c r="F215" s="635"/>
      <c r="G215" s="21">
        <f t="shared" si="35"/>
        <v>0.03</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0.02</v>
      </c>
      <c r="F216" s="635"/>
      <c r="G216" s="21">
        <f t="shared" si="35"/>
        <v>0.03</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0.02</v>
      </c>
      <c r="F217" s="635"/>
      <c r="G217" s="21">
        <f t="shared" si="35"/>
        <v>0.03</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0.02</v>
      </c>
      <c r="F218" s="635"/>
      <c r="G218" s="21">
        <f t="shared" ref="G218:G281" si="45">(SUMIF($7:$7,F218,$8:$8)-SUMIF($7:$7,$F$24,$8:$8)+100)/100</f>
        <v>0.03</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0.02</v>
      </c>
      <c r="F219" s="635"/>
      <c r="G219" s="21">
        <f t="shared" si="45"/>
        <v>0.03</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0.02</v>
      </c>
      <c r="F220" s="635"/>
      <c r="G220" s="21">
        <f t="shared" si="45"/>
        <v>0.03</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0.02</v>
      </c>
      <c r="F221" s="635"/>
      <c r="G221" s="21">
        <f t="shared" si="45"/>
        <v>0.03</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0.02</v>
      </c>
      <c r="F222" s="635"/>
      <c r="G222" s="21">
        <f t="shared" si="45"/>
        <v>0.03</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0.02</v>
      </c>
      <c r="F223" s="635"/>
      <c r="G223" s="21">
        <f t="shared" si="45"/>
        <v>0.03</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0.02</v>
      </c>
      <c r="F224" s="635"/>
      <c r="G224" s="21">
        <f t="shared" si="45"/>
        <v>0.03</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0.02</v>
      </c>
      <c r="F225" s="635"/>
      <c r="G225" s="21">
        <f t="shared" si="45"/>
        <v>0.03</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0.02</v>
      </c>
      <c r="F226" s="635"/>
      <c r="G226" s="21">
        <f t="shared" si="45"/>
        <v>0.03</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0.02</v>
      </c>
      <c r="F227" s="635"/>
      <c r="G227" s="21">
        <f t="shared" si="45"/>
        <v>0.03</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0.02</v>
      </c>
      <c r="F228" s="635"/>
      <c r="G228" s="21">
        <f t="shared" si="45"/>
        <v>0.03</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0.02</v>
      </c>
      <c r="F229" s="635"/>
      <c r="G229" s="21">
        <f t="shared" si="45"/>
        <v>0.03</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0.02</v>
      </c>
      <c r="F230" s="635"/>
      <c r="G230" s="21">
        <f t="shared" si="45"/>
        <v>0.03</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0.02</v>
      </c>
      <c r="F231" s="635"/>
      <c r="G231" s="21">
        <f t="shared" si="45"/>
        <v>0.03</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0.02</v>
      </c>
      <c r="F232" s="635"/>
      <c r="G232" s="21">
        <f t="shared" si="45"/>
        <v>0.03</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0.02</v>
      </c>
      <c r="F233" s="635"/>
      <c r="G233" s="21">
        <f t="shared" si="45"/>
        <v>0.03</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0.02</v>
      </c>
      <c r="F234" s="635"/>
      <c r="G234" s="21">
        <f t="shared" si="45"/>
        <v>0.03</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0.02</v>
      </c>
      <c r="F235" s="635"/>
      <c r="G235" s="21">
        <f t="shared" si="45"/>
        <v>0.03</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0.02</v>
      </c>
      <c r="F236" s="635"/>
      <c r="G236" s="21">
        <f t="shared" si="45"/>
        <v>0.03</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0.02</v>
      </c>
      <c r="F237" s="635"/>
      <c r="G237" s="21">
        <f t="shared" si="45"/>
        <v>0.03</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0.02</v>
      </c>
      <c r="F238" s="635"/>
      <c r="G238" s="21">
        <f t="shared" si="45"/>
        <v>0.03</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0.02</v>
      </c>
      <c r="F239" s="635"/>
      <c r="G239" s="21">
        <f t="shared" si="45"/>
        <v>0.03</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0.02</v>
      </c>
      <c r="F240" s="635"/>
      <c r="G240" s="21">
        <f t="shared" si="45"/>
        <v>0.03</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0.02</v>
      </c>
      <c r="F241" s="635"/>
      <c r="G241" s="21">
        <f t="shared" si="45"/>
        <v>0.03</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0.02</v>
      </c>
      <c r="F242" s="635"/>
      <c r="G242" s="21">
        <f t="shared" si="45"/>
        <v>0.03</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0.02</v>
      </c>
      <c r="F243" s="635"/>
      <c r="G243" s="21">
        <f t="shared" si="45"/>
        <v>0.03</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0.02</v>
      </c>
      <c r="F244" s="635"/>
      <c r="G244" s="21">
        <f t="shared" si="45"/>
        <v>0.03</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0.02</v>
      </c>
      <c r="F245" s="635"/>
      <c r="G245" s="21">
        <f t="shared" si="45"/>
        <v>0.03</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0.02</v>
      </c>
      <c r="F246" s="635"/>
      <c r="G246" s="21">
        <f t="shared" si="45"/>
        <v>0.03</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0.02</v>
      </c>
      <c r="F247" s="635"/>
      <c r="G247" s="21">
        <f t="shared" si="45"/>
        <v>0.03</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0.02</v>
      </c>
      <c r="F248" s="635"/>
      <c r="G248" s="21">
        <f t="shared" si="45"/>
        <v>0.03</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0.02</v>
      </c>
      <c r="F249" s="635"/>
      <c r="G249" s="21">
        <f t="shared" si="45"/>
        <v>0.03</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0.02</v>
      </c>
      <c r="F250" s="635"/>
      <c r="G250" s="21">
        <f t="shared" si="45"/>
        <v>0.03</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0.02</v>
      </c>
      <c r="F251" s="635"/>
      <c r="G251" s="21">
        <f t="shared" si="45"/>
        <v>0.03</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0.02</v>
      </c>
      <c r="F252" s="635"/>
      <c r="G252" s="21">
        <f t="shared" si="45"/>
        <v>0.03</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0.02</v>
      </c>
      <c r="F253" s="635"/>
      <c r="G253" s="21">
        <f t="shared" si="45"/>
        <v>0.03</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0.02</v>
      </c>
      <c r="F254" s="635"/>
      <c r="G254" s="21">
        <f t="shared" si="45"/>
        <v>0.03</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0.02</v>
      </c>
      <c r="F255" s="635"/>
      <c r="G255" s="21">
        <f t="shared" si="45"/>
        <v>0.03</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0.02</v>
      </c>
      <c r="F256" s="635"/>
      <c r="G256" s="21">
        <f t="shared" si="45"/>
        <v>0.03</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0.02</v>
      </c>
      <c r="F257" s="635"/>
      <c r="G257" s="21">
        <f t="shared" si="45"/>
        <v>0.03</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0.02</v>
      </c>
      <c r="F258" s="635"/>
      <c r="G258" s="21">
        <f t="shared" si="45"/>
        <v>0.03</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0.02</v>
      </c>
      <c r="F259" s="635"/>
      <c r="G259" s="21">
        <f t="shared" si="45"/>
        <v>0.03</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0.02</v>
      </c>
      <c r="F260" s="635"/>
      <c r="G260" s="21">
        <f t="shared" si="45"/>
        <v>0.03</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0.02</v>
      </c>
      <c r="F261" s="635"/>
      <c r="G261" s="21">
        <f t="shared" si="45"/>
        <v>0.03</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0.02</v>
      </c>
      <c r="F262" s="635"/>
      <c r="G262" s="21">
        <f t="shared" si="45"/>
        <v>0.03</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0.02</v>
      </c>
      <c r="F263" s="635"/>
      <c r="G263" s="21">
        <f t="shared" si="45"/>
        <v>0.03</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0.02</v>
      </c>
      <c r="F264" s="635"/>
      <c r="G264" s="21">
        <f t="shared" si="45"/>
        <v>0.03</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0.02</v>
      </c>
      <c r="F265" s="635"/>
      <c r="G265" s="21">
        <f t="shared" si="45"/>
        <v>0.03</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0.02</v>
      </c>
      <c r="F266" s="635"/>
      <c r="G266" s="21">
        <f t="shared" si="45"/>
        <v>0.03</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0.02</v>
      </c>
      <c r="F267" s="635"/>
      <c r="G267" s="21">
        <f t="shared" si="45"/>
        <v>0.03</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0.02</v>
      </c>
      <c r="F268" s="635"/>
      <c r="G268" s="21">
        <f t="shared" si="45"/>
        <v>0.03</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0.02</v>
      </c>
      <c r="F269" s="635"/>
      <c r="G269" s="21">
        <f t="shared" si="45"/>
        <v>0.03</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0.02</v>
      </c>
      <c r="F270" s="635"/>
      <c r="G270" s="21">
        <f t="shared" si="45"/>
        <v>0.03</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0.02</v>
      </c>
      <c r="F271" s="635"/>
      <c r="G271" s="21">
        <f t="shared" si="45"/>
        <v>0.03</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0.02</v>
      </c>
      <c r="F272" s="635"/>
      <c r="G272" s="21">
        <f t="shared" si="45"/>
        <v>0.03</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0.02</v>
      </c>
      <c r="F273" s="635"/>
      <c r="G273" s="21">
        <f t="shared" si="45"/>
        <v>0.03</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0.02</v>
      </c>
      <c r="F274" s="635"/>
      <c r="G274" s="21">
        <f t="shared" si="45"/>
        <v>0.03</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0.02</v>
      </c>
      <c r="F275" s="635"/>
      <c r="G275" s="21">
        <f t="shared" si="45"/>
        <v>0.03</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0.02</v>
      </c>
      <c r="F276" s="635"/>
      <c r="G276" s="21">
        <f t="shared" si="45"/>
        <v>0.03</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0.02</v>
      </c>
      <c r="F277" s="635"/>
      <c r="G277" s="21">
        <f t="shared" si="45"/>
        <v>0.03</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0.02</v>
      </c>
      <c r="F278" s="635"/>
      <c r="G278" s="21">
        <f t="shared" si="45"/>
        <v>0.03</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0.02</v>
      </c>
      <c r="F279" s="635"/>
      <c r="G279" s="21">
        <f t="shared" si="45"/>
        <v>0.03</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0.02</v>
      </c>
      <c r="F280" s="635"/>
      <c r="G280" s="21">
        <f t="shared" si="45"/>
        <v>0.03</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0.02</v>
      </c>
      <c r="F281" s="635"/>
      <c r="G281" s="21">
        <f t="shared" si="45"/>
        <v>0.03</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0.02</v>
      </c>
      <c r="F282" s="635"/>
      <c r="G282" s="21">
        <f t="shared" ref="G282:G345" si="55">(SUMIF($7:$7,F282,$8:$8)-SUMIF($7:$7,$F$24,$8:$8)+100)/100</f>
        <v>0.03</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0.02</v>
      </c>
      <c r="F283" s="635"/>
      <c r="G283" s="21">
        <f t="shared" si="55"/>
        <v>0.03</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0.02</v>
      </c>
      <c r="F284" s="635"/>
      <c r="G284" s="21">
        <f t="shared" si="55"/>
        <v>0.03</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0.02</v>
      </c>
      <c r="F285" s="635"/>
      <c r="G285" s="21">
        <f t="shared" si="55"/>
        <v>0.03</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0.02</v>
      </c>
      <c r="F286" s="635"/>
      <c r="G286" s="21">
        <f t="shared" si="55"/>
        <v>0.03</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0.02</v>
      </c>
      <c r="F287" s="635"/>
      <c r="G287" s="21">
        <f t="shared" si="55"/>
        <v>0.03</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0.02</v>
      </c>
      <c r="F288" s="635"/>
      <c r="G288" s="21">
        <f t="shared" si="55"/>
        <v>0.03</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0.02</v>
      </c>
      <c r="F289" s="635"/>
      <c r="G289" s="21">
        <f t="shared" si="55"/>
        <v>0.03</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0.02</v>
      </c>
      <c r="F290" s="635"/>
      <c r="G290" s="21">
        <f t="shared" si="55"/>
        <v>0.03</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0.02</v>
      </c>
      <c r="F291" s="635"/>
      <c r="G291" s="21">
        <f t="shared" si="55"/>
        <v>0.03</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0.02</v>
      </c>
      <c r="F292" s="635"/>
      <c r="G292" s="21">
        <f t="shared" si="55"/>
        <v>0.03</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0.02</v>
      </c>
      <c r="F293" s="635"/>
      <c r="G293" s="21">
        <f t="shared" si="55"/>
        <v>0.03</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0.02</v>
      </c>
      <c r="F294" s="635"/>
      <c r="G294" s="21">
        <f t="shared" si="55"/>
        <v>0.03</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0.02</v>
      </c>
      <c r="F295" s="635"/>
      <c r="G295" s="21">
        <f t="shared" si="55"/>
        <v>0.03</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0.02</v>
      </c>
      <c r="F296" s="635"/>
      <c r="G296" s="21">
        <f t="shared" si="55"/>
        <v>0.03</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0.02</v>
      </c>
      <c r="F297" s="635"/>
      <c r="G297" s="21">
        <f t="shared" si="55"/>
        <v>0.03</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0.02</v>
      </c>
      <c r="F298" s="635"/>
      <c r="G298" s="21">
        <f t="shared" si="55"/>
        <v>0.03</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0.02</v>
      </c>
      <c r="F299" s="635"/>
      <c r="G299" s="21">
        <f t="shared" si="55"/>
        <v>0.03</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0.02</v>
      </c>
      <c r="F300" s="635"/>
      <c r="G300" s="21">
        <f t="shared" si="55"/>
        <v>0.03</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0.02</v>
      </c>
      <c r="F301" s="635"/>
      <c r="G301" s="21">
        <f t="shared" si="55"/>
        <v>0.03</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0.02</v>
      </c>
      <c r="F302" s="635"/>
      <c r="G302" s="21">
        <f t="shared" si="55"/>
        <v>0.03</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0.02</v>
      </c>
      <c r="F303" s="635"/>
      <c r="G303" s="21">
        <f t="shared" si="55"/>
        <v>0.03</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0.02</v>
      </c>
      <c r="F304" s="635"/>
      <c r="G304" s="21">
        <f t="shared" si="55"/>
        <v>0.03</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0.02</v>
      </c>
      <c r="F305" s="635"/>
      <c r="G305" s="21">
        <f t="shared" si="55"/>
        <v>0.03</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0.02</v>
      </c>
      <c r="F306" s="635"/>
      <c r="G306" s="21">
        <f t="shared" si="55"/>
        <v>0.03</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0.02</v>
      </c>
      <c r="F307" s="635"/>
      <c r="G307" s="21">
        <f t="shared" si="55"/>
        <v>0.03</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0.02</v>
      </c>
      <c r="F308" s="635"/>
      <c r="G308" s="21">
        <f t="shared" si="55"/>
        <v>0.03</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0.02</v>
      </c>
      <c r="F309" s="635"/>
      <c r="G309" s="21">
        <f t="shared" si="55"/>
        <v>0.03</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0.02</v>
      </c>
      <c r="F310" s="635"/>
      <c r="G310" s="21">
        <f t="shared" si="55"/>
        <v>0.03</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0.02</v>
      </c>
      <c r="F311" s="635"/>
      <c r="G311" s="21">
        <f t="shared" si="55"/>
        <v>0.03</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0.02</v>
      </c>
      <c r="F312" s="635"/>
      <c r="G312" s="21">
        <f t="shared" si="55"/>
        <v>0.03</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0.02</v>
      </c>
      <c r="F313" s="635"/>
      <c r="G313" s="21">
        <f t="shared" si="55"/>
        <v>0.03</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0.02</v>
      </c>
      <c r="F314" s="635"/>
      <c r="G314" s="21">
        <f t="shared" si="55"/>
        <v>0.03</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0.02</v>
      </c>
      <c r="F315" s="635"/>
      <c r="G315" s="21">
        <f t="shared" si="55"/>
        <v>0.03</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0.02</v>
      </c>
      <c r="F316" s="635"/>
      <c r="G316" s="21">
        <f t="shared" si="55"/>
        <v>0.03</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0.02</v>
      </c>
      <c r="F317" s="635"/>
      <c r="G317" s="21">
        <f t="shared" si="55"/>
        <v>0.03</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0.02</v>
      </c>
      <c r="F318" s="635"/>
      <c r="G318" s="21">
        <f t="shared" si="55"/>
        <v>0.03</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0.02</v>
      </c>
      <c r="F319" s="635"/>
      <c r="G319" s="21">
        <f t="shared" si="55"/>
        <v>0.03</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0.02</v>
      </c>
      <c r="F320" s="635"/>
      <c r="G320" s="21">
        <f t="shared" si="55"/>
        <v>0.03</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0.02</v>
      </c>
      <c r="F321" s="635"/>
      <c r="G321" s="21">
        <f t="shared" si="55"/>
        <v>0.03</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0.02</v>
      </c>
      <c r="F322" s="635"/>
      <c r="G322" s="21">
        <f t="shared" si="55"/>
        <v>0.03</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0.02</v>
      </c>
      <c r="F323" s="635"/>
      <c r="G323" s="21">
        <f t="shared" si="55"/>
        <v>0.03</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0.02</v>
      </c>
      <c r="F324" s="635"/>
      <c r="G324" s="21">
        <f t="shared" si="55"/>
        <v>0.03</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0.02</v>
      </c>
      <c r="F325" s="635"/>
      <c r="G325" s="21">
        <f t="shared" si="55"/>
        <v>0.03</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0.02</v>
      </c>
      <c r="F326" s="635"/>
      <c r="G326" s="21">
        <f t="shared" si="55"/>
        <v>0.03</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0.02</v>
      </c>
      <c r="F327" s="635"/>
      <c r="G327" s="21">
        <f t="shared" si="55"/>
        <v>0.03</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0.02</v>
      </c>
      <c r="F328" s="635"/>
      <c r="G328" s="21">
        <f t="shared" si="55"/>
        <v>0.03</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0.02</v>
      </c>
      <c r="F329" s="635"/>
      <c r="G329" s="21">
        <f t="shared" si="55"/>
        <v>0.03</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0.02</v>
      </c>
      <c r="F330" s="635"/>
      <c r="G330" s="21">
        <f t="shared" si="55"/>
        <v>0.03</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0.02</v>
      </c>
      <c r="F331" s="635"/>
      <c r="G331" s="21">
        <f t="shared" si="55"/>
        <v>0.03</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0.02</v>
      </c>
      <c r="F332" s="635"/>
      <c r="G332" s="21">
        <f t="shared" si="55"/>
        <v>0.03</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0.02</v>
      </c>
      <c r="F333" s="635"/>
      <c r="G333" s="21">
        <f t="shared" si="55"/>
        <v>0.03</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0.02</v>
      </c>
      <c r="F334" s="635"/>
      <c r="G334" s="21">
        <f t="shared" si="55"/>
        <v>0.03</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0.02</v>
      </c>
      <c r="F335" s="635"/>
      <c r="G335" s="21">
        <f t="shared" si="55"/>
        <v>0.03</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0.02</v>
      </c>
      <c r="F336" s="635"/>
      <c r="G336" s="21">
        <f t="shared" si="55"/>
        <v>0.03</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0.02</v>
      </c>
      <c r="F337" s="635"/>
      <c r="G337" s="21">
        <f t="shared" si="55"/>
        <v>0.03</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0.02</v>
      </c>
      <c r="F338" s="635"/>
      <c r="G338" s="21">
        <f t="shared" si="55"/>
        <v>0.03</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0.02</v>
      </c>
      <c r="F339" s="635"/>
      <c r="G339" s="21">
        <f t="shared" si="55"/>
        <v>0.03</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0.02</v>
      </c>
      <c r="F340" s="635"/>
      <c r="G340" s="21">
        <f t="shared" si="55"/>
        <v>0.03</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0.02</v>
      </c>
      <c r="F341" s="635"/>
      <c r="G341" s="21">
        <f t="shared" si="55"/>
        <v>0.03</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0.02</v>
      </c>
      <c r="F342" s="635"/>
      <c r="G342" s="21">
        <f t="shared" si="55"/>
        <v>0.03</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0.02</v>
      </c>
      <c r="F343" s="635"/>
      <c r="G343" s="21">
        <f t="shared" si="55"/>
        <v>0.03</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0.02</v>
      </c>
      <c r="F344" s="635"/>
      <c r="G344" s="21">
        <f t="shared" si="55"/>
        <v>0.03</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0.02</v>
      </c>
      <c r="F345" s="635"/>
      <c r="G345" s="21">
        <f t="shared" si="55"/>
        <v>0.03</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0.02</v>
      </c>
      <c r="F346" s="635"/>
      <c r="G346" s="21">
        <f t="shared" ref="G346:G409" si="66">(SUMIF($7:$7,F346,$8:$8)-SUMIF($7:$7,$F$24,$8:$8)+100)/100</f>
        <v>0.03</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0.02</v>
      </c>
      <c r="F347" s="635"/>
      <c r="G347" s="21">
        <f t="shared" si="66"/>
        <v>0.03</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0.02</v>
      </c>
      <c r="F348" s="635"/>
      <c r="G348" s="21">
        <f t="shared" si="66"/>
        <v>0.03</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0.02</v>
      </c>
      <c r="F349" s="635"/>
      <c r="G349" s="21">
        <f t="shared" si="66"/>
        <v>0.03</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0.02</v>
      </c>
      <c r="F350" s="635"/>
      <c r="G350" s="21">
        <f t="shared" si="66"/>
        <v>0.03</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0.02</v>
      </c>
      <c r="F351" s="635"/>
      <c r="G351" s="21">
        <f t="shared" si="66"/>
        <v>0.03</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0.02</v>
      </c>
      <c r="F352" s="635"/>
      <c r="G352" s="21">
        <f t="shared" si="66"/>
        <v>0.03</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0.02</v>
      </c>
      <c r="F353" s="635"/>
      <c r="G353" s="21">
        <f t="shared" si="66"/>
        <v>0.03</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0.02</v>
      </c>
      <c r="F354" s="635"/>
      <c r="G354" s="21">
        <f t="shared" si="66"/>
        <v>0.03</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0.02</v>
      </c>
      <c r="F355" s="635"/>
      <c r="G355" s="21">
        <f t="shared" si="66"/>
        <v>0.03</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0.02</v>
      </c>
      <c r="F356" s="635"/>
      <c r="G356" s="21">
        <f t="shared" si="66"/>
        <v>0.03</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0.02</v>
      </c>
      <c r="F357" s="635"/>
      <c r="G357" s="21">
        <f t="shared" si="66"/>
        <v>0.03</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0.02</v>
      </c>
      <c r="F358" s="635"/>
      <c r="G358" s="21">
        <f t="shared" si="66"/>
        <v>0.03</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0.02</v>
      </c>
      <c r="F359" s="635"/>
      <c r="G359" s="21">
        <f t="shared" si="66"/>
        <v>0.03</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0.02</v>
      </c>
      <c r="F360" s="635"/>
      <c r="G360" s="21">
        <f t="shared" si="66"/>
        <v>0.03</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0.02</v>
      </c>
      <c r="F361" s="635"/>
      <c r="G361" s="21">
        <f t="shared" si="66"/>
        <v>0.03</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0.02</v>
      </c>
      <c r="F362" s="635"/>
      <c r="G362" s="21">
        <f t="shared" si="66"/>
        <v>0.03</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0.02</v>
      </c>
      <c r="F363" s="635"/>
      <c r="G363" s="21">
        <f t="shared" si="66"/>
        <v>0.03</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0.02</v>
      </c>
      <c r="F364" s="635"/>
      <c r="G364" s="21">
        <f t="shared" si="66"/>
        <v>0.03</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0.02</v>
      </c>
      <c r="F365" s="635"/>
      <c r="G365" s="21">
        <f t="shared" si="66"/>
        <v>0.03</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0.02</v>
      </c>
      <c r="F366" s="635"/>
      <c r="G366" s="21">
        <f t="shared" si="66"/>
        <v>0.03</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0.02</v>
      </c>
      <c r="F367" s="635"/>
      <c r="G367" s="21">
        <f t="shared" si="66"/>
        <v>0.03</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0.02</v>
      </c>
      <c r="F368" s="635"/>
      <c r="G368" s="21">
        <f t="shared" si="66"/>
        <v>0.03</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0.02</v>
      </c>
      <c r="F369" s="635"/>
      <c r="G369" s="21">
        <f t="shared" si="66"/>
        <v>0.03</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0.02</v>
      </c>
      <c r="F370" s="635"/>
      <c r="G370" s="21">
        <f t="shared" si="66"/>
        <v>0.03</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0.02</v>
      </c>
      <c r="F371" s="635"/>
      <c r="G371" s="21">
        <f t="shared" si="66"/>
        <v>0.03</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0.02</v>
      </c>
      <c r="F372" s="635"/>
      <c r="G372" s="21">
        <f t="shared" si="66"/>
        <v>0.03</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0.02</v>
      </c>
      <c r="F373" s="635"/>
      <c r="G373" s="21">
        <f t="shared" si="66"/>
        <v>0.03</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0.02</v>
      </c>
      <c r="F374" s="635"/>
      <c r="G374" s="21">
        <f t="shared" si="66"/>
        <v>0.03</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0.02</v>
      </c>
      <c r="F375" s="635"/>
      <c r="G375" s="21">
        <f t="shared" si="66"/>
        <v>0.03</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0.02</v>
      </c>
      <c r="F376" s="635"/>
      <c r="G376" s="21">
        <f t="shared" si="66"/>
        <v>0.03</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0.02</v>
      </c>
      <c r="F377" s="635"/>
      <c r="G377" s="21">
        <f t="shared" si="66"/>
        <v>0.03</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0.02</v>
      </c>
      <c r="F378" s="635"/>
      <c r="G378" s="21">
        <f t="shared" si="66"/>
        <v>0.03</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0.02</v>
      </c>
      <c r="F379" s="635"/>
      <c r="G379" s="21">
        <f t="shared" si="66"/>
        <v>0.03</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0.02</v>
      </c>
      <c r="F380" s="635"/>
      <c r="G380" s="21">
        <f t="shared" si="66"/>
        <v>0.03</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0.02</v>
      </c>
      <c r="F381" s="635"/>
      <c r="G381" s="21">
        <f t="shared" si="66"/>
        <v>0.03</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0.02</v>
      </c>
      <c r="F382" s="635"/>
      <c r="G382" s="21">
        <f t="shared" si="66"/>
        <v>0.03</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0.02</v>
      </c>
      <c r="F383" s="635"/>
      <c r="G383" s="21">
        <f t="shared" si="66"/>
        <v>0.03</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0.02</v>
      </c>
      <c r="F384" s="635"/>
      <c r="G384" s="21">
        <f t="shared" si="66"/>
        <v>0.03</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0.02</v>
      </c>
      <c r="F385" s="635"/>
      <c r="G385" s="21">
        <f t="shared" si="66"/>
        <v>0.03</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0.02</v>
      </c>
      <c r="F386" s="635"/>
      <c r="G386" s="21">
        <f t="shared" si="66"/>
        <v>0.03</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0.02</v>
      </c>
      <c r="F387" s="635"/>
      <c r="G387" s="21">
        <f t="shared" si="66"/>
        <v>0.03</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0.02</v>
      </c>
      <c r="F388" s="635"/>
      <c r="G388" s="21">
        <f t="shared" si="66"/>
        <v>0.03</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0.02</v>
      </c>
      <c r="F389" s="635"/>
      <c r="G389" s="21">
        <f t="shared" si="66"/>
        <v>0.03</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0.02</v>
      </c>
      <c r="F390" s="635"/>
      <c r="G390" s="21">
        <f t="shared" si="66"/>
        <v>0.03</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0.02</v>
      </c>
      <c r="F391" s="635"/>
      <c r="G391" s="21">
        <f t="shared" si="66"/>
        <v>0.03</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0.02</v>
      </c>
      <c r="F392" s="635"/>
      <c r="G392" s="21">
        <f t="shared" si="66"/>
        <v>0.03</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0.02</v>
      </c>
      <c r="F393" s="635"/>
      <c r="G393" s="21">
        <f t="shared" si="66"/>
        <v>0.03</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0.02</v>
      </c>
      <c r="F394" s="635"/>
      <c r="G394" s="21">
        <f t="shared" si="66"/>
        <v>0.03</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0.02</v>
      </c>
      <c r="F395" s="635"/>
      <c r="G395" s="21">
        <f t="shared" si="66"/>
        <v>0.03</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0.02</v>
      </c>
      <c r="F396" s="635"/>
      <c r="G396" s="21">
        <f t="shared" si="66"/>
        <v>0.03</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0.02</v>
      </c>
      <c r="F397" s="635"/>
      <c r="G397" s="21">
        <f t="shared" si="66"/>
        <v>0.03</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0.02</v>
      </c>
      <c r="F398" s="635"/>
      <c r="G398" s="21">
        <f t="shared" si="66"/>
        <v>0.03</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0.02</v>
      </c>
      <c r="F399" s="635"/>
      <c r="G399" s="21">
        <f t="shared" si="66"/>
        <v>0.03</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0.02</v>
      </c>
      <c r="F400" s="635"/>
      <c r="G400" s="21">
        <f t="shared" si="66"/>
        <v>0.03</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0.02</v>
      </c>
      <c r="F401" s="635"/>
      <c r="G401" s="21">
        <f t="shared" si="66"/>
        <v>0.03</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0.02</v>
      </c>
      <c r="F402" s="635"/>
      <c r="G402" s="21">
        <f t="shared" si="66"/>
        <v>0.03</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0.02</v>
      </c>
      <c r="F403" s="635"/>
      <c r="G403" s="21">
        <f t="shared" si="66"/>
        <v>0.03</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0.02</v>
      </c>
      <c r="F404" s="635"/>
      <c r="G404" s="21">
        <f t="shared" si="66"/>
        <v>0.03</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0.02</v>
      </c>
      <c r="F405" s="635"/>
      <c r="G405" s="21">
        <f t="shared" si="66"/>
        <v>0.03</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0.02</v>
      </c>
      <c r="F406" s="635"/>
      <c r="G406" s="21">
        <f t="shared" si="66"/>
        <v>0.03</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0.02</v>
      </c>
      <c r="F407" s="635"/>
      <c r="G407" s="21">
        <f t="shared" si="66"/>
        <v>0.03</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0.02</v>
      </c>
      <c r="F408" s="635"/>
      <c r="G408" s="21">
        <f t="shared" si="66"/>
        <v>0.03</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0.02</v>
      </c>
      <c r="F409" s="635"/>
      <c r="G409" s="21">
        <f t="shared" si="66"/>
        <v>0.03</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0.02</v>
      </c>
      <c r="F410" s="635"/>
      <c r="G410" s="21">
        <f t="shared" ref="G410:G473" si="76">(SUMIF($7:$7,F410,$8:$8)-SUMIF($7:$7,$F$24,$8:$8)+100)/100</f>
        <v>0.03</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0.02</v>
      </c>
      <c r="F411" s="635"/>
      <c r="G411" s="21">
        <f t="shared" si="76"/>
        <v>0.03</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0.02</v>
      </c>
      <c r="F412" s="635"/>
      <c r="G412" s="21">
        <f t="shared" si="76"/>
        <v>0.03</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0.02</v>
      </c>
      <c r="F413" s="635"/>
      <c r="G413" s="21">
        <f t="shared" si="76"/>
        <v>0.03</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0.02</v>
      </c>
      <c r="F414" s="635"/>
      <c r="G414" s="21">
        <f t="shared" si="76"/>
        <v>0.03</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0.02</v>
      </c>
      <c r="F415" s="635"/>
      <c r="G415" s="21">
        <f t="shared" si="76"/>
        <v>0.03</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0.02</v>
      </c>
      <c r="F416" s="635"/>
      <c r="G416" s="21">
        <f t="shared" si="76"/>
        <v>0.03</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0.02</v>
      </c>
      <c r="F417" s="635"/>
      <c r="G417" s="21">
        <f t="shared" si="76"/>
        <v>0.03</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0.02</v>
      </c>
      <c r="F418" s="635"/>
      <c r="G418" s="21">
        <f t="shared" si="76"/>
        <v>0.03</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0.02</v>
      </c>
      <c r="F419" s="635"/>
      <c r="G419" s="21">
        <f t="shared" si="76"/>
        <v>0.03</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0.02</v>
      </c>
      <c r="F420" s="635"/>
      <c r="G420" s="21">
        <f t="shared" si="76"/>
        <v>0.03</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0.02</v>
      </c>
      <c r="F421" s="635"/>
      <c r="G421" s="21">
        <f t="shared" si="76"/>
        <v>0.03</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0.02</v>
      </c>
      <c r="F422" s="635"/>
      <c r="G422" s="21">
        <f t="shared" si="76"/>
        <v>0.03</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0.02</v>
      </c>
      <c r="F423" s="635"/>
      <c r="G423" s="21">
        <f t="shared" si="76"/>
        <v>0.03</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0.02</v>
      </c>
      <c r="F424" s="635"/>
      <c r="G424" s="21">
        <f t="shared" si="76"/>
        <v>0.03</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0.02</v>
      </c>
      <c r="F425" s="635"/>
      <c r="G425" s="21">
        <f t="shared" si="76"/>
        <v>0.03</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0.02</v>
      </c>
      <c r="F426" s="635"/>
      <c r="G426" s="21">
        <f t="shared" si="76"/>
        <v>0.03</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0.02</v>
      </c>
      <c r="F427" s="635"/>
      <c r="G427" s="21">
        <f t="shared" si="76"/>
        <v>0.03</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0.02</v>
      </c>
      <c r="F428" s="635"/>
      <c r="G428" s="21">
        <f t="shared" si="76"/>
        <v>0.03</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0.02</v>
      </c>
      <c r="F429" s="635"/>
      <c r="G429" s="21">
        <f t="shared" si="76"/>
        <v>0.03</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0.02</v>
      </c>
      <c r="F430" s="635"/>
      <c r="G430" s="21">
        <f t="shared" si="76"/>
        <v>0.03</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0.02</v>
      </c>
      <c r="F431" s="635"/>
      <c r="G431" s="21">
        <f t="shared" si="76"/>
        <v>0.03</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0.02</v>
      </c>
      <c r="F432" s="635"/>
      <c r="G432" s="21">
        <f t="shared" si="76"/>
        <v>0.03</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0.02</v>
      </c>
      <c r="F433" s="635"/>
      <c r="G433" s="21">
        <f t="shared" si="76"/>
        <v>0.03</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0.02</v>
      </c>
      <c r="F434" s="635"/>
      <c r="G434" s="21">
        <f t="shared" si="76"/>
        <v>0.03</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0.02</v>
      </c>
      <c r="F435" s="635"/>
      <c r="G435" s="21">
        <f t="shared" si="76"/>
        <v>0.03</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0.02</v>
      </c>
      <c r="F436" s="635"/>
      <c r="G436" s="21">
        <f t="shared" si="76"/>
        <v>0.03</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0.02</v>
      </c>
      <c r="F437" s="635"/>
      <c r="G437" s="21">
        <f t="shared" si="76"/>
        <v>0.03</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0.02</v>
      </c>
      <c r="F438" s="635"/>
      <c r="G438" s="21">
        <f t="shared" si="76"/>
        <v>0.03</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0.02</v>
      </c>
      <c r="F439" s="635"/>
      <c r="G439" s="21">
        <f t="shared" si="76"/>
        <v>0.03</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0.02</v>
      </c>
      <c r="F440" s="635"/>
      <c r="G440" s="21">
        <f t="shared" si="76"/>
        <v>0.03</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0.02</v>
      </c>
      <c r="F441" s="635"/>
      <c r="G441" s="21">
        <f t="shared" si="76"/>
        <v>0.03</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0.02</v>
      </c>
      <c r="F442" s="635"/>
      <c r="G442" s="21">
        <f t="shared" si="76"/>
        <v>0.03</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0.02</v>
      </c>
      <c r="F443" s="635"/>
      <c r="G443" s="21">
        <f t="shared" si="76"/>
        <v>0.03</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0.02</v>
      </c>
      <c r="F444" s="635"/>
      <c r="G444" s="21">
        <f t="shared" si="76"/>
        <v>0.03</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0.02</v>
      </c>
      <c r="F445" s="635"/>
      <c r="G445" s="21">
        <f t="shared" si="76"/>
        <v>0.03</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0.02</v>
      </c>
      <c r="F446" s="635"/>
      <c r="G446" s="21">
        <f t="shared" si="76"/>
        <v>0.03</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0.02</v>
      </c>
      <c r="F447" s="635"/>
      <c r="G447" s="21">
        <f t="shared" si="76"/>
        <v>0.03</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0.02</v>
      </c>
      <c r="F448" s="635"/>
      <c r="G448" s="21">
        <f t="shared" si="76"/>
        <v>0.03</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0.02</v>
      </c>
      <c r="F449" s="635"/>
      <c r="G449" s="21">
        <f t="shared" si="76"/>
        <v>0.03</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0.02</v>
      </c>
      <c r="F450" s="635"/>
      <c r="G450" s="21">
        <f t="shared" si="76"/>
        <v>0.03</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0.02</v>
      </c>
      <c r="F451" s="635"/>
      <c r="G451" s="21">
        <f t="shared" si="76"/>
        <v>0.03</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0.02</v>
      </c>
      <c r="F452" s="635"/>
      <c r="G452" s="21">
        <f t="shared" si="76"/>
        <v>0.03</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0.02</v>
      </c>
      <c r="F453" s="635"/>
      <c r="G453" s="21">
        <f t="shared" si="76"/>
        <v>0.03</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0.02</v>
      </c>
      <c r="F454" s="635"/>
      <c r="G454" s="21">
        <f t="shared" si="76"/>
        <v>0.03</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0.02</v>
      </c>
      <c r="F455" s="635"/>
      <c r="G455" s="21">
        <f t="shared" si="76"/>
        <v>0.03</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0.02</v>
      </c>
      <c r="F456" s="635"/>
      <c r="G456" s="21">
        <f t="shared" si="76"/>
        <v>0.03</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0.02</v>
      </c>
      <c r="F457" s="635"/>
      <c r="G457" s="21">
        <f t="shared" si="76"/>
        <v>0.03</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0.02</v>
      </c>
      <c r="F458" s="635"/>
      <c r="G458" s="21">
        <f t="shared" si="76"/>
        <v>0.03</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0.02</v>
      </c>
      <c r="F459" s="635"/>
      <c r="G459" s="21">
        <f t="shared" si="76"/>
        <v>0.03</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0.02</v>
      </c>
      <c r="F460" s="635"/>
      <c r="G460" s="21">
        <f t="shared" si="76"/>
        <v>0.03</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0.02</v>
      </c>
      <c r="F461" s="635"/>
      <c r="G461" s="21">
        <f t="shared" si="76"/>
        <v>0.03</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0.02</v>
      </c>
      <c r="F462" s="635"/>
      <c r="G462" s="21">
        <f t="shared" si="76"/>
        <v>0.03</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0.02</v>
      </c>
      <c r="F463" s="635"/>
      <c r="G463" s="21">
        <f t="shared" si="76"/>
        <v>0.03</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0.02</v>
      </c>
      <c r="F464" s="635"/>
      <c r="G464" s="21">
        <f t="shared" si="76"/>
        <v>0.03</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0.02</v>
      </c>
      <c r="F465" s="635"/>
      <c r="G465" s="21">
        <f t="shared" si="76"/>
        <v>0.03</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0.02</v>
      </c>
      <c r="F466" s="635"/>
      <c r="G466" s="21">
        <f t="shared" si="76"/>
        <v>0.03</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0.02</v>
      </c>
      <c r="F467" s="635"/>
      <c r="G467" s="21">
        <f t="shared" si="76"/>
        <v>0.03</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0.02</v>
      </c>
      <c r="F468" s="635"/>
      <c r="G468" s="21">
        <f t="shared" si="76"/>
        <v>0.03</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0.02</v>
      </c>
      <c r="F469" s="635"/>
      <c r="G469" s="21">
        <f t="shared" si="76"/>
        <v>0.03</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0.02</v>
      </c>
      <c r="F470" s="635"/>
      <c r="G470" s="21">
        <f t="shared" si="76"/>
        <v>0.03</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0.02</v>
      </c>
      <c r="F471" s="635"/>
      <c r="G471" s="21">
        <f t="shared" si="76"/>
        <v>0.03</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0.02</v>
      </c>
      <c r="F472" s="635"/>
      <c r="G472" s="21">
        <f t="shared" si="76"/>
        <v>0.03</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0.02</v>
      </c>
      <c r="F473" s="635"/>
      <c r="G473" s="21">
        <f t="shared" si="76"/>
        <v>0.03</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0.02</v>
      </c>
      <c r="F474" s="635"/>
      <c r="G474" s="21">
        <f t="shared" ref="G474:G524" si="87">(SUMIF($7:$7,F474,$8:$8)-SUMIF($7:$7,$F$24,$8:$8)+100)/100</f>
        <v>0.03</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0.02</v>
      </c>
      <c r="F475" s="635"/>
      <c r="G475" s="21">
        <f t="shared" si="87"/>
        <v>0.03</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0.02</v>
      </c>
      <c r="F476" s="635"/>
      <c r="G476" s="21">
        <f t="shared" si="87"/>
        <v>0.03</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0.02</v>
      </c>
      <c r="F477" s="635"/>
      <c r="G477" s="21">
        <f t="shared" si="87"/>
        <v>0.03</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0.02</v>
      </c>
      <c r="F478" s="635"/>
      <c r="G478" s="21">
        <f t="shared" si="87"/>
        <v>0.03</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0.02</v>
      </c>
      <c r="F479" s="635"/>
      <c r="G479" s="21">
        <f t="shared" si="87"/>
        <v>0.03</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0.02</v>
      </c>
      <c r="F480" s="635"/>
      <c r="G480" s="21">
        <f t="shared" si="87"/>
        <v>0.03</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0.02</v>
      </c>
      <c r="F481" s="635"/>
      <c r="G481" s="21">
        <f t="shared" si="87"/>
        <v>0.03</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0.02</v>
      </c>
      <c r="F482" s="635"/>
      <c r="G482" s="21">
        <f t="shared" si="87"/>
        <v>0.03</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0.02</v>
      </c>
      <c r="F483" s="635"/>
      <c r="G483" s="21">
        <f t="shared" si="87"/>
        <v>0.03</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0.02</v>
      </c>
      <c r="F484" s="635"/>
      <c r="G484" s="21">
        <f t="shared" si="87"/>
        <v>0.03</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0.02</v>
      </c>
      <c r="F485" s="635"/>
      <c r="G485" s="21">
        <f t="shared" si="87"/>
        <v>0.03</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0.02</v>
      </c>
      <c r="F486" s="635"/>
      <c r="G486" s="21">
        <f t="shared" si="87"/>
        <v>0.03</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0.02</v>
      </c>
      <c r="F487" s="635"/>
      <c r="G487" s="21">
        <f t="shared" si="87"/>
        <v>0.03</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0.02</v>
      </c>
      <c r="F488" s="635"/>
      <c r="G488" s="21">
        <f t="shared" si="87"/>
        <v>0.03</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0.02</v>
      </c>
      <c r="F489" s="635"/>
      <c r="G489" s="21">
        <f t="shared" si="87"/>
        <v>0.03</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0.02</v>
      </c>
      <c r="F490" s="635"/>
      <c r="G490" s="21">
        <f t="shared" si="87"/>
        <v>0.03</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0.02</v>
      </c>
      <c r="F491" s="635"/>
      <c r="G491" s="21">
        <f t="shared" si="87"/>
        <v>0.03</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0.02</v>
      </c>
      <c r="F492" s="635"/>
      <c r="G492" s="21">
        <f t="shared" si="87"/>
        <v>0.03</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0.02</v>
      </c>
      <c r="F493" s="635"/>
      <c r="G493" s="21">
        <f t="shared" si="87"/>
        <v>0.03</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0.02</v>
      </c>
      <c r="F494" s="635"/>
      <c r="G494" s="21">
        <f t="shared" si="87"/>
        <v>0.03</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0.02</v>
      </c>
      <c r="F495" s="635"/>
      <c r="G495" s="21">
        <f t="shared" si="87"/>
        <v>0.03</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0.02</v>
      </c>
      <c r="F496" s="635"/>
      <c r="G496" s="21">
        <f t="shared" si="87"/>
        <v>0.03</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0.02</v>
      </c>
      <c r="F497" s="635"/>
      <c r="G497" s="21">
        <f t="shared" si="87"/>
        <v>0.03</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0.02</v>
      </c>
      <c r="F498" s="635"/>
      <c r="G498" s="21">
        <f t="shared" si="87"/>
        <v>0.03</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0.02</v>
      </c>
      <c r="F499" s="635"/>
      <c r="G499" s="21">
        <f t="shared" si="87"/>
        <v>0.03</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0.02</v>
      </c>
      <c r="F500" s="635"/>
      <c r="G500" s="21">
        <f t="shared" si="87"/>
        <v>0.03</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0.02</v>
      </c>
      <c r="F501" s="635"/>
      <c r="G501" s="21">
        <f t="shared" si="87"/>
        <v>0.03</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0.02</v>
      </c>
      <c r="F502" s="635"/>
      <c r="G502" s="21">
        <f t="shared" si="87"/>
        <v>0.03</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0.02</v>
      </c>
      <c r="F503" s="635"/>
      <c r="G503" s="21">
        <f t="shared" si="87"/>
        <v>0.03</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0.02</v>
      </c>
      <c r="F504" s="635"/>
      <c r="G504" s="21">
        <f t="shared" si="87"/>
        <v>0.03</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0.02</v>
      </c>
      <c r="F505" s="635"/>
      <c r="G505" s="21">
        <f t="shared" si="87"/>
        <v>0.03</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0.02</v>
      </c>
      <c r="F506" s="635"/>
      <c r="G506" s="21">
        <f t="shared" si="87"/>
        <v>0.03</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0.02</v>
      </c>
      <c r="F507" s="635"/>
      <c r="G507" s="21">
        <f t="shared" si="87"/>
        <v>0.03</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0.02</v>
      </c>
      <c r="F508" s="635"/>
      <c r="G508" s="21">
        <f t="shared" si="87"/>
        <v>0.03</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0.02</v>
      </c>
      <c r="F509" s="635"/>
      <c r="G509" s="21">
        <f t="shared" si="87"/>
        <v>0.03</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0.02</v>
      </c>
      <c r="F510" s="635"/>
      <c r="G510" s="21">
        <f t="shared" si="87"/>
        <v>0.03</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0.02</v>
      </c>
      <c r="F511" s="635"/>
      <c r="G511" s="21">
        <f t="shared" si="87"/>
        <v>0.03</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0.02</v>
      </c>
      <c r="F512" s="635"/>
      <c r="G512" s="21">
        <f t="shared" si="87"/>
        <v>0.03</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0.02</v>
      </c>
      <c r="F513" s="635"/>
      <c r="G513" s="21">
        <f t="shared" si="87"/>
        <v>0.03</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0.02</v>
      </c>
      <c r="F514" s="635"/>
      <c r="G514" s="21">
        <f t="shared" si="87"/>
        <v>0.03</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0.02</v>
      </c>
      <c r="F515" s="635"/>
      <c r="G515" s="21">
        <f t="shared" si="87"/>
        <v>0.03</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0.02</v>
      </c>
      <c r="F516" s="635"/>
      <c r="G516" s="21">
        <f t="shared" si="87"/>
        <v>0.03</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0.02</v>
      </c>
      <c r="F517" s="635"/>
      <c r="G517" s="21">
        <f t="shared" si="87"/>
        <v>0.03</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0.02</v>
      </c>
      <c r="F518" s="635"/>
      <c r="G518" s="21">
        <f t="shared" si="87"/>
        <v>0.03</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0.02</v>
      </c>
      <c r="F519" s="635"/>
      <c r="G519" s="21">
        <f t="shared" si="87"/>
        <v>0.03</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0.02</v>
      </c>
      <c r="F520" s="635"/>
      <c r="G520" s="21">
        <f t="shared" si="87"/>
        <v>0.03</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0.02</v>
      </c>
      <c r="F521" s="635"/>
      <c r="G521" s="21">
        <f t="shared" si="87"/>
        <v>0.03</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0.02</v>
      </c>
      <c r="F522" s="635"/>
      <c r="G522" s="21">
        <f t="shared" si="87"/>
        <v>0.03</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0.02</v>
      </c>
      <c r="F523" s="635"/>
      <c r="G523" s="21">
        <f t="shared" si="87"/>
        <v>0.03</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0.02</v>
      </c>
      <c r="F524" s="635"/>
      <c r="G524" s="21">
        <f t="shared" si="87"/>
        <v>0.03</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BBDE8-5D13-4CFA-BBCB-D19DAACF5799}">
  <sheetPr>
    <tabColor rgb="FF7030A0"/>
  </sheetPr>
  <dimension ref="A1:P46"/>
  <sheetViews>
    <sheetView topLeftCell="A13" workbookViewId="0">
      <selection activeCell="B20" sqref="B20"/>
    </sheetView>
  </sheetViews>
  <sheetFormatPr defaultRowHeight="14.4"/>
  <cols>
    <col min="1" max="1" width="17.88671875" customWidth="1"/>
    <col min="2" max="2" width="20" customWidth="1"/>
    <col min="3" max="3" width="18.6640625" customWidth="1"/>
    <col min="9" max="10" width="10.5546875" bestFit="1" customWidth="1"/>
    <col min="14" max="14" width="10.5546875" bestFit="1" customWidth="1"/>
  </cols>
  <sheetData>
    <row r="1" spans="1:16">
      <c r="A1" s="3519" t="s">
        <v>3419</v>
      </c>
      <c r="B1" s="3519" t="s">
        <v>3420</v>
      </c>
      <c r="C1" s="3519" t="s">
        <v>3421</v>
      </c>
      <c r="D1" s="3519" t="s">
        <v>2538</v>
      </c>
      <c r="E1" s="3519" t="s">
        <v>3428</v>
      </c>
      <c r="F1" s="3519" t="s">
        <v>3383</v>
      </c>
      <c r="G1" s="3519" t="s">
        <v>3425</v>
      </c>
      <c r="H1" s="3519" t="s">
        <v>3432</v>
      </c>
      <c r="I1" s="3519" t="s">
        <v>3422</v>
      </c>
      <c r="J1" s="3520"/>
      <c r="K1" s="3519" t="s">
        <v>3423</v>
      </c>
      <c r="L1" s="3519" t="s">
        <v>3424</v>
      </c>
      <c r="M1" s="3520"/>
      <c r="N1" s="3519" t="s">
        <v>3513</v>
      </c>
      <c r="O1" s="3519" t="s">
        <v>3515</v>
      </c>
      <c r="P1" s="3520"/>
    </row>
    <row r="2" spans="1:16" s="3160" customFormat="1" ht="46.2" customHeight="1">
      <c r="A2" s="3521" t="s">
        <v>3413</v>
      </c>
      <c r="B2" s="3521" t="s">
        <v>3414</v>
      </c>
      <c r="C2" s="3521" t="s">
        <v>3415</v>
      </c>
      <c r="D2" s="3521" t="s">
        <v>3416</v>
      </c>
      <c r="E2" s="3521">
        <v>102</v>
      </c>
      <c r="F2" s="3522">
        <v>245.74</v>
      </c>
      <c r="G2" s="3521" t="s">
        <v>3426</v>
      </c>
      <c r="H2" s="3523" t="s">
        <v>3427</v>
      </c>
      <c r="I2" s="3524">
        <v>40849</v>
      </c>
      <c r="J2" s="3524">
        <v>55458</v>
      </c>
      <c r="K2" s="3521" t="s">
        <v>3418</v>
      </c>
      <c r="L2" s="3522">
        <v>2011</v>
      </c>
      <c r="M2" s="3521" t="s">
        <v>3487</v>
      </c>
      <c r="N2" s="3521" t="s">
        <v>3514</v>
      </c>
      <c r="O2" s="3521" t="s">
        <v>3516</v>
      </c>
      <c r="P2" s="3525" t="s">
        <v>3565</v>
      </c>
    </row>
    <row r="3" spans="1:16" s="3160" customFormat="1" ht="43.2">
      <c r="A3" s="3521" t="s">
        <v>3429</v>
      </c>
      <c r="B3" s="3521" t="s">
        <v>3430</v>
      </c>
      <c r="C3" s="3521" t="s">
        <v>3431</v>
      </c>
      <c r="D3" s="3521" t="s">
        <v>3416</v>
      </c>
      <c r="E3" s="3522">
        <v>105</v>
      </c>
      <c r="F3" s="3522">
        <v>322.3</v>
      </c>
      <c r="G3" s="3521" t="s">
        <v>3426</v>
      </c>
      <c r="H3" s="3523" t="s">
        <v>3427</v>
      </c>
      <c r="I3" s="3524">
        <v>40849</v>
      </c>
      <c r="J3" s="3524">
        <v>55458</v>
      </c>
      <c r="K3" s="3521" t="s">
        <v>3418</v>
      </c>
      <c r="L3" s="3522">
        <v>2011</v>
      </c>
      <c r="M3" s="3521" t="s">
        <v>3488</v>
      </c>
      <c r="N3" s="3521" t="s">
        <v>3514</v>
      </c>
      <c r="O3" s="3521" t="s">
        <v>3516</v>
      </c>
      <c r="P3" s="3522"/>
    </row>
    <row r="4" spans="1:16" s="3160" customFormat="1" ht="43.2">
      <c r="A4" s="3521" t="s">
        <v>3596</v>
      </c>
      <c r="B4" s="3521" t="s">
        <v>3597</v>
      </c>
      <c r="C4" s="3521" t="s">
        <v>3598</v>
      </c>
      <c r="D4" s="3521" t="s">
        <v>3416</v>
      </c>
      <c r="E4" s="3522">
        <v>103</v>
      </c>
      <c r="F4" s="3522">
        <v>242.22</v>
      </c>
      <c r="G4" s="3521" t="s">
        <v>3599</v>
      </c>
      <c r="H4" s="3523" t="s">
        <v>3600</v>
      </c>
      <c r="I4" s="3524">
        <v>40850</v>
      </c>
      <c r="J4" s="3524">
        <v>55459</v>
      </c>
      <c r="K4" s="3521" t="s">
        <v>3601</v>
      </c>
      <c r="L4" s="3522">
        <v>2012</v>
      </c>
      <c r="M4" s="3526"/>
      <c r="N4" s="3526"/>
      <c r="O4" s="3526"/>
      <c r="P4" s="3527"/>
    </row>
    <row r="5" spans="1:16" s="3160" customFormat="1">
      <c r="A5" s="3159"/>
      <c r="B5" s="3159"/>
      <c r="C5" s="3159"/>
      <c r="D5" s="3159"/>
      <c r="G5" s="3159"/>
      <c r="H5" s="3162"/>
      <c r="I5" s="3161"/>
      <c r="J5" s="3161"/>
      <c r="K5" s="3159"/>
      <c r="M5" s="3159"/>
      <c r="N5" s="3159"/>
      <c r="O5" s="3159"/>
    </row>
    <row r="7" spans="1:16">
      <c r="G7" s="3536" t="s">
        <v>3643</v>
      </c>
      <c r="J7" s="3172" t="s">
        <v>3628</v>
      </c>
    </row>
    <row r="8" spans="1:16" ht="30.6" customHeight="1">
      <c r="A8" s="3525" t="s">
        <v>3566</v>
      </c>
      <c r="B8" s="3528">
        <v>102</v>
      </c>
      <c r="C8" s="3528" t="s">
        <v>3567</v>
      </c>
      <c r="D8" s="3528">
        <v>105</v>
      </c>
      <c r="E8" s="3528" t="s">
        <v>3567</v>
      </c>
      <c r="G8" s="3529">
        <v>103</v>
      </c>
      <c r="H8" s="3528" t="s">
        <v>3602</v>
      </c>
      <c r="J8" s="3520">
        <v>102</v>
      </c>
      <c r="K8" s="3520">
        <v>105</v>
      </c>
      <c r="L8" s="3520">
        <v>103</v>
      </c>
    </row>
    <row r="9" spans="1:16">
      <c r="A9" s="3528" t="s">
        <v>3604</v>
      </c>
      <c r="B9" s="3529">
        <f>F2-B10</f>
        <v>150.23000000000002</v>
      </c>
      <c r="C9" s="3529">
        <f>ROUND(B9/F2,2)</f>
        <v>0.61</v>
      </c>
      <c r="D9" s="3529">
        <f>F3-D10</f>
        <v>137.72</v>
      </c>
      <c r="E9" s="3529">
        <f>ROUND(D9/F3,2)</f>
        <v>0.43</v>
      </c>
      <c r="G9" s="3529">
        <f>租约!B6+租约!B7</f>
        <v>162</v>
      </c>
      <c r="H9" s="3528">
        <f>ROUND(G9/F4,2)</f>
        <v>0.67</v>
      </c>
      <c r="J9" s="3534">
        <f>B9-55</f>
        <v>95.230000000000018</v>
      </c>
      <c r="K9" s="3520">
        <f>D9-租约!B43-租约!B71</f>
        <v>77.72</v>
      </c>
      <c r="L9" s="3520">
        <f>G9-租约!B100-租约!B128</f>
        <v>0</v>
      </c>
    </row>
    <row r="10" spans="1:16">
      <c r="A10" s="3528" t="s">
        <v>3605</v>
      </c>
      <c r="B10" s="3529">
        <v>95.51</v>
      </c>
      <c r="C10" s="3529">
        <f>ROUND(B10/F2,2)</f>
        <v>0.39</v>
      </c>
      <c r="D10" s="3529">
        <v>184.58</v>
      </c>
      <c r="E10" s="3529">
        <f>ROUND(D10/F3,2)</f>
        <v>0.56999999999999995</v>
      </c>
      <c r="G10" s="3529">
        <f>F4-G9</f>
        <v>80.22</v>
      </c>
      <c r="H10" s="3529">
        <f>ROUND(G10/F4,2)</f>
        <v>0.33</v>
      </c>
    </row>
    <row r="11" spans="1:16">
      <c r="B11" s="1403"/>
    </row>
    <row r="12" spans="1:16">
      <c r="A12" s="3154">
        <v>102</v>
      </c>
      <c r="B12" s="1403" t="s">
        <v>3638</v>
      </c>
      <c r="C12" s="1403" t="s">
        <v>3635</v>
      </c>
      <c r="F12" s="3154">
        <v>105</v>
      </c>
      <c r="G12" s="1403" t="s">
        <v>3638</v>
      </c>
      <c r="H12" s="1403" t="s">
        <v>3635</v>
      </c>
      <c r="K12" s="3154">
        <v>103</v>
      </c>
      <c r="L12" s="1403" t="s">
        <v>3638</v>
      </c>
      <c r="M12" s="1403" t="s">
        <v>3640</v>
      </c>
      <c r="N12" s="1403" t="s">
        <v>3641</v>
      </c>
    </row>
    <row r="13" spans="1:16">
      <c r="A13" s="3172" t="s">
        <v>3490</v>
      </c>
      <c r="B13" s="3154">
        <v>8</v>
      </c>
      <c r="C13" s="3154">
        <f>C9</f>
        <v>0.61</v>
      </c>
      <c r="F13" s="3172" t="s">
        <v>3490</v>
      </c>
      <c r="G13" s="3154">
        <v>8</v>
      </c>
      <c r="H13" s="3154">
        <f>E9</f>
        <v>0.43</v>
      </c>
      <c r="K13" s="3172" t="s">
        <v>3490</v>
      </c>
      <c r="L13" s="3154">
        <v>8</v>
      </c>
      <c r="M13" s="3154">
        <f>ROUND((租约!B6*租约!D6+租约!B7*租约!D7)/(租约!B6+租约!B7),2)</f>
        <v>5.99</v>
      </c>
      <c r="N13" s="3169">
        <f>租约!H6</f>
        <v>47589</v>
      </c>
    </row>
    <row r="14" spans="1:16">
      <c r="A14" s="3172" t="s">
        <v>3561</v>
      </c>
      <c r="B14" s="3154">
        <v>3.5</v>
      </c>
      <c r="C14" s="3154">
        <f>C10</f>
        <v>0.39</v>
      </c>
      <c r="D14" t="s">
        <v>3637</v>
      </c>
      <c r="F14" s="3172" t="s">
        <v>3561</v>
      </c>
      <c r="G14" s="3154">
        <v>3.5</v>
      </c>
      <c r="H14" s="3154">
        <f>E10</f>
        <v>0.56999999999999995</v>
      </c>
      <c r="I14" t="s">
        <v>3637</v>
      </c>
      <c r="K14" s="3172" t="s">
        <v>3561</v>
      </c>
      <c r="L14" s="3154">
        <v>3.5</v>
      </c>
      <c r="M14" s="3154"/>
      <c r="N14" t="s">
        <v>3637</v>
      </c>
    </row>
    <row r="15" spans="1:16">
      <c r="A15" s="3172" t="s">
        <v>3636</v>
      </c>
      <c r="B15" s="3172">
        <f>ROUND((B13*B9+B14*B10)/F2,2)</f>
        <v>6.25</v>
      </c>
      <c r="C15" s="3154">
        <f>C13+C14</f>
        <v>1</v>
      </c>
      <c r="F15" s="3172" t="s">
        <v>3636</v>
      </c>
      <c r="G15" s="3172">
        <f>ROUND((G13*D9+G14*D10)/F3,2)</f>
        <v>5.42</v>
      </c>
      <c r="H15" s="3154">
        <f>H13+H14</f>
        <v>1</v>
      </c>
      <c r="K15" s="3172"/>
      <c r="L15" s="3172"/>
      <c r="M15" s="3154"/>
    </row>
    <row r="17" spans="1:8">
      <c r="B17" s="1403"/>
    </row>
    <row r="18" spans="1:8">
      <c r="B18" s="1403"/>
    </row>
    <row r="19" spans="1:8">
      <c r="B19" s="3172" t="s">
        <v>3644</v>
      </c>
    </row>
    <row r="20" spans="1:8">
      <c r="B20" s="1403"/>
    </row>
    <row r="21" spans="1:8">
      <c r="B21" s="1403" t="s">
        <v>3491</v>
      </c>
      <c r="C21" s="1403" t="s">
        <v>3492</v>
      </c>
      <c r="D21" s="1403" t="s">
        <v>3493</v>
      </c>
      <c r="E21" s="1403" t="s">
        <v>3494</v>
      </c>
      <c r="F21" s="1403" t="s">
        <v>3495</v>
      </c>
      <c r="G21" s="1403" t="s">
        <v>3496</v>
      </c>
      <c r="H21" s="1403" t="s">
        <v>3500</v>
      </c>
    </row>
    <row r="22" spans="1:8">
      <c r="A22" s="3424">
        <v>102</v>
      </c>
      <c r="B22" s="1403" t="s">
        <v>3489</v>
      </c>
      <c r="C22" s="1403" t="s">
        <v>3490</v>
      </c>
      <c r="D22">
        <v>2.2999999999999998</v>
      </c>
      <c r="E22">
        <v>3.5</v>
      </c>
      <c r="F22">
        <v>13.97</v>
      </c>
      <c r="G22" s="1403" t="s">
        <v>3497</v>
      </c>
      <c r="H22" s="1403" t="s">
        <v>3504</v>
      </c>
    </row>
    <row r="23" spans="1:8">
      <c r="A23" s="3424"/>
      <c r="B23" s="1403" t="s">
        <v>3498</v>
      </c>
      <c r="C23" s="1403" t="s">
        <v>3490</v>
      </c>
      <c r="D23">
        <v>3</v>
      </c>
      <c r="E23">
        <v>7.8</v>
      </c>
      <c r="F23" s="1403" t="s">
        <v>3499</v>
      </c>
      <c r="H23" s="1403" t="s">
        <v>3501</v>
      </c>
    </row>
    <row r="24" spans="1:8" ht="47.4" customHeight="1">
      <c r="A24" s="3424"/>
      <c r="B24" s="1403" t="s">
        <v>3502</v>
      </c>
      <c r="C24" s="3159" t="s">
        <v>3503</v>
      </c>
      <c r="E24">
        <v>3</v>
      </c>
      <c r="H24" s="1403" t="s">
        <v>3504</v>
      </c>
    </row>
    <row r="26" spans="1:8">
      <c r="B26" s="1403" t="s">
        <v>3491</v>
      </c>
      <c r="C26" s="1403" t="s">
        <v>3492</v>
      </c>
      <c r="D26" s="1403" t="s">
        <v>3493</v>
      </c>
      <c r="E26" s="1403" t="s">
        <v>3494</v>
      </c>
      <c r="F26" s="1403" t="s">
        <v>3495</v>
      </c>
      <c r="G26" s="1403" t="s">
        <v>3496</v>
      </c>
      <c r="H26" s="1403" t="s">
        <v>3500</v>
      </c>
    </row>
    <row r="27" spans="1:8">
      <c r="A27" s="3424">
        <v>105</v>
      </c>
      <c r="B27" s="1403" t="s">
        <v>3512</v>
      </c>
      <c r="C27" s="1403" t="s">
        <v>3490</v>
      </c>
      <c r="D27">
        <v>2.35</v>
      </c>
      <c r="E27" s="1403">
        <v>2.6</v>
      </c>
      <c r="F27" s="1403">
        <v>10.199999999999999</v>
      </c>
      <c r="H27" s="1403" t="s">
        <v>3504</v>
      </c>
    </row>
    <row r="28" spans="1:8">
      <c r="A28" s="3424"/>
      <c r="B28" s="1403" t="s">
        <v>3511</v>
      </c>
      <c r="C28" s="1403" t="s">
        <v>3490</v>
      </c>
      <c r="D28">
        <v>2.29</v>
      </c>
      <c r="E28" s="1403">
        <v>2.1800000000000002</v>
      </c>
      <c r="F28">
        <v>5.2</v>
      </c>
      <c r="H28" s="1403" t="s">
        <v>3505</v>
      </c>
    </row>
    <row r="29" spans="1:8">
      <c r="A29" s="3424"/>
      <c r="B29" s="1403" t="s">
        <v>3510</v>
      </c>
      <c r="C29" s="1403" t="s">
        <v>3490</v>
      </c>
      <c r="D29">
        <v>2.2999999999999998</v>
      </c>
      <c r="E29" s="1403">
        <v>6.2</v>
      </c>
      <c r="F29" s="1403" t="s">
        <v>3506</v>
      </c>
      <c r="H29" s="1403" t="s">
        <v>3507</v>
      </c>
    </row>
    <row r="30" spans="1:8" ht="57.6">
      <c r="A30" s="3424"/>
      <c r="B30" s="1403" t="s">
        <v>3509</v>
      </c>
      <c r="C30" s="3159" t="s">
        <v>3503</v>
      </c>
      <c r="D30" s="3159" t="s">
        <v>3508</v>
      </c>
      <c r="H30" s="1403" t="s">
        <v>3504</v>
      </c>
    </row>
    <row r="33" spans="1:9">
      <c r="A33" s="3530"/>
      <c r="B33" s="3531" t="s">
        <v>3458</v>
      </c>
      <c r="C33" s="3531" t="s">
        <v>3432</v>
      </c>
      <c r="D33" s="3531" t="s">
        <v>3493</v>
      </c>
      <c r="E33" s="3531" t="s">
        <v>3494</v>
      </c>
      <c r="F33" s="3531" t="s">
        <v>3495</v>
      </c>
      <c r="G33" s="3531" t="s">
        <v>3383</v>
      </c>
      <c r="H33" s="3531" t="s">
        <v>3500</v>
      </c>
      <c r="I33" s="3531" t="s">
        <v>3620</v>
      </c>
    </row>
    <row r="34" spans="1:9">
      <c r="A34" s="3530">
        <v>103</v>
      </c>
      <c r="B34" s="3530"/>
      <c r="C34" s="3530"/>
      <c r="D34" s="3530"/>
      <c r="E34" s="3530"/>
      <c r="F34" s="3530"/>
      <c r="G34" s="3530"/>
      <c r="H34" s="3530"/>
    </row>
    <row r="46" spans="1:9">
      <c r="B46" s="1403"/>
    </row>
  </sheetData>
  <mergeCells count="2">
    <mergeCell ref="A22:A24"/>
    <mergeCell ref="A27:A30"/>
  </mergeCells>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FBC9B-7712-4FB4-9486-3C28D89DAAFF}">
  <sheetPr>
    <tabColor rgb="FF7030A0"/>
  </sheetPr>
  <dimension ref="A1:N151"/>
  <sheetViews>
    <sheetView workbookViewId="0">
      <selection activeCell="B3" sqref="B3"/>
    </sheetView>
  </sheetViews>
  <sheetFormatPr defaultRowHeight="14.4"/>
  <cols>
    <col min="1" max="1" width="19.109375" customWidth="1"/>
    <col min="2" max="2" width="13" customWidth="1"/>
    <col min="3" max="3" width="15.33203125" customWidth="1"/>
    <col min="4" max="4" width="19" customWidth="1"/>
    <col min="5" max="5" width="17.21875" customWidth="1"/>
    <col min="6" max="6" width="13.88671875" customWidth="1"/>
    <col min="7" max="8" width="11.6640625" bestFit="1" customWidth="1"/>
    <col min="9" max="9" width="11" customWidth="1"/>
    <col min="10" max="10" width="11.33203125" customWidth="1"/>
    <col min="11" max="11" width="10.44140625" customWidth="1"/>
  </cols>
  <sheetData>
    <row r="1" spans="1:14">
      <c r="A1" s="1403" t="s">
        <v>3630</v>
      </c>
    </row>
    <row r="2" spans="1:14">
      <c r="A2" s="3519" t="s">
        <v>3631</v>
      </c>
      <c r="B2" s="3519" t="s">
        <v>3639</v>
      </c>
      <c r="C2" s="3519" t="s">
        <v>3632</v>
      </c>
      <c r="D2" s="3519" t="s">
        <v>3634</v>
      </c>
      <c r="E2" s="3519" t="s">
        <v>3629</v>
      </c>
      <c r="F2" s="3520"/>
      <c r="G2" s="3520" t="str">
        <f>D12</f>
        <v>租赁期限</v>
      </c>
      <c r="H2" s="3520"/>
    </row>
    <row r="3" spans="1:14">
      <c r="A3" s="3519" t="str">
        <f>A13</f>
        <v>68-3-102-02</v>
      </c>
      <c r="B3" s="3520">
        <f>B13</f>
        <v>55</v>
      </c>
      <c r="C3" s="3519" t="s">
        <v>3633</v>
      </c>
      <c r="D3" s="3520">
        <f>E40</f>
        <v>8.56</v>
      </c>
      <c r="E3" s="3520">
        <f>J40</f>
        <v>8.99</v>
      </c>
      <c r="F3" s="3520" t="str">
        <f>F15</f>
        <v>每两年递增6%</v>
      </c>
      <c r="G3" s="3535">
        <f>D13</f>
        <v>45627</v>
      </c>
      <c r="H3" s="3535">
        <f>E13</f>
        <v>47817</v>
      </c>
    </row>
    <row r="4" spans="1:14">
      <c r="A4" s="3519" t="str">
        <f>A43</f>
        <v>68-3-105-02</v>
      </c>
      <c r="B4" s="3520">
        <f>B43</f>
        <v>20</v>
      </c>
      <c r="C4" s="3519" t="s">
        <v>3633</v>
      </c>
      <c r="D4" s="3520">
        <f>D67</f>
        <v>7.35</v>
      </c>
      <c r="E4" s="3520">
        <f>J67</f>
        <v>7.35</v>
      </c>
      <c r="F4" s="3520" t="str">
        <f>G45</f>
        <v>每两年递增5%</v>
      </c>
      <c r="G4" s="3535">
        <f>D43</f>
        <v>45728</v>
      </c>
      <c r="H4" s="3535">
        <f>E43</f>
        <v>47553</v>
      </c>
    </row>
    <row r="5" spans="1:14">
      <c r="A5" s="3519" t="str">
        <f>A71</f>
        <v>68-3-105-03</v>
      </c>
      <c r="B5" s="3520">
        <f>B71</f>
        <v>40</v>
      </c>
      <c r="C5" s="3519" t="s">
        <v>3633</v>
      </c>
      <c r="D5" s="3520">
        <f>E95</f>
        <v>8.65</v>
      </c>
      <c r="E5" s="3520">
        <f>J95</f>
        <v>9.08</v>
      </c>
      <c r="F5" s="3520" t="str">
        <f>G73</f>
        <v>每两年递增5%</v>
      </c>
      <c r="G5" s="3535">
        <f>D71</f>
        <v>45651</v>
      </c>
      <c r="H5" s="3535">
        <f>E71</f>
        <v>47476</v>
      </c>
    </row>
    <row r="6" spans="1:14">
      <c r="A6" s="3519" t="str">
        <f>A100</f>
        <v>66-1-103-01</v>
      </c>
      <c r="B6" s="3520">
        <f>B100</f>
        <v>100</v>
      </c>
      <c r="C6" s="3520"/>
      <c r="D6" s="3520">
        <f>E124</f>
        <v>5.6</v>
      </c>
      <c r="E6" s="3520">
        <f>J124</f>
        <v>5.88</v>
      </c>
      <c r="F6" s="3520" t="str">
        <f>H102</f>
        <v>每三年递增5%</v>
      </c>
      <c r="G6" s="3535">
        <f>D100</f>
        <v>45764</v>
      </c>
      <c r="H6" s="3535">
        <f>E100</f>
        <v>47589</v>
      </c>
    </row>
    <row r="7" spans="1:14">
      <c r="A7" s="3519" t="str">
        <f>A128</f>
        <v>66-1-103-02</v>
      </c>
      <c r="B7" s="3520">
        <f>B128</f>
        <v>62</v>
      </c>
      <c r="C7" s="3520"/>
      <c r="D7" s="3520">
        <f>E151</f>
        <v>6.62</v>
      </c>
      <c r="E7" s="3520">
        <f>J151</f>
        <v>6.95</v>
      </c>
      <c r="F7" s="3520" t="str">
        <f>H130</f>
        <v>每两年递增6%</v>
      </c>
      <c r="G7" s="3535">
        <f>D128</f>
        <v>45641</v>
      </c>
      <c r="H7" s="3535">
        <f>E128</f>
        <v>47466</v>
      </c>
    </row>
    <row r="8" spans="1:14">
      <c r="A8" s="1403"/>
    </row>
    <row r="9" spans="1:14">
      <c r="A9" s="1403"/>
    </row>
    <row r="10" spans="1:14">
      <c r="A10" s="1403"/>
    </row>
    <row r="12" spans="1:14">
      <c r="A12" s="3172" t="s">
        <v>3458</v>
      </c>
      <c r="B12" s="1403" t="s">
        <v>3457</v>
      </c>
      <c r="C12" s="1403" t="s">
        <v>3459</v>
      </c>
      <c r="D12" s="1403" t="s">
        <v>3461</v>
      </c>
      <c r="F12" s="1403" t="s">
        <v>3462</v>
      </c>
      <c r="H12" s="1403" t="s">
        <v>3463</v>
      </c>
      <c r="K12" s="1403" t="s">
        <v>3473</v>
      </c>
      <c r="M12" s="1403" t="s">
        <v>3479</v>
      </c>
      <c r="N12" s="1403" t="s">
        <v>3481</v>
      </c>
    </row>
    <row r="13" spans="1:14">
      <c r="A13" s="3172" t="s">
        <v>3456</v>
      </c>
      <c r="B13" s="1403">
        <v>55</v>
      </c>
      <c r="C13" s="1403" t="s">
        <v>3460</v>
      </c>
      <c r="D13" s="3169">
        <v>45627</v>
      </c>
      <c r="E13" s="3169">
        <v>47817</v>
      </c>
      <c r="F13" s="3169">
        <v>45627</v>
      </c>
      <c r="G13" s="3169">
        <v>45676</v>
      </c>
      <c r="H13">
        <v>50</v>
      </c>
      <c r="I13" s="3167" t="s">
        <v>3474</v>
      </c>
      <c r="J13" s="1403" t="s">
        <v>3464</v>
      </c>
      <c r="K13" s="1403">
        <v>13333</v>
      </c>
      <c r="M13">
        <f>E13-D13-H13</f>
        <v>2140</v>
      </c>
      <c r="N13" s="3173">
        <v>0.06</v>
      </c>
    </row>
    <row r="15" spans="1:14">
      <c r="A15" s="1403" t="s">
        <v>3465</v>
      </c>
      <c r="B15" s="1403" t="s">
        <v>3466</v>
      </c>
      <c r="C15" s="1403" t="s">
        <v>3467</v>
      </c>
      <c r="D15" s="1403" t="s">
        <v>3484</v>
      </c>
      <c r="E15" s="1403" t="s">
        <v>3468</v>
      </c>
      <c r="F15" s="1403" t="s">
        <v>3469</v>
      </c>
      <c r="H15" s="1403" t="s">
        <v>3619</v>
      </c>
    </row>
    <row r="16" spans="1:14">
      <c r="A16" s="3169">
        <v>45621</v>
      </c>
      <c r="B16" s="3169">
        <v>45627</v>
      </c>
      <c r="C16" s="3169">
        <v>45777</v>
      </c>
      <c r="D16" s="3171">
        <v>7.97</v>
      </c>
      <c r="E16">
        <v>45260</v>
      </c>
      <c r="H16">
        <f>C16-B16-H13</f>
        <v>100</v>
      </c>
    </row>
    <row r="17" spans="1:8">
      <c r="A17" s="3169">
        <v>45762</v>
      </c>
      <c r="B17" s="3170">
        <v>45778</v>
      </c>
      <c r="C17" s="3169">
        <v>45900</v>
      </c>
      <c r="D17" s="3171">
        <v>7.97</v>
      </c>
      <c r="E17">
        <v>53333</v>
      </c>
      <c r="H17">
        <f>C17-B17</f>
        <v>122</v>
      </c>
    </row>
    <row r="18" spans="1:8">
      <c r="A18" s="3169">
        <v>45884</v>
      </c>
      <c r="B18" s="3169">
        <v>45901</v>
      </c>
      <c r="C18" s="3169">
        <v>45991</v>
      </c>
      <c r="D18" s="3171">
        <v>7.97</v>
      </c>
      <c r="E18">
        <v>40000</v>
      </c>
      <c r="H18">
        <f t="shared" ref="H18:H38" si="0">C18-B18</f>
        <v>90</v>
      </c>
    </row>
    <row r="19" spans="1:8">
      <c r="A19" s="3169">
        <v>45976</v>
      </c>
      <c r="B19" s="3169">
        <v>45992</v>
      </c>
      <c r="C19" s="3169">
        <v>46081</v>
      </c>
      <c r="D19" s="3171">
        <v>7.97</v>
      </c>
      <c r="E19">
        <v>40000</v>
      </c>
      <c r="H19">
        <f t="shared" si="0"/>
        <v>89</v>
      </c>
    </row>
    <row r="20" spans="1:8">
      <c r="A20" s="3169">
        <v>46068</v>
      </c>
      <c r="B20" s="3169">
        <v>46082</v>
      </c>
      <c r="C20" s="3169">
        <v>46173</v>
      </c>
      <c r="D20" s="3171">
        <v>7.97</v>
      </c>
      <c r="E20">
        <v>40000</v>
      </c>
      <c r="H20">
        <f t="shared" si="0"/>
        <v>91</v>
      </c>
    </row>
    <row r="21" spans="1:8">
      <c r="A21" s="3169">
        <v>46157</v>
      </c>
      <c r="B21" s="3169">
        <v>46174</v>
      </c>
      <c r="C21" s="3169">
        <v>46265</v>
      </c>
      <c r="D21" s="3171">
        <v>7.97</v>
      </c>
      <c r="E21">
        <v>40000</v>
      </c>
      <c r="H21">
        <f t="shared" si="0"/>
        <v>91</v>
      </c>
    </row>
    <row r="22" spans="1:8">
      <c r="A22" s="3169">
        <v>46249</v>
      </c>
      <c r="B22" s="3169">
        <v>46266</v>
      </c>
      <c r="C22" s="3169">
        <v>46356</v>
      </c>
      <c r="D22" s="3171">
        <v>7.97</v>
      </c>
      <c r="E22">
        <v>40000</v>
      </c>
      <c r="H22">
        <f t="shared" si="0"/>
        <v>90</v>
      </c>
    </row>
    <row r="23" spans="1:8">
      <c r="A23" s="3169">
        <v>46341</v>
      </c>
      <c r="B23" s="3169">
        <v>46357</v>
      </c>
      <c r="C23" s="3169">
        <v>46446</v>
      </c>
      <c r="D23" s="3171">
        <v>8.4499999999999993</v>
      </c>
      <c r="E23">
        <v>42400</v>
      </c>
      <c r="F23">
        <f>ROUND((D23-D22)/D22,2)</f>
        <v>0.06</v>
      </c>
      <c r="H23">
        <f t="shared" si="0"/>
        <v>89</v>
      </c>
    </row>
    <row r="24" spans="1:8">
      <c r="A24" s="3169">
        <v>46433</v>
      </c>
      <c r="B24" s="3169">
        <v>46447</v>
      </c>
      <c r="C24" s="3169">
        <v>46538</v>
      </c>
      <c r="D24" s="3171">
        <v>8.4499999999999993</v>
      </c>
      <c r="E24">
        <v>42400</v>
      </c>
      <c r="H24">
        <f t="shared" si="0"/>
        <v>91</v>
      </c>
    </row>
    <row r="25" spans="1:8">
      <c r="A25" s="3169">
        <v>46522</v>
      </c>
      <c r="B25" s="3169">
        <v>46539</v>
      </c>
      <c r="C25" s="3169">
        <v>46630</v>
      </c>
      <c r="D25" s="3171">
        <v>8.4499999999999993</v>
      </c>
      <c r="E25">
        <v>42400</v>
      </c>
      <c r="H25">
        <f t="shared" si="0"/>
        <v>91</v>
      </c>
    </row>
    <row r="26" spans="1:8">
      <c r="A26" s="3169">
        <v>46614</v>
      </c>
      <c r="B26" s="3169">
        <v>46631</v>
      </c>
      <c r="C26" s="3169">
        <v>46721</v>
      </c>
      <c r="D26" s="3171">
        <v>8.4499999999999993</v>
      </c>
      <c r="E26">
        <v>42400</v>
      </c>
      <c r="H26">
        <f t="shared" si="0"/>
        <v>90</v>
      </c>
    </row>
    <row r="27" spans="1:8">
      <c r="A27" s="3169">
        <v>46706</v>
      </c>
      <c r="B27" s="3169">
        <v>46722</v>
      </c>
      <c r="C27" s="3169">
        <v>46812</v>
      </c>
      <c r="D27" s="3171">
        <v>8.4499999999999993</v>
      </c>
      <c r="E27">
        <v>42400</v>
      </c>
      <c r="H27">
        <f t="shared" si="0"/>
        <v>90</v>
      </c>
    </row>
    <row r="28" spans="1:8">
      <c r="A28" s="3169">
        <v>46798</v>
      </c>
      <c r="B28" s="3169">
        <v>46813</v>
      </c>
      <c r="C28" s="3169">
        <v>46904</v>
      </c>
      <c r="D28" s="3171">
        <v>8.4499999999999993</v>
      </c>
      <c r="E28">
        <v>42400</v>
      </c>
      <c r="H28">
        <f t="shared" si="0"/>
        <v>91</v>
      </c>
    </row>
    <row r="29" spans="1:8">
      <c r="A29" s="3169">
        <v>46888</v>
      </c>
      <c r="B29" s="3169">
        <v>46905</v>
      </c>
      <c r="C29" s="3169">
        <v>46996</v>
      </c>
      <c r="D29" s="3171">
        <v>8.4499999999999993</v>
      </c>
      <c r="E29">
        <v>42400</v>
      </c>
      <c r="H29">
        <f t="shared" si="0"/>
        <v>91</v>
      </c>
    </row>
    <row r="30" spans="1:8">
      <c r="A30" s="3169">
        <v>46980</v>
      </c>
      <c r="B30" s="3169">
        <v>46997</v>
      </c>
      <c r="C30" s="3169">
        <v>47087</v>
      </c>
      <c r="D30" s="3171">
        <v>8.4499999999999993</v>
      </c>
      <c r="E30">
        <v>42400</v>
      </c>
      <c r="H30">
        <f t="shared" si="0"/>
        <v>90</v>
      </c>
    </row>
    <row r="31" spans="1:8">
      <c r="A31" s="3169">
        <v>47072</v>
      </c>
      <c r="B31" s="3169">
        <v>47088</v>
      </c>
      <c r="C31" s="3169">
        <v>47178</v>
      </c>
      <c r="D31" s="3171">
        <v>8.9600000000000009</v>
      </c>
      <c r="E31">
        <v>44944</v>
      </c>
      <c r="F31">
        <f>ROUND((D31-D30)/D30,2)</f>
        <v>0.06</v>
      </c>
      <c r="H31">
        <f t="shared" si="0"/>
        <v>90</v>
      </c>
    </row>
    <row r="32" spans="1:8">
      <c r="A32" s="3169">
        <v>47164</v>
      </c>
      <c r="B32" s="3169">
        <v>47179</v>
      </c>
      <c r="C32" s="3169">
        <v>47269</v>
      </c>
      <c r="D32" s="3171">
        <v>8.9600000000000009</v>
      </c>
      <c r="E32">
        <v>44944</v>
      </c>
      <c r="H32">
        <f t="shared" si="0"/>
        <v>90</v>
      </c>
    </row>
    <row r="33" spans="1:13">
      <c r="A33" s="3169">
        <v>47253</v>
      </c>
      <c r="B33" s="3169">
        <v>47270</v>
      </c>
      <c r="C33" s="3169">
        <v>47361</v>
      </c>
      <c r="D33" s="3171">
        <v>8.9600000000000009</v>
      </c>
      <c r="E33">
        <v>44944</v>
      </c>
      <c r="H33">
        <f t="shared" si="0"/>
        <v>91</v>
      </c>
    </row>
    <row r="34" spans="1:13">
      <c r="A34" s="3169">
        <v>47345</v>
      </c>
      <c r="B34" s="3169">
        <v>47362</v>
      </c>
      <c r="C34" s="3169">
        <v>47452</v>
      </c>
      <c r="D34" s="3171">
        <v>8.9600000000000009</v>
      </c>
      <c r="E34">
        <v>44944</v>
      </c>
      <c r="H34">
        <f t="shared" si="0"/>
        <v>90</v>
      </c>
    </row>
    <row r="35" spans="1:13">
      <c r="A35" s="3169">
        <v>47437</v>
      </c>
      <c r="B35" s="3169">
        <v>47453</v>
      </c>
      <c r="C35" s="3169">
        <v>47542</v>
      </c>
      <c r="D35" s="3171">
        <v>8.9600000000000009</v>
      </c>
      <c r="E35">
        <v>44944</v>
      </c>
      <c r="H35">
        <f t="shared" si="0"/>
        <v>89</v>
      </c>
    </row>
    <row r="36" spans="1:13">
      <c r="A36" s="3169">
        <v>47529</v>
      </c>
      <c r="B36" s="3169">
        <v>47543</v>
      </c>
      <c r="C36" s="3169">
        <v>47634</v>
      </c>
      <c r="D36" s="3171">
        <v>8.9600000000000009</v>
      </c>
      <c r="E36">
        <v>44944</v>
      </c>
      <c r="H36">
        <f t="shared" si="0"/>
        <v>91</v>
      </c>
    </row>
    <row r="37" spans="1:13">
      <c r="A37" s="3169">
        <v>47618</v>
      </c>
      <c r="B37" s="3169">
        <v>47635</v>
      </c>
      <c r="C37" s="3169">
        <v>47725</v>
      </c>
      <c r="D37" s="3171">
        <v>8.9600000000000009</v>
      </c>
      <c r="E37">
        <v>44944</v>
      </c>
      <c r="H37">
        <f t="shared" si="0"/>
        <v>90</v>
      </c>
    </row>
    <row r="38" spans="1:13">
      <c r="A38" s="3169">
        <v>47710</v>
      </c>
      <c r="B38" s="3169">
        <v>47726</v>
      </c>
      <c r="C38" s="3169">
        <v>47817</v>
      </c>
      <c r="D38" s="3171">
        <v>8.9600000000000009</v>
      </c>
      <c r="E38">
        <v>44944</v>
      </c>
      <c r="H38">
        <f t="shared" si="0"/>
        <v>91</v>
      </c>
    </row>
    <row r="39" spans="1:13">
      <c r="D39" s="1403" t="s">
        <v>2587</v>
      </c>
      <c r="E39">
        <f>SUM(E16:E38)</f>
        <v>997345</v>
      </c>
      <c r="H39">
        <f>SUM(H16:H38)</f>
        <v>2118</v>
      </c>
    </row>
    <row r="40" spans="1:13">
      <c r="D40" s="3172" t="s">
        <v>3478</v>
      </c>
      <c r="E40" s="3154">
        <f>ROUND(E39/B13/H39,2)</f>
        <v>8.56</v>
      </c>
      <c r="I40" s="3172" t="s">
        <v>3629</v>
      </c>
      <c r="J40" s="3154">
        <f>ROUND(E40*1.05,2)</f>
        <v>8.99</v>
      </c>
    </row>
    <row r="42" spans="1:13">
      <c r="A42" s="3172" t="s">
        <v>3458</v>
      </c>
      <c r="B42" s="1403" t="s">
        <v>3457</v>
      </c>
      <c r="C42" s="1403" t="s">
        <v>3459</v>
      </c>
      <c r="D42" s="1403" t="s">
        <v>3461</v>
      </c>
      <c r="F42" s="1403" t="s">
        <v>3462</v>
      </c>
      <c r="H42" s="1403" t="s">
        <v>3463</v>
      </c>
      <c r="K42" s="1403" t="s">
        <v>3473</v>
      </c>
      <c r="M42" s="1403" t="s">
        <v>3479</v>
      </c>
    </row>
    <row r="43" spans="1:13">
      <c r="A43" s="3172" t="s">
        <v>3470</v>
      </c>
      <c r="B43" s="1403">
        <v>20</v>
      </c>
      <c r="C43" s="1403" t="s">
        <v>3471</v>
      </c>
      <c r="D43" s="3170">
        <v>45728</v>
      </c>
      <c r="E43" s="3169">
        <v>47553</v>
      </c>
      <c r="F43" s="3169">
        <v>45728</v>
      </c>
      <c r="G43" s="3169">
        <v>45758</v>
      </c>
      <c r="H43">
        <v>31</v>
      </c>
      <c r="I43" s="3167" t="s">
        <v>3480</v>
      </c>
      <c r="J43" s="1403" t="s">
        <v>3472</v>
      </c>
      <c r="K43" s="1403">
        <v>8500</v>
      </c>
      <c r="M43" s="3154">
        <f>E43-D43-H43</f>
        <v>1794</v>
      </c>
    </row>
    <row r="45" spans="1:13">
      <c r="A45" s="1403" t="s">
        <v>3465</v>
      </c>
      <c r="B45" s="1403" t="s">
        <v>3466</v>
      </c>
      <c r="C45" s="1403" t="s">
        <v>3467</v>
      </c>
      <c r="D45" s="1403" t="s">
        <v>3468</v>
      </c>
      <c r="E45" s="1403" t="s">
        <v>3476</v>
      </c>
      <c r="F45" s="3172" t="s">
        <v>3475</v>
      </c>
      <c r="G45" s="1403" t="s">
        <v>3477</v>
      </c>
      <c r="I45" s="1403" t="s">
        <v>3619</v>
      </c>
    </row>
    <row r="46" spans="1:13">
      <c r="A46" s="3169">
        <v>45728</v>
      </c>
      <c r="B46" s="3169">
        <v>45728</v>
      </c>
      <c r="C46" s="3169">
        <v>45819</v>
      </c>
      <c r="D46">
        <v>8500</v>
      </c>
      <c r="E46">
        <f>C46-B46-H43</f>
        <v>60</v>
      </c>
      <c r="F46" s="3154">
        <f>ROUND(D46/E46/$B$43,2)</f>
        <v>7.08</v>
      </c>
      <c r="I46">
        <f>C46-B46-H43</f>
        <v>60</v>
      </c>
    </row>
    <row r="47" spans="1:13">
      <c r="A47" s="3169">
        <v>45804</v>
      </c>
      <c r="B47" s="3169">
        <v>45820</v>
      </c>
      <c r="C47" s="3169">
        <v>45911</v>
      </c>
      <c r="D47">
        <v>12750</v>
      </c>
      <c r="E47">
        <f t="shared" ref="E47:E65" si="1">C47-B47</f>
        <v>91</v>
      </c>
      <c r="F47" s="3154">
        <f t="shared" ref="F47:F65" si="2">ROUND(D47/E47/$B$43,2)</f>
        <v>7.01</v>
      </c>
      <c r="I47">
        <f>C47-B47</f>
        <v>91</v>
      </c>
    </row>
    <row r="48" spans="1:13">
      <c r="A48" s="3169">
        <v>45896</v>
      </c>
      <c r="B48" s="3169">
        <v>45912</v>
      </c>
      <c r="C48" s="3169">
        <v>46002</v>
      </c>
      <c r="D48">
        <v>12750</v>
      </c>
      <c r="E48">
        <f t="shared" si="1"/>
        <v>90</v>
      </c>
      <c r="F48" s="3154">
        <f t="shared" si="2"/>
        <v>7.08</v>
      </c>
      <c r="I48">
        <f t="shared" ref="I48:I65" si="3">C48-B48</f>
        <v>90</v>
      </c>
    </row>
    <row r="49" spans="1:9">
      <c r="A49" s="3169">
        <v>45988</v>
      </c>
      <c r="B49" s="3169">
        <v>46003</v>
      </c>
      <c r="C49" s="3169">
        <v>46092</v>
      </c>
      <c r="D49">
        <v>12750</v>
      </c>
      <c r="E49">
        <f t="shared" si="1"/>
        <v>89</v>
      </c>
      <c r="F49" s="3154">
        <f t="shared" si="2"/>
        <v>7.16</v>
      </c>
      <c r="I49">
        <f t="shared" si="3"/>
        <v>89</v>
      </c>
    </row>
    <row r="50" spans="1:9">
      <c r="A50" s="3170">
        <v>46080</v>
      </c>
      <c r="B50" s="3169">
        <v>46093</v>
      </c>
      <c r="C50" s="3169">
        <v>46184</v>
      </c>
      <c r="D50">
        <v>12750</v>
      </c>
      <c r="E50">
        <f t="shared" si="1"/>
        <v>91</v>
      </c>
      <c r="F50" s="3154">
        <f t="shared" si="2"/>
        <v>7.01</v>
      </c>
      <c r="I50">
        <f t="shared" si="3"/>
        <v>91</v>
      </c>
    </row>
    <row r="51" spans="1:9">
      <c r="A51" s="3169">
        <v>46169</v>
      </c>
      <c r="B51" s="3169">
        <v>46185</v>
      </c>
      <c r="C51" s="3169">
        <v>46276</v>
      </c>
      <c r="D51">
        <v>12750</v>
      </c>
      <c r="E51">
        <f t="shared" si="1"/>
        <v>91</v>
      </c>
      <c r="F51" s="3154">
        <f t="shared" si="2"/>
        <v>7.01</v>
      </c>
      <c r="I51">
        <f t="shared" si="3"/>
        <v>91</v>
      </c>
    </row>
    <row r="52" spans="1:9">
      <c r="A52" s="3169">
        <v>46261</v>
      </c>
      <c r="B52" s="3169">
        <v>46277</v>
      </c>
      <c r="C52" s="3169">
        <v>46367</v>
      </c>
      <c r="D52">
        <v>12750</v>
      </c>
      <c r="E52">
        <f t="shared" si="1"/>
        <v>90</v>
      </c>
      <c r="F52" s="3154">
        <f t="shared" si="2"/>
        <v>7.08</v>
      </c>
      <c r="I52">
        <f t="shared" si="3"/>
        <v>90</v>
      </c>
    </row>
    <row r="53" spans="1:9">
      <c r="A53" s="3170">
        <v>46353</v>
      </c>
      <c r="B53" s="3169">
        <v>46368</v>
      </c>
      <c r="C53" s="3169">
        <v>46457</v>
      </c>
      <c r="D53">
        <v>12750</v>
      </c>
      <c r="E53">
        <f t="shared" si="1"/>
        <v>89</v>
      </c>
      <c r="F53" s="3154">
        <f t="shared" si="2"/>
        <v>7.16</v>
      </c>
      <c r="I53">
        <f t="shared" si="3"/>
        <v>89</v>
      </c>
    </row>
    <row r="54" spans="1:9">
      <c r="A54" s="3169">
        <v>46445</v>
      </c>
      <c r="B54" s="3169">
        <v>46458</v>
      </c>
      <c r="C54" s="3169">
        <v>46549</v>
      </c>
      <c r="D54">
        <v>13387.5</v>
      </c>
      <c r="E54">
        <f t="shared" si="1"/>
        <v>91</v>
      </c>
      <c r="F54" s="3154">
        <f t="shared" si="2"/>
        <v>7.36</v>
      </c>
      <c r="G54">
        <f>ROUND((D54-D53)/D53,2)</f>
        <v>0.05</v>
      </c>
      <c r="I54">
        <f t="shared" si="3"/>
        <v>91</v>
      </c>
    </row>
    <row r="55" spans="1:9">
      <c r="A55" s="3169">
        <v>46534</v>
      </c>
      <c r="B55" s="3169">
        <v>46550</v>
      </c>
      <c r="C55" s="3169">
        <v>46641</v>
      </c>
      <c r="D55">
        <v>13387.5</v>
      </c>
      <c r="E55">
        <f t="shared" si="1"/>
        <v>91</v>
      </c>
      <c r="F55" s="3154">
        <f t="shared" si="2"/>
        <v>7.36</v>
      </c>
      <c r="I55">
        <f t="shared" si="3"/>
        <v>91</v>
      </c>
    </row>
    <row r="56" spans="1:9">
      <c r="A56" s="3170">
        <v>46626</v>
      </c>
      <c r="B56" s="3169">
        <v>46642</v>
      </c>
      <c r="C56" s="3169">
        <v>46732</v>
      </c>
      <c r="D56">
        <v>13387.5</v>
      </c>
      <c r="E56">
        <f t="shared" si="1"/>
        <v>90</v>
      </c>
      <c r="F56" s="3154">
        <f t="shared" si="2"/>
        <v>7.44</v>
      </c>
      <c r="I56">
        <f t="shared" si="3"/>
        <v>90</v>
      </c>
    </row>
    <row r="57" spans="1:9">
      <c r="A57" s="3169">
        <v>46718</v>
      </c>
      <c r="B57" s="3169">
        <v>46733</v>
      </c>
      <c r="C57" s="3169">
        <v>46823</v>
      </c>
      <c r="D57">
        <v>13387.5</v>
      </c>
      <c r="E57">
        <f t="shared" si="1"/>
        <v>90</v>
      </c>
      <c r="F57" s="3154">
        <f t="shared" si="2"/>
        <v>7.44</v>
      </c>
      <c r="I57">
        <f t="shared" si="3"/>
        <v>90</v>
      </c>
    </row>
    <row r="58" spans="1:9">
      <c r="A58" s="3169">
        <v>46810</v>
      </c>
      <c r="B58" s="3169">
        <v>46824</v>
      </c>
      <c r="C58" s="3169">
        <v>46915</v>
      </c>
      <c r="D58">
        <v>13387.5</v>
      </c>
      <c r="E58">
        <f t="shared" si="1"/>
        <v>91</v>
      </c>
      <c r="F58" s="3154">
        <f t="shared" si="2"/>
        <v>7.36</v>
      </c>
      <c r="I58">
        <f t="shared" si="3"/>
        <v>91</v>
      </c>
    </row>
    <row r="59" spans="1:9">
      <c r="A59" s="3169">
        <v>46900</v>
      </c>
      <c r="B59" s="3169">
        <v>46916</v>
      </c>
      <c r="C59" s="3169">
        <v>47007</v>
      </c>
      <c r="D59">
        <v>13387.5</v>
      </c>
      <c r="E59">
        <f t="shared" si="1"/>
        <v>91</v>
      </c>
      <c r="F59" s="3154">
        <f t="shared" si="2"/>
        <v>7.36</v>
      </c>
      <c r="I59">
        <f t="shared" si="3"/>
        <v>91</v>
      </c>
    </row>
    <row r="60" spans="1:9">
      <c r="A60" s="3169">
        <v>46992</v>
      </c>
      <c r="B60" s="3169">
        <v>47008</v>
      </c>
      <c r="C60" s="3169">
        <v>47098</v>
      </c>
      <c r="D60">
        <v>13387.5</v>
      </c>
      <c r="E60">
        <f t="shared" si="1"/>
        <v>90</v>
      </c>
      <c r="F60" s="3154">
        <f t="shared" si="2"/>
        <v>7.44</v>
      </c>
      <c r="I60">
        <f t="shared" si="3"/>
        <v>90</v>
      </c>
    </row>
    <row r="61" spans="1:9">
      <c r="A61" s="3169">
        <v>47084</v>
      </c>
      <c r="B61" s="3169">
        <v>47099</v>
      </c>
      <c r="C61" s="3169">
        <v>47188</v>
      </c>
      <c r="D61">
        <v>13387.5</v>
      </c>
      <c r="E61">
        <f t="shared" si="1"/>
        <v>89</v>
      </c>
      <c r="F61" s="3154">
        <f t="shared" si="2"/>
        <v>7.52</v>
      </c>
      <c r="I61">
        <f t="shared" si="3"/>
        <v>89</v>
      </c>
    </row>
    <row r="62" spans="1:9">
      <c r="A62" s="3169">
        <v>47176</v>
      </c>
      <c r="B62" s="3169">
        <v>47189</v>
      </c>
      <c r="C62" s="3169">
        <v>47280</v>
      </c>
      <c r="D62">
        <v>14056.8</v>
      </c>
      <c r="E62">
        <f t="shared" si="1"/>
        <v>91</v>
      </c>
      <c r="F62" s="3154">
        <f t="shared" si="2"/>
        <v>7.72</v>
      </c>
      <c r="G62">
        <f>ROUND((D62-D61)/D61,2)</f>
        <v>0.05</v>
      </c>
      <c r="I62">
        <f t="shared" si="3"/>
        <v>91</v>
      </c>
    </row>
    <row r="63" spans="1:9">
      <c r="A63" s="3169">
        <v>47265</v>
      </c>
      <c r="B63" s="3169">
        <v>47281</v>
      </c>
      <c r="C63" s="3169">
        <v>47372</v>
      </c>
      <c r="D63">
        <v>14056.8</v>
      </c>
      <c r="E63">
        <f t="shared" si="1"/>
        <v>91</v>
      </c>
      <c r="F63" s="3154">
        <f t="shared" si="2"/>
        <v>7.72</v>
      </c>
      <c r="I63">
        <f t="shared" si="3"/>
        <v>91</v>
      </c>
    </row>
    <row r="64" spans="1:9">
      <c r="A64" s="3169">
        <v>47357</v>
      </c>
      <c r="B64" s="3169">
        <v>47373</v>
      </c>
      <c r="C64" s="3169">
        <v>47463</v>
      </c>
      <c r="D64">
        <v>14056.8</v>
      </c>
      <c r="E64">
        <f t="shared" si="1"/>
        <v>90</v>
      </c>
      <c r="F64" s="3154">
        <f t="shared" si="2"/>
        <v>7.81</v>
      </c>
      <c r="I64">
        <f t="shared" si="3"/>
        <v>90</v>
      </c>
    </row>
    <row r="65" spans="1:14">
      <c r="A65" s="3169">
        <v>47449</v>
      </c>
      <c r="B65" s="3169">
        <v>47464</v>
      </c>
      <c r="C65" s="3169">
        <v>47553</v>
      </c>
      <c r="D65">
        <v>14056.8</v>
      </c>
      <c r="E65">
        <f t="shared" si="1"/>
        <v>89</v>
      </c>
      <c r="F65" s="3154">
        <f t="shared" si="2"/>
        <v>7.9</v>
      </c>
      <c r="I65">
        <f t="shared" si="3"/>
        <v>89</v>
      </c>
    </row>
    <row r="66" spans="1:14">
      <c r="C66" s="1403" t="s">
        <v>2587</v>
      </c>
      <c r="D66">
        <f>SUM(D46:D65)</f>
        <v>261077.19999999995</v>
      </c>
      <c r="I66">
        <f>SUM(I46:I65)</f>
        <v>1775</v>
      </c>
    </row>
    <row r="67" spans="1:14">
      <c r="C67" s="3172" t="s">
        <v>3478</v>
      </c>
      <c r="D67" s="3154">
        <f>ROUND(D66/B43/I66,2)</f>
        <v>7.35</v>
      </c>
      <c r="I67" s="3172" t="s">
        <v>3629</v>
      </c>
      <c r="J67" s="3154">
        <f>D67</f>
        <v>7.35</v>
      </c>
    </row>
    <row r="70" spans="1:14">
      <c r="A70" s="3172" t="s">
        <v>3458</v>
      </c>
      <c r="B70" s="1403" t="s">
        <v>3457</v>
      </c>
      <c r="C70" s="1403" t="s">
        <v>3459</v>
      </c>
      <c r="D70" s="1403" t="s">
        <v>3461</v>
      </c>
      <c r="F70" s="1403" t="s">
        <v>3462</v>
      </c>
      <c r="H70" s="1403" t="s">
        <v>3463</v>
      </c>
      <c r="K70" s="1403" t="s">
        <v>3473</v>
      </c>
      <c r="M70" s="1403" t="s">
        <v>3479</v>
      </c>
      <c r="N70" s="1403" t="s">
        <v>3481</v>
      </c>
    </row>
    <row r="71" spans="1:14">
      <c r="A71" s="3172" t="s">
        <v>3482</v>
      </c>
      <c r="B71" s="1403">
        <v>40</v>
      </c>
      <c r="C71" s="1403" t="s">
        <v>3483</v>
      </c>
      <c r="D71" s="3170">
        <v>45651</v>
      </c>
      <c r="E71" s="3169">
        <v>47476</v>
      </c>
      <c r="F71" s="3169">
        <v>45651</v>
      </c>
      <c r="G71" s="3169">
        <v>45681</v>
      </c>
      <c r="H71">
        <v>31</v>
      </c>
      <c r="I71" s="3167" t="s">
        <v>3480</v>
      </c>
      <c r="J71" s="1403" t="s">
        <v>3464</v>
      </c>
      <c r="K71" s="1403">
        <v>20000</v>
      </c>
      <c r="M71" s="3154">
        <f>E71-D71-H71</f>
        <v>1794</v>
      </c>
      <c r="N71" s="3173">
        <v>0.06</v>
      </c>
    </row>
    <row r="73" spans="1:14">
      <c r="A73" s="1403" t="s">
        <v>3465</v>
      </c>
      <c r="B73" s="1403" t="s">
        <v>3466</v>
      </c>
      <c r="C73" s="1403" t="s">
        <v>3467</v>
      </c>
      <c r="D73" s="1403" t="s">
        <v>3484</v>
      </c>
      <c r="E73" s="1403" t="s">
        <v>3485</v>
      </c>
      <c r="F73" s="1403"/>
      <c r="G73" s="1403" t="s">
        <v>3477</v>
      </c>
      <c r="I73" s="1403" t="s">
        <v>3619</v>
      </c>
    </row>
    <row r="74" spans="1:14">
      <c r="A74" s="3169">
        <v>45646</v>
      </c>
      <c r="B74" s="3169">
        <v>45651</v>
      </c>
      <c r="C74" s="3169">
        <v>45740</v>
      </c>
      <c r="D74">
        <v>8.2200000000000006</v>
      </c>
      <c r="E74">
        <v>20000</v>
      </c>
      <c r="F74" s="1403" t="s">
        <v>3486</v>
      </c>
      <c r="I74">
        <f>C74-B74-H71</f>
        <v>58</v>
      </c>
    </row>
    <row r="75" spans="1:14">
      <c r="A75" s="3169">
        <v>45726</v>
      </c>
      <c r="B75" s="3169">
        <v>45741</v>
      </c>
      <c r="C75" s="3169">
        <v>45832</v>
      </c>
      <c r="D75">
        <v>8.2200000000000006</v>
      </c>
      <c r="E75">
        <v>30000</v>
      </c>
      <c r="I75">
        <f>C75-B75</f>
        <v>91</v>
      </c>
    </row>
    <row r="76" spans="1:14">
      <c r="A76" s="3169">
        <v>45818</v>
      </c>
      <c r="B76" s="3169">
        <v>45833</v>
      </c>
      <c r="C76" s="3169">
        <v>45924</v>
      </c>
      <c r="D76">
        <v>8.2200000000000006</v>
      </c>
      <c r="E76">
        <v>30000</v>
      </c>
      <c r="I76">
        <f t="shared" ref="I76:I93" si="4">C76-B76</f>
        <v>91</v>
      </c>
    </row>
    <row r="77" spans="1:14">
      <c r="A77" s="3169">
        <v>45910</v>
      </c>
      <c r="B77" s="3169">
        <v>45925</v>
      </c>
      <c r="C77" s="3169">
        <v>46015</v>
      </c>
      <c r="D77">
        <v>8.2200000000000006</v>
      </c>
      <c r="E77">
        <v>30000</v>
      </c>
      <c r="I77">
        <f t="shared" si="4"/>
        <v>90</v>
      </c>
    </row>
    <row r="78" spans="1:14">
      <c r="A78" s="3169">
        <v>46001</v>
      </c>
      <c r="B78" s="3169">
        <v>46016</v>
      </c>
      <c r="C78" s="3169">
        <v>46105</v>
      </c>
      <c r="D78">
        <v>8.2200000000000006</v>
      </c>
      <c r="E78">
        <v>30000</v>
      </c>
      <c r="I78">
        <f t="shared" si="4"/>
        <v>89</v>
      </c>
    </row>
    <row r="79" spans="1:14">
      <c r="A79" s="3170">
        <v>46091</v>
      </c>
      <c r="B79" s="3169">
        <v>46106</v>
      </c>
      <c r="C79" s="3169">
        <v>46197</v>
      </c>
      <c r="D79">
        <v>8.2200000000000006</v>
      </c>
      <c r="E79">
        <v>30000</v>
      </c>
      <c r="I79">
        <f t="shared" si="4"/>
        <v>91</v>
      </c>
    </row>
    <row r="80" spans="1:14">
      <c r="A80" s="3169">
        <v>46183</v>
      </c>
      <c r="B80" s="3169">
        <v>46198</v>
      </c>
      <c r="C80" s="3169">
        <v>46289</v>
      </c>
      <c r="D80">
        <v>8.2200000000000006</v>
      </c>
      <c r="E80">
        <v>30000</v>
      </c>
      <c r="I80">
        <f t="shared" si="4"/>
        <v>91</v>
      </c>
    </row>
    <row r="81" spans="1:10">
      <c r="A81" s="3169">
        <v>46275</v>
      </c>
      <c r="B81" s="3169">
        <v>46290</v>
      </c>
      <c r="C81" s="3169">
        <v>46380</v>
      </c>
      <c r="D81">
        <v>8.2200000000000006</v>
      </c>
      <c r="E81">
        <v>30000</v>
      </c>
      <c r="I81">
        <f t="shared" si="4"/>
        <v>90</v>
      </c>
    </row>
    <row r="82" spans="1:10">
      <c r="A82" s="3169">
        <v>46366</v>
      </c>
      <c r="B82" s="3169">
        <v>46381</v>
      </c>
      <c r="C82" s="3169">
        <v>46470</v>
      </c>
      <c r="D82">
        <v>8.6300000000000008</v>
      </c>
      <c r="E82">
        <v>31500</v>
      </c>
      <c r="F82">
        <f>ROUND((D82-D81)/D81,2)</f>
        <v>0.05</v>
      </c>
      <c r="I82">
        <f t="shared" si="4"/>
        <v>89</v>
      </c>
    </row>
    <row r="83" spans="1:10">
      <c r="A83" s="3169">
        <v>46456</v>
      </c>
      <c r="B83" s="3169">
        <v>46471</v>
      </c>
      <c r="C83" s="3169">
        <v>46562</v>
      </c>
      <c r="D83">
        <v>8.6300000000000008</v>
      </c>
      <c r="E83">
        <v>31500</v>
      </c>
      <c r="I83">
        <f t="shared" si="4"/>
        <v>91</v>
      </c>
    </row>
    <row r="84" spans="1:10">
      <c r="A84" s="3169">
        <v>46548</v>
      </c>
      <c r="B84" s="3169">
        <v>46563</v>
      </c>
      <c r="C84" s="3169">
        <v>46654</v>
      </c>
      <c r="D84">
        <v>8.6300000000000008</v>
      </c>
      <c r="E84">
        <v>31500</v>
      </c>
      <c r="I84">
        <f t="shared" si="4"/>
        <v>91</v>
      </c>
    </row>
    <row r="85" spans="1:10">
      <c r="A85" s="3169">
        <v>46640</v>
      </c>
      <c r="B85" s="3169">
        <v>46655</v>
      </c>
      <c r="C85" s="3169">
        <v>46745</v>
      </c>
      <c r="D85">
        <v>8.6300000000000008</v>
      </c>
      <c r="E85">
        <v>31500</v>
      </c>
      <c r="I85">
        <f t="shared" si="4"/>
        <v>90</v>
      </c>
    </row>
    <row r="86" spans="1:10">
      <c r="A86" s="3169">
        <v>46731</v>
      </c>
      <c r="B86" s="3169">
        <v>46746</v>
      </c>
      <c r="C86" s="3169">
        <v>46836</v>
      </c>
      <c r="D86">
        <v>8.6300000000000008</v>
      </c>
      <c r="E86">
        <v>31500</v>
      </c>
      <c r="I86">
        <f t="shared" si="4"/>
        <v>90</v>
      </c>
    </row>
    <row r="87" spans="1:10">
      <c r="A87" s="3169">
        <v>46822</v>
      </c>
      <c r="B87" s="3169">
        <v>46837</v>
      </c>
      <c r="C87" s="3169">
        <v>46928</v>
      </c>
      <c r="D87">
        <v>8.6300000000000008</v>
      </c>
      <c r="E87">
        <v>31500</v>
      </c>
      <c r="I87">
        <f t="shared" si="4"/>
        <v>91</v>
      </c>
    </row>
    <row r="88" spans="1:10">
      <c r="A88" s="3169">
        <v>46914</v>
      </c>
      <c r="B88" s="3169">
        <v>46929</v>
      </c>
      <c r="C88" s="3169">
        <v>47020</v>
      </c>
      <c r="D88">
        <v>8.6300000000000008</v>
      </c>
      <c r="E88">
        <v>31500</v>
      </c>
      <c r="I88">
        <f t="shared" si="4"/>
        <v>91</v>
      </c>
    </row>
    <row r="89" spans="1:10">
      <c r="A89" s="3169">
        <v>47006</v>
      </c>
      <c r="B89" s="3169">
        <v>47021</v>
      </c>
      <c r="C89" s="3169">
        <v>47111</v>
      </c>
      <c r="D89">
        <v>8.6300000000000008</v>
      </c>
      <c r="E89">
        <v>31500</v>
      </c>
      <c r="I89">
        <f t="shared" si="4"/>
        <v>90</v>
      </c>
    </row>
    <row r="90" spans="1:10">
      <c r="A90" s="3169">
        <v>47097</v>
      </c>
      <c r="B90" s="3169">
        <v>47112</v>
      </c>
      <c r="C90" s="3169">
        <v>47201</v>
      </c>
      <c r="D90">
        <v>9.06</v>
      </c>
      <c r="E90">
        <v>33075</v>
      </c>
      <c r="F90" s="1403">
        <f>ROUND((D90-D89)/D89,2)</f>
        <v>0.05</v>
      </c>
      <c r="I90">
        <f t="shared" si="4"/>
        <v>89</v>
      </c>
    </row>
    <row r="91" spans="1:10">
      <c r="A91" s="3169">
        <v>47187</v>
      </c>
      <c r="B91" s="3169">
        <v>47202</v>
      </c>
      <c r="C91" s="3169">
        <v>47293</v>
      </c>
      <c r="D91">
        <v>9.06</v>
      </c>
      <c r="E91">
        <v>33075</v>
      </c>
      <c r="I91">
        <f t="shared" si="4"/>
        <v>91</v>
      </c>
    </row>
    <row r="92" spans="1:10">
      <c r="A92" s="3169">
        <v>47279</v>
      </c>
      <c r="B92" s="3169">
        <v>47294</v>
      </c>
      <c r="C92" s="3169">
        <v>47385</v>
      </c>
      <c r="D92">
        <v>9.06</v>
      </c>
      <c r="E92">
        <v>33075</v>
      </c>
      <c r="I92">
        <f t="shared" si="4"/>
        <v>91</v>
      </c>
    </row>
    <row r="93" spans="1:10">
      <c r="A93" s="3169">
        <v>47371</v>
      </c>
      <c r="B93" s="3169">
        <v>47386</v>
      </c>
      <c r="C93" s="3169">
        <v>47476</v>
      </c>
      <c r="D93">
        <v>9.06</v>
      </c>
      <c r="E93">
        <v>33075</v>
      </c>
      <c r="I93">
        <f t="shared" si="4"/>
        <v>90</v>
      </c>
    </row>
    <row r="94" spans="1:10">
      <c r="D94" s="1403" t="s">
        <v>2587</v>
      </c>
      <c r="E94">
        <f>SUM(E74:E93)</f>
        <v>614300</v>
      </c>
      <c r="I94">
        <f>SUM(I74:I93)</f>
        <v>1775</v>
      </c>
    </row>
    <row r="95" spans="1:10">
      <c r="D95" s="3172" t="s">
        <v>3478</v>
      </c>
      <c r="E95" s="3154">
        <f>ROUND(E94/B71/I94,2)</f>
        <v>8.65</v>
      </c>
      <c r="I95" s="3172" t="s">
        <v>3629</v>
      </c>
      <c r="J95" s="3154">
        <f>ROUND(E95*1.05,2)</f>
        <v>9.08</v>
      </c>
    </row>
    <row r="99" spans="1:14">
      <c r="A99" s="3172" t="s">
        <v>3458</v>
      </c>
      <c r="B99" s="1403" t="s">
        <v>3457</v>
      </c>
      <c r="C99" s="1403" t="s">
        <v>3459</v>
      </c>
      <c r="D99" s="1403" t="s">
        <v>3461</v>
      </c>
      <c r="F99" s="1403" t="s">
        <v>3462</v>
      </c>
      <c r="H99" s="1403" t="s">
        <v>3463</v>
      </c>
      <c r="K99" s="1403" t="s">
        <v>3473</v>
      </c>
      <c r="M99" s="1403" t="s">
        <v>3479</v>
      </c>
      <c r="N99" s="1403" t="s">
        <v>3481</v>
      </c>
    </row>
    <row r="100" spans="1:14">
      <c r="A100" s="3172" t="s">
        <v>3611</v>
      </c>
      <c r="B100" s="1403">
        <v>100</v>
      </c>
      <c r="C100" s="1403" t="s">
        <v>3610</v>
      </c>
      <c r="D100" s="3170">
        <v>45764</v>
      </c>
      <c r="E100" s="3169">
        <v>47589</v>
      </c>
      <c r="F100" s="3169">
        <v>45764</v>
      </c>
      <c r="G100" s="3169">
        <v>45824</v>
      </c>
      <c r="H100">
        <v>61</v>
      </c>
      <c r="I100" s="3167" t="s">
        <v>3480</v>
      </c>
      <c r="J100" s="1403" t="s">
        <v>3464</v>
      </c>
      <c r="K100" s="1403">
        <v>33000</v>
      </c>
      <c r="M100" s="3154">
        <f>E100-D100-H100</f>
        <v>1764</v>
      </c>
      <c r="N100" s="3173">
        <v>0.06</v>
      </c>
    </row>
    <row r="102" spans="1:14">
      <c r="A102" s="1403" t="s">
        <v>3465</v>
      </c>
      <c r="B102" s="1403" t="s">
        <v>3466</v>
      </c>
      <c r="C102" s="1403" t="s">
        <v>3467</v>
      </c>
      <c r="D102" s="1403" t="s">
        <v>3484</v>
      </c>
      <c r="E102" s="1403" t="s">
        <v>3485</v>
      </c>
      <c r="F102" s="1403"/>
      <c r="H102" s="1403" t="s">
        <v>3613</v>
      </c>
      <c r="I102" s="1403" t="s">
        <v>3619</v>
      </c>
    </row>
    <row r="103" spans="1:14">
      <c r="A103" s="3169">
        <v>45764</v>
      </c>
      <c r="B103" s="3169">
        <v>45764</v>
      </c>
      <c r="C103" s="3169">
        <v>45854</v>
      </c>
      <c r="D103">
        <v>5.42</v>
      </c>
      <c r="E103">
        <v>16500</v>
      </c>
      <c r="F103" s="1403" t="s">
        <v>3612</v>
      </c>
      <c r="I103">
        <f>C103-B103-H100</f>
        <v>29</v>
      </c>
    </row>
    <row r="104" spans="1:14">
      <c r="A104" s="3169">
        <v>45839</v>
      </c>
      <c r="B104" s="3169">
        <v>45855</v>
      </c>
      <c r="C104" s="3169">
        <v>45946</v>
      </c>
      <c r="D104" s="3532">
        <v>5.42</v>
      </c>
      <c r="E104" s="3532">
        <v>49500</v>
      </c>
      <c r="I104">
        <f>C104-B104</f>
        <v>91</v>
      </c>
    </row>
    <row r="105" spans="1:14">
      <c r="A105" s="3169">
        <v>45931</v>
      </c>
      <c r="B105" s="3169">
        <v>45947</v>
      </c>
      <c r="C105" s="3169">
        <v>46038</v>
      </c>
      <c r="D105" s="3532">
        <v>5.42</v>
      </c>
      <c r="E105" s="3532">
        <v>49500</v>
      </c>
      <c r="I105">
        <f t="shared" ref="I105:I122" si="5">C105-B105</f>
        <v>91</v>
      </c>
    </row>
    <row r="106" spans="1:14">
      <c r="A106" s="3169">
        <v>46023</v>
      </c>
      <c r="B106" s="3169">
        <v>46039</v>
      </c>
      <c r="C106" s="3169">
        <v>46128</v>
      </c>
      <c r="D106" s="3532">
        <v>5.42</v>
      </c>
      <c r="E106" s="3532">
        <v>49500</v>
      </c>
      <c r="I106">
        <f t="shared" si="5"/>
        <v>89</v>
      </c>
    </row>
    <row r="107" spans="1:14">
      <c r="A107" s="3169">
        <v>46113</v>
      </c>
      <c r="B107" s="3169">
        <v>46129</v>
      </c>
      <c r="C107" s="3169">
        <v>46219</v>
      </c>
      <c r="D107" s="3532">
        <v>5.42</v>
      </c>
      <c r="E107" s="3532">
        <v>49500</v>
      </c>
      <c r="I107">
        <f t="shared" si="5"/>
        <v>90</v>
      </c>
    </row>
    <row r="108" spans="1:14">
      <c r="A108" s="3169">
        <v>46204</v>
      </c>
      <c r="B108" s="3169">
        <v>46220</v>
      </c>
      <c r="C108" s="3169">
        <v>46311</v>
      </c>
      <c r="D108" s="3532">
        <v>5.42</v>
      </c>
      <c r="E108" s="3532">
        <v>49500</v>
      </c>
      <c r="I108">
        <f t="shared" si="5"/>
        <v>91</v>
      </c>
    </row>
    <row r="109" spans="1:14">
      <c r="A109" s="3169">
        <v>46296</v>
      </c>
      <c r="B109" s="3169">
        <v>46312</v>
      </c>
      <c r="C109" s="3169">
        <v>46403</v>
      </c>
      <c r="D109" s="3532">
        <v>5.42</v>
      </c>
      <c r="E109" s="3532">
        <v>49500</v>
      </c>
      <c r="I109">
        <f t="shared" si="5"/>
        <v>91</v>
      </c>
    </row>
    <row r="110" spans="1:14">
      <c r="A110" s="3169">
        <v>46388</v>
      </c>
      <c r="B110" s="3169">
        <v>46404</v>
      </c>
      <c r="C110" s="3169">
        <v>46493</v>
      </c>
      <c r="D110" s="3532">
        <v>5.42</v>
      </c>
      <c r="E110" s="3532">
        <v>49500</v>
      </c>
      <c r="I110">
        <f t="shared" si="5"/>
        <v>89</v>
      </c>
    </row>
    <row r="111" spans="1:14">
      <c r="A111" s="3169">
        <v>46478</v>
      </c>
      <c r="B111" s="3169">
        <v>46494</v>
      </c>
      <c r="C111" s="3169">
        <v>46584</v>
      </c>
      <c r="D111" s="3532">
        <v>5.42</v>
      </c>
      <c r="E111" s="3532">
        <v>49500</v>
      </c>
      <c r="I111">
        <f t="shared" si="5"/>
        <v>90</v>
      </c>
    </row>
    <row r="112" spans="1:14">
      <c r="A112" s="3169">
        <v>46569</v>
      </c>
      <c r="B112" s="3169">
        <v>46585</v>
      </c>
      <c r="C112" s="3169">
        <v>46676</v>
      </c>
      <c r="D112" s="3532">
        <v>5.42</v>
      </c>
      <c r="E112" s="3532">
        <v>49500</v>
      </c>
      <c r="I112">
        <f t="shared" si="5"/>
        <v>91</v>
      </c>
    </row>
    <row r="113" spans="1:14">
      <c r="A113" s="3169">
        <v>46661</v>
      </c>
      <c r="B113" s="3169">
        <v>46677</v>
      </c>
      <c r="C113" s="3169">
        <v>46768</v>
      </c>
      <c r="D113" s="3532">
        <v>5.42</v>
      </c>
      <c r="E113" s="3532">
        <v>49500</v>
      </c>
      <c r="I113">
        <f t="shared" si="5"/>
        <v>91</v>
      </c>
    </row>
    <row r="114" spans="1:14">
      <c r="A114" s="3169">
        <v>46753</v>
      </c>
      <c r="B114" s="3169">
        <v>46769</v>
      </c>
      <c r="C114" s="3169">
        <v>46859</v>
      </c>
      <c r="D114" s="3532">
        <v>5.42</v>
      </c>
      <c r="E114" s="3532">
        <v>49500</v>
      </c>
      <c r="I114">
        <f t="shared" si="5"/>
        <v>90</v>
      </c>
    </row>
    <row r="115" spans="1:14">
      <c r="A115" s="3169">
        <v>46844</v>
      </c>
      <c r="B115" s="3169">
        <v>46860</v>
      </c>
      <c r="C115" s="3169">
        <v>46950</v>
      </c>
      <c r="D115" s="3532">
        <v>5.69</v>
      </c>
      <c r="E115" s="3532">
        <v>51975</v>
      </c>
      <c r="F115">
        <f>ROUND((D115-D114)/D114,2)</f>
        <v>0.05</v>
      </c>
      <c r="I115">
        <f t="shared" si="5"/>
        <v>90</v>
      </c>
    </row>
    <row r="116" spans="1:14">
      <c r="A116" s="3169">
        <v>46935</v>
      </c>
      <c r="B116" s="3169">
        <v>46951</v>
      </c>
      <c r="C116" s="3169">
        <v>47042</v>
      </c>
      <c r="D116" s="3532">
        <v>5.69</v>
      </c>
      <c r="E116" s="3532">
        <v>51975</v>
      </c>
      <c r="I116">
        <f t="shared" si="5"/>
        <v>91</v>
      </c>
    </row>
    <row r="117" spans="1:14">
      <c r="A117" s="3169">
        <v>47027</v>
      </c>
      <c r="B117" s="3169">
        <v>47043</v>
      </c>
      <c r="C117" s="3169">
        <v>47134</v>
      </c>
      <c r="D117" s="3532">
        <v>5.69</v>
      </c>
      <c r="E117" s="3532">
        <v>51975</v>
      </c>
      <c r="I117">
        <f t="shared" si="5"/>
        <v>91</v>
      </c>
    </row>
    <row r="118" spans="1:14">
      <c r="A118" s="3169">
        <v>47119</v>
      </c>
      <c r="B118" s="3169">
        <v>47135</v>
      </c>
      <c r="C118" s="3169">
        <v>47224</v>
      </c>
      <c r="D118" s="3532">
        <v>5.69</v>
      </c>
      <c r="E118" s="3532">
        <v>51975</v>
      </c>
      <c r="I118">
        <f t="shared" si="5"/>
        <v>89</v>
      </c>
    </row>
    <row r="119" spans="1:14">
      <c r="A119" s="3169">
        <v>47209</v>
      </c>
      <c r="B119" s="3169">
        <v>47225</v>
      </c>
      <c r="C119" s="3169">
        <v>47315</v>
      </c>
      <c r="D119" s="3532">
        <v>5.69</v>
      </c>
      <c r="E119" s="3532">
        <v>51975</v>
      </c>
      <c r="I119">
        <f t="shared" si="5"/>
        <v>90</v>
      </c>
    </row>
    <row r="120" spans="1:14">
      <c r="A120" s="3169">
        <v>47300</v>
      </c>
      <c r="B120" s="3169">
        <v>47316</v>
      </c>
      <c r="C120" s="3169">
        <v>47407</v>
      </c>
      <c r="D120" s="3532">
        <v>5.69</v>
      </c>
      <c r="E120" s="3532">
        <v>51975</v>
      </c>
      <c r="I120">
        <f t="shared" si="5"/>
        <v>91</v>
      </c>
    </row>
    <row r="121" spans="1:14">
      <c r="A121" s="3169">
        <v>47392</v>
      </c>
      <c r="B121" s="3170">
        <v>47408</v>
      </c>
      <c r="C121" s="3169">
        <v>47499</v>
      </c>
      <c r="D121" s="3532">
        <v>5.69</v>
      </c>
      <c r="E121" s="3532">
        <v>51975</v>
      </c>
      <c r="I121">
        <f t="shared" si="5"/>
        <v>91</v>
      </c>
    </row>
    <row r="122" spans="1:14">
      <c r="A122" s="3169">
        <v>47484</v>
      </c>
      <c r="B122" s="3169">
        <v>47500</v>
      </c>
      <c r="C122" s="3169">
        <v>47589</v>
      </c>
      <c r="D122" s="3532">
        <v>5.69</v>
      </c>
      <c r="E122" s="3532">
        <v>51975</v>
      </c>
      <c r="I122">
        <f t="shared" si="5"/>
        <v>89</v>
      </c>
    </row>
    <row r="123" spans="1:14">
      <c r="D123" s="1403" t="s">
        <v>2587</v>
      </c>
      <c r="E123">
        <f>SUM(E103:E122)</f>
        <v>976800</v>
      </c>
      <c r="I123">
        <f>SUM(I103:I122)</f>
        <v>1745</v>
      </c>
    </row>
    <row r="124" spans="1:14">
      <c r="D124" s="3172" t="s">
        <v>3478</v>
      </c>
      <c r="E124" s="3154">
        <f>ROUND(E123/B100/I123,2)</f>
        <v>5.6</v>
      </c>
      <c r="I124" s="3172" t="s">
        <v>3629</v>
      </c>
      <c r="J124" s="3154">
        <f>ROUND(E124*1.05,2)</f>
        <v>5.88</v>
      </c>
    </row>
    <row r="127" spans="1:14">
      <c r="A127" s="3172" t="s">
        <v>3458</v>
      </c>
      <c r="B127" s="1403" t="s">
        <v>3457</v>
      </c>
      <c r="C127" s="1403" t="s">
        <v>3459</v>
      </c>
      <c r="D127" s="1403" t="s">
        <v>3461</v>
      </c>
      <c r="F127" s="1403" t="s">
        <v>3462</v>
      </c>
      <c r="H127" s="1403" t="s">
        <v>3463</v>
      </c>
      <c r="K127" s="1403" t="s">
        <v>3473</v>
      </c>
      <c r="M127" s="1403" t="s">
        <v>3479</v>
      </c>
      <c r="N127" s="1403" t="s">
        <v>3481</v>
      </c>
    </row>
    <row r="128" spans="1:14">
      <c r="A128" s="3172" t="s">
        <v>3614</v>
      </c>
      <c r="B128" s="1403">
        <v>62</v>
      </c>
      <c r="C128" s="1403" t="s">
        <v>3615</v>
      </c>
      <c r="D128" s="3170">
        <v>45641</v>
      </c>
      <c r="E128" s="3169">
        <v>47466</v>
      </c>
      <c r="F128" s="3169">
        <v>45641</v>
      </c>
      <c r="G128" s="3169">
        <v>45702</v>
      </c>
      <c r="H128">
        <v>61</v>
      </c>
      <c r="I128" s="3167" t="s">
        <v>3616</v>
      </c>
      <c r="J128" s="1403" t="s">
        <v>3464</v>
      </c>
      <c r="K128" s="1403">
        <v>25000</v>
      </c>
      <c r="M128" s="3154">
        <f>E128-D128-H128</f>
        <v>1764</v>
      </c>
      <c r="N128" s="3173">
        <v>0.06</v>
      </c>
    </row>
    <row r="130" spans="1:9">
      <c r="A130" s="1403" t="s">
        <v>3465</v>
      </c>
      <c r="B130" s="1403" t="s">
        <v>3466</v>
      </c>
      <c r="C130" s="1403" t="s">
        <v>3467</v>
      </c>
      <c r="D130" s="1403" t="s">
        <v>3484</v>
      </c>
      <c r="E130" s="1403" t="s">
        <v>3485</v>
      </c>
      <c r="F130" s="1403"/>
      <c r="H130" s="1403" t="s">
        <v>3618</v>
      </c>
      <c r="I130" s="1403" t="s">
        <v>3619</v>
      </c>
    </row>
    <row r="131" spans="1:9">
      <c r="A131" s="3169"/>
      <c r="B131" s="3169">
        <v>45641</v>
      </c>
      <c r="C131" s="3169">
        <v>45822</v>
      </c>
      <c r="D131">
        <v>6.63</v>
      </c>
      <c r="E131">
        <v>5000</v>
      </c>
      <c r="F131" s="1403" t="s">
        <v>3617</v>
      </c>
      <c r="I131">
        <f>C131-B131-H128</f>
        <v>120</v>
      </c>
    </row>
    <row r="132" spans="1:9">
      <c r="A132" s="3169">
        <v>45809</v>
      </c>
      <c r="B132" s="3169">
        <v>45823</v>
      </c>
      <c r="C132" s="3169">
        <v>45914</v>
      </c>
      <c r="D132">
        <v>6.63</v>
      </c>
      <c r="E132" s="3532">
        <v>37500</v>
      </c>
      <c r="I132">
        <f>C132-B132</f>
        <v>91</v>
      </c>
    </row>
    <row r="133" spans="1:9">
      <c r="A133" s="3169">
        <v>45901</v>
      </c>
      <c r="B133" s="3169">
        <v>45915</v>
      </c>
      <c r="C133" s="3169">
        <v>46005</v>
      </c>
      <c r="D133">
        <v>6.63</v>
      </c>
      <c r="E133" s="3532">
        <v>37500</v>
      </c>
      <c r="I133">
        <f t="shared" ref="I133:I149" si="6">C133-B133</f>
        <v>90</v>
      </c>
    </row>
    <row r="134" spans="1:9">
      <c r="A134" s="3169">
        <v>45992</v>
      </c>
      <c r="B134" s="3169">
        <v>46006</v>
      </c>
      <c r="C134" s="3169">
        <v>46095</v>
      </c>
      <c r="D134">
        <v>6.63</v>
      </c>
      <c r="E134" s="3532">
        <v>37500</v>
      </c>
      <c r="I134">
        <f t="shared" si="6"/>
        <v>89</v>
      </c>
    </row>
    <row r="135" spans="1:9">
      <c r="A135" s="3169">
        <v>46082</v>
      </c>
      <c r="B135" s="3169">
        <v>46096</v>
      </c>
      <c r="C135" s="3169">
        <v>46187</v>
      </c>
      <c r="D135">
        <v>6.63</v>
      </c>
      <c r="E135" s="3532">
        <v>37500</v>
      </c>
      <c r="I135">
        <f t="shared" si="6"/>
        <v>91</v>
      </c>
    </row>
    <row r="136" spans="1:9">
      <c r="A136" s="3169">
        <v>46174</v>
      </c>
      <c r="B136" s="3169">
        <v>46188</v>
      </c>
      <c r="C136" s="3169">
        <v>46279</v>
      </c>
      <c r="D136">
        <v>6.63</v>
      </c>
      <c r="E136" s="3532">
        <v>37500</v>
      </c>
      <c r="I136">
        <f t="shared" si="6"/>
        <v>91</v>
      </c>
    </row>
    <row r="137" spans="1:9">
      <c r="A137" s="3169">
        <v>46266</v>
      </c>
      <c r="B137" s="3169">
        <v>46280</v>
      </c>
      <c r="C137" s="3169">
        <v>46370</v>
      </c>
      <c r="D137">
        <v>6.63</v>
      </c>
      <c r="E137" s="3532">
        <v>37500</v>
      </c>
      <c r="I137">
        <f t="shared" si="6"/>
        <v>90</v>
      </c>
    </row>
    <row r="138" spans="1:9">
      <c r="A138" s="3169">
        <v>46357</v>
      </c>
      <c r="B138" s="3169">
        <v>46371</v>
      </c>
      <c r="C138" s="3169">
        <v>46460</v>
      </c>
      <c r="D138" s="3532">
        <v>7.03</v>
      </c>
      <c r="E138" s="3532">
        <v>39750</v>
      </c>
      <c r="F138">
        <f>ROUND((D138-D137)/D137,2)</f>
        <v>0.06</v>
      </c>
      <c r="I138">
        <f t="shared" si="6"/>
        <v>89</v>
      </c>
    </row>
    <row r="139" spans="1:9">
      <c r="A139" s="3169">
        <v>46447</v>
      </c>
      <c r="B139" s="3169">
        <v>46461</v>
      </c>
      <c r="C139" s="3169">
        <v>46552</v>
      </c>
      <c r="D139" s="3532">
        <v>7.03</v>
      </c>
      <c r="E139" s="3532">
        <v>39750</v>
      </c>
      <c r="I139">
        <f t="shared" si="6"/>
        <v>91</v>
      </c>
    </row>
    <row r="140" spans="1:9">
      <c r="A140" s="3169">
        <v>46539</v>
      </c>
      <c r="B140" s="3169">
        <v>46553</v>
      </c>
      <c r="C140" s="3169">
        <v>46644</v>
      </c>
      <c r="D140" s="3532">
        <v>7.03</v>
      </c>
      <c r="E140" s="3532">
        <v>39750</v>
      </c>
      <c r="I140">
        <f t="shared" si="6"/>
        <v>91</v>
      </c>
    </row>
    <row r="141" spans="1:9">
      <c r="A141" s="3169">
        <v>46631</v>
      </c>
      <c r="B141" s="3169">
        <v>46645</v>
      </c>
      <c r="C141" s="3169">
        <v>46735</v>
      </c>
      <c r="D141" s="3532">
        <v>7.03</v>
      </c>
      <c r="E141" s="3532">
        <v>39750</v>
      </c>
      <c r="I141">
        <f t="shared" si="6"/>
        <v>90</v>
      </c>
    </row>
    <row r="142" spans="1:9">
      <c r="A142" s="3169">
        <v>46722</v>
      </c>
      <c r="B142" s="3169">
        <v>46736</v>
      </c>
      <c r="C142" s="3169">
        <v>46826</v>
      </c>
      <c r="D142" s="3532">
        <v>7.03</v>
      </c>
      <c r="E142" s="3532">
        <v>39750</v>
      </c>
      <c r="I142">
        <f t="shared" si="6"/>
        <v>90</v>
      </c>
    </row>
    <row r="143" spans="1:9">
      <c r="A143" s="3169">
        <v>46813</v>
      </c>
      <c r="B143" s="3169">
        <v>46827</v>
      </c>
      <c r="C143" s="3169">
        <v>46918</v>
      </c>
      <c r="D143" s="3532">
        <v>7.03</v>
      </c>
      <c r="E143" s="3532">
        <v>39750</v>
      </c>
      <c r="I143">
        <f t="shared" si="6"/>
        <v>91</v>
      </c>
    </row>
    <row r="144" spans="1:9">
      <c r="A144" s="3169">
        <v>46905</v>
      </c>
      <c r="B144" s="3169">
        <v>46919</v>
      </c>
      <c r="C144" s="3169">
        <v>47010</v>
      </c>
      <c r="D144" s="3532">
        <v>7.03</v>
      </c>
      <c r="E144" s="3532">
        <v>39750</v>
      </c>
      <c r="I144">
        <f t="shared" si="6"/>
        <v>91</v>
      </c>
    </row>
    <row r="145" spans="1:10">
      <c r="A145" s="3169">
        <v>46997</v>
      </c>
      <c r="B145" s="3169">
        <v>47011</v>
      </c>
      <c r="C145" s="3169">
        <v>47101</v>
      </c>
      <c r="D145" s="3532">
        <v>7.03</v>
      </c>
      <c r="E145" s="3532">
        <v>39750</v>
      </c>
      <c r="I145">
        <f t="shared" si="6"/>
        <v>90</v>
      </c>
    </row>
    <row r="146" spans="1:10">
      <c r="A146" s="3169">
        <v>47088</v>
      </c>
      <c r="B146" s="3169">
        <v>47102</v>
      </c>
      <c r="C146" s="3169">
        <v>47191</v>
      </c>
      <c r="D146" s="3532">
        <v>7.45</v>
      </c>
      <c r="E146" s="3532">
        <v>42135</v>
      </c>
      <c r="F146">
        <f>ROUND((D146-D145)/D145,2)</f>
        <v>0.06</v>
      </c>
      <c r="I146">
        <f t="shared" si="6"/>
        <v>89</v>
      </c>
    </row>
    <row r="147" spans="1:10">
      <c r="A147" s="3169">
        <v>47178</v>
      </c>
      <c r="B147" s="3169">
        <v>47192</v>
      </c>
      <c r="C147" s="3169">
        <v>47283</v>
      </c>
      <c r="D147" s="3532">
        <v>7.45</v>
      </c>
      <c r="E147" s="3532">
        <v>42135</v>
      </c>
      <c r="I147">
        <f t="shared" si="6"/>
        <v>91</v>
      </c>
    </row>
    <row r="148" spans="1:10">
      <c r="A148" s="3169">
        <v>47270</v>
      </c>
      <c r="B148" s="3169">
        <v>47284</v>
      </c>
      <c r="C148" s="3169">
        <v>47375</v>
      </c>
      <c r="D148" s="3532">
        <v>7.45</v>
      </c>
      <c r="E148" s="3532">
        <v>42135</v>
      </c>
      <c r="I148">
        <f t="shared" si="6"/>
        <v>91</v>
      </c>
    </row>
    <row r="149" spans="1:10">
      <c r="A149" s="3169">
        <v>47362</v>
      </c>
      <c r="B149" s="3169">
        <v>47376</v>
      </c>
      <c r="C149" s="3169">
        <v>47466</v>
      </c>
      <c r="D149" s="3532">
        <v>7.45</v>
      </c>
      <c r="E149" s="3532">
        <v>42135</v>
      </c>
      <c r="I149">
        <f t="shared" si="6"/>
        <v>90</v>
      </c>
    </row>
    <row r="150" spans="1:10">
      <c r="D150" s="1403" t="s">
        <v>2587</v>
      </c>
      <c r="E150">
        <f>SUM(E130:E149)</f>
        <v>716540</v>
      </c>
      <c r="I150">
        <f>SUM(I131:I149)</f>
        <v>1746</v>
      </c>
    </row>
    <row r="151" spans="1:10">
      <c r="D151" s="3172" t="s">
        <v>3478</v>
      </c>
      <c r="E151" s="3154">
        <f>ROUND(E150/B128/I150,2)</f>
        <v>6.62</v>
      </c>
      <c r="I151" s="3172" t="s">
        <v>3629</v>
      </c>
      <c r="J151" s="3154">
        <f>ROUND(E151*1.05,2)</f>
        <v>6.95</v>
      </c>
    </row>
  </sheetData>
  <phoneticPr fontId="13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08"/>
      <c r="D1" s="1107"/>
      <c r="E1" s="2563"/>
      <c r="F1" s="2563"/>
      <c r="G1" s="2444"/>
      <c r="H1" s="2563"/>
      <c r="I1" s="2563"/>
      <c r="J1" s="2563"/>
      <c r="K1" s="2564">
        <f>MATCH(C1,'数据-取费表'!A6:A16,0)+5</f>
        <v>7</v>
      </c>
    </row>
    <row r="2" spans="1:33" ht="18" customHeight="1">
      <c r="A2" s="193" t="s">
        <v>1462</v>
      </c>
      <c r="B2" s="196">
        <f ca="1">C32</f>
        <v>-6</v>
      </c>
      <c r="C2" s="268" t="s">
        <v>1595</v>
      </c>
      <c r="D2" s="268"/>
      <c r="E2" s="2563"/>
      <c r="F2" s="2563"/>
      <c r="G2" s="2563"/>
      <c r="H2" s="2563"/>
      <c r="I2" s="2563"/>
      <c r="J2" s="2563"/>
      <c r="K2" s="2563"/>
    </row>
    <row r="3" spans="1:33" ht="18" customHeight="1" thickBot="1">
      <c r="A3" s="195" t="s">
        <v>1464</v>
      </c>
      <c r="B3" s="196">
        <f ca="1">ROUND(B2*10000/IF(C1="",'数据-汇总表'!E3,INDIRECT("'数据-取费表'!K"&amp;$K$1)),0)</f>
        <v>-244</v>
      </c>
      <c r="C3" s="268" t="s">
        <v>1596</v>
      </c>
      <c r="D3" s="268"/>
      <c r="E3" s="2563"/>
      <c r="F3" s="2563"/>
      <c r="G3" s="2563"/>
      <c r="H3" s="2563"/>
      <c r="I3" s="2563"/>
      <c r="J3" s="2563"/>
      <c r="K3" s="2563"/>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6"/>
      <c r="D5" s="1716"/>
      <c r="E5" s="1716"/>
      <c r="F5" s="1716"/>
      <c r="G5" s="1716"/>
      <c r="H5" s="1716"/>
      <c r="I5" s="1716"/>
      <c r="J5" s="1716"/>
      <c r="K5" s="1716"/>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7"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245.74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5"/>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245.74</v>
      </c>
      <c r="E17" s="21">
        <f>'数据-取费表'!B32</f>
        <v>0</v>
      </c>
      <c r="F17" s="758"/>
      <c r="G17" s="123" t="s">
        <v>1623</v>
      </c>
      <c r="H17" s="1105"/>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5</v>
      </c>
      <c r="D18" s="796"/>
      <c r="E18" s="21"/>
      <c r="F18" s="756"/>
      <c r="G18" s="1718"/>
      <c r="H18" s="1104"/>
      <c r="I18" s="1719"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6"/>
      <c r="I19" s="761"/>
      <c r="J19" s="761"/>
      <c r="K19" s="762"/>
    </row>
    <row r="20" spans="1:33" s="755" customFormat="1" ht="13.5" customHeight="1">
      <c r="A20" s="752" t="s">
        <v>361</v>
      </c>
      <c r="B20" s="753" t="s">
        <v>1627</v>
      </c>
      <c r="C20" s="21">
        <f ca="1">ROUND(D20*E20/10000,0)</f>
        <v>5</v>
      </c>
      <c r="D20" s="796">
        <f ca="1">IF(C1="",'数据-汇总表'!E6,IF(INDIRECT("'数据-取费表'!c"&amp;$K$1)="住宅",INDIRECT("'数据-取费表'!s"&amp;$K$1),INDIRECT("'数据-取费表'!k"&amp;$K$1)+INDIRECT("'数据-取费表'!s"&amp;$K$1)))</f>
        <v>245.74</v>
      </c>
      <c r="E20" s="21">
        <f>'数据-取费表'!B28</f>
        <v>200</v>
      </c>
      <c r="F20" s="756"/>
      <c r="G20" s="12"/>
      <c r="H20" s="761"/>
      <c r="I20" s="761"/>
      <c r="J20" s="761"/>
      <c r="K20" s="762"/>
    </row>
    <row r="21" spans="1:33" s="755" customFormat="1" ht="13.5" customHeight="1">
      <c r="A21" s="744" t="s">
        <v>357</v>
      </c>
      <c r="B21" s="765" t="s">
        <v>1628</v>
      </c>
      <c r="C21" s="766">
        <f ca="1">C16+C17+C18</f>
        <v>5</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1">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2">
        <f ca="1">ROUND(IF('数据-取费表'!B22&lt;=1,(1+C24)*F25*'数据-取费表'!B24,(1+C24)*(POWER((1+F25),'数据-取费表'!B24)-1)),4)</f>
        <v>0</v>
      </c>
      <c r="D26" s="276"/>
      <c r="E26" s="277"/>
      <c r="F26" s="278"/>
      <c r="G26" s="1720"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3">
        <f ca="1">ROUND(IF('数据-取费表'!B22&lt;=1,(C21+C22+C23)*F25*'数据-取费表'!B24/2,(C21+C22+C23)*(POWER((1+F25),'数据-取费表'!B24/2)-1)),0)</f>
        <v>0</v>
      </c>
      <c r="D27" s="276"/>
      <c r="E27" s="277"/>
      <c r="F27" s="278"/>
      <c r="G27" s="1720" t="str">
        <f>IF('数据-取费表'!B22&lt;=1,"（1）-（3）项×年利率×建设期÷2","（1）-（3）项×((1+年利率)^(建设期÷2)-1)")</f>
        <v>（1）-（3）项×((1+年利率)^(建设期÷2)-1)</v>
      </c>
      <c r="H27" s="759"/>
      <c r="I27" s="759"/>
      <c r="J27" s="759"/>
      <c r="K27" s="760"/>
    </row>
    <row r="28" spans="1:33" s="281" customFormat="1" ht="13.5" customHeight="1">
      <c r="A28" s="744" t="s">
        <v>1641</v>
      </c>
      <c r="B28" s="1721"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2"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0" customWidth="1"/>
    <col min="12" max="12" width="16.33203125" style="250" customWidth="1"/>
    <col min="13" max="13" width="13" style="250"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50"/>
  </cols>
  <sheetData>
    <row r="1" spans="1:37" s="285" customFormat="1" ht="21.6">
      <c r="A1" s="1281" t="s">
        <v>877</v>
      </c>
      <c r="B1" s="663"/>
      <c r="C1" s="1285"/>
      <c r="D1" s="1269" t="s">
        <v>43</v>
      </c>
      <c r="E1" s="1270" t="s">
        <v>678</v>
      </c>
      <c r="F1" s="997">
        <f ca="1">J53</f>
        <v>0</v>
      </c>
      <c r="G1" s="1284">
        <f>MATCH(C1,'数据-取费表'!A6:A16,0)+5</f>
        <v>7</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804</v>
      </c>
      <c r="B2" s="1292" t="e">
        <f ca="1">C40+J29+L46</f>
        <v>#DIV/0!</v>
      </c>
      <c r="C2" s="1287" t="s">
        <v>805</v>
      </c>
      <c r="D2" s="1287"/>
      <c r="E2" s="1293"/>
      <c r="F2" s="1294"/>
      <c r="G2" s="2474"/>
      <c r="H2" s="2464"/>
      <c r="I2" s="2464"/>
      <c r="J2" s="2464"/>
      <c r="K2" s="2465"/>
      <c r="L2" s="2464"/>
      <c r="M2" s="2464"/>
    </row>
    <row r="3" spans="1:37" ht="18" customHeight="1" thickBot="1">
      <c r="A3" s="1295" t="s">
        <v>806</v>
      </c>
      <c r="B3" s="1296">
        <f ca="1">IF(ISERROR(B2*10000/F43),0,ROUND(B2*10000/F43,0))</f>
        <v>0</v>
      </c>
      <c r="C3" s="1287" t="s">
        <v>807</v>
      </c>
      <c r="D3" s="1287"/>
      <c r="E3" s="1293"/>
      <c r="F3" s="1294"/>
      <c r="G3" s="2474"/>
      <c r="H3" s="649"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f ca="1">C6+C10+C12</f>
        <v>0</v>
      </c>
      <c r="D5" s="1271" t="s">
        <v>693</v>
      </c>
      <c r="E5" s="1006"/>
      <c r="F5" s="1007"/>
      <c r="G5" s="1290"/>
      <c r="H5" s="291">
        <v>1</v>
      </c>
      <c r="I5" s="292" t="s">
        <v>692</v>
      </c>
      <c r="J5" s="1005">
        <f ca="1">J6+J10+J12</f>
        <v>0</v>
      </c>
      <c r="K5" s="1271" t="s">
        <v>693</v>
      </c>
      <c r="L5" s="1006"/>
      <c r="M5" s="1007"/>
    </row>
    <row r="6" spans="1:37" ht="18" customHeight="1">
      <c r="A6" s="1004" t="s">
        <v>398</v>
      </c>
      <c r="B6" s="3413" t="s">
        <v>694</v>
      </c>
      <c r="C6" s="1009">
        <f ca="1">ROUND(F6*F8*F7*(1-F9)/10000,0)</f>
        <v>0</v>
      </c>
      <c r="D6" s="147" t="s">
        <v>2104</v>
      </c>
      <c r="E6" s="294" t="s">
        <v>696</v>
      </c>
      <c r="F6" s="295">
        <f ca="1">INDIRECT("'数据-取费表'!u"&amp;$G$1)</f>
        <v>0</v>
      </c>
      <c r="G6" s="1290"/>
      <c r="H6" s="1004" t="s">
        <v>398</v>
      </c>
      <c r="I6" s="3413" t="s">
        <v>694</v>
      </c>
      <c r="J6" s="293">
        <f ca="1">ROUND(M6*M8*M7*(1-M9)/10000,0)</f>
        <v>0</v>
      </c>
      <c r="K6" s="147" t="s">
        <v>2103</v>
      </c>
      <c r="L6" s="294" t="s">
        <v>696</v>
      </c>
      <c r="M6" s="295">
        <f ca="1">INDIRECT("'数据-取费表'!z"&amp;$G$1)</f>
        <v>0</v>
      </c>
    </row>
    <row r="7" spans="1:37" ht="18" customHeight="1">
      <c r="A7" s="1008"/>
      <c r="B7" s="3414"/>
      <c r="C7" s="1010"/>
      <c r="D7" s="299"/>
      <c r="E7" s="1011" t="s">
        <v>697</v>
      </c>
      <c r="F7" s="295">
        <f ca="1">IF(INDIRECT("'数据-取费表'!ah"&amp;$G$1)="",INDIRECT("'数据-取费表'!k"&amp;$G$1),INDIRECT("'数据-取费表'!ah"&amp;$G$1))</f>
        <v>0</v>
      </c>
      <c r="G7" s="1290"/>
      <c r="H7" s="296"/>
      <c r="I7" s="3414"/>
      <c r="J7" s="298"/>
      <c r="K7" s="299"/>
      <c r="L7" s="294" t="s">
        <v>697</v>
      </c>
      <c r="M7" s="295">
        <f ca="1">F7</f>
        <v>0</v>
      </c>
    </row>
    <row r="8" spans="1:37" ht="18" customHeight="1">
      <c r="A8" s="296"/>
      <c r="B8" s="3414"/>
      <c r="C8" s="298"/>
      <c r="D8" s="299"/>
      <c r="E8" s="294" t="s">
        <v>698</v>
      </c>
      <c r="F8" s="295">
        <f ca="1">INDIRECT("'数据-取费表'!ai"&amp;$G$1)</f>
        <v>0</v>
      </c>
      <c r="G8" s="1290"/>
      <c r="H8" s="296"/>
      <c r="I8" s="3414"/>
      <c r="J8" s="298"/>
      <c r="K8" s="299"/>
      <c r="L8" s="294" t="s">
        <v>698</v>
      </c>
      <c r="M8" s="295">
        <f ca="1">INDIRECT("'数据-取费表'!ai"&amp;$G$1)</f>
        <v>0</v>
      </c>
    </row>
    <row r="9" spans="1:37" ht="18" customHeight="1">
      <c r="A9" s="296"/>
      <c r="B9" s="3415"/>
      <c r="C9" s="298"/>
      <c r="D9" s="299"/>
      <c r="E9" s="294" t="s">
        <v>699</v>
      </c>
      <c r="F9" s="304">
        <f ca="1">INDIRECT("'数据-取费表'!w"&amp;$G$1)</f>
        <v>0</v>
      </c>
      <c r="G9" s="1290"/>
      <c r="H9" s="296"/>
      <c r="I9" s="3415"/>
      <c r="J9" s="298"/>
      <c r="K9" s="299"/>
      <c r="L9" s="305" t="s">
        <v>699</v>
      </c>
      <c r="M9" s="306">
        <f ca="1">INDIRECT("'数据-取费表'!ab"&amp;$G$1)</f>
        <v>0</v>
      </c>
    </row>
    <row r="10" spans="1:37" ht="18" customHeight="1">
      <c r="A10" s="1004" t="s">
        <v>402</v>
      </c>
      <c r="B10" s="1272" t="s">
        <v>700</v>
      </c>
      <c r="C10" s="308">
        <f ca="1">ROUND(IF(F10="押一",C6/12*F11,IF(F10="押二",C6/12*2*F11,IF(F10="押三",C6/12*3*F11,C11*F11))),0)</f>
        <v>0</v>
      </c>
      <c r="D10" s="150" t="s">
        <v>2112</v>
      </c>
      <c r="E10" s="305" t="s">
        <v>701</v>
      </c>
      <c r="F10" s="1051"/>
      <c r="G10" s="1290"/>
      <c r="H10" s="1004" t="s">
        <v>402</v>
      </c>
      <c r="I10" s="1272" t="s">
        <v>700</v>
      </c>
      <c r="J10" s="293">
        <f ca="1">ROUND(IF(M10="押一",J6/12*M11,IF(M10="押二",J6/12*2*M11,IF(M10="押三",J6/12*3*M11,J11*M11))),0)</f>
        <v>0</v>
      </c>
      <c r="K10" s="150" t="s">
        <v>2111</v>
      </c>
      <c r="L10" s="305" t="s">
        <v>701</v>
      </c>
      <c r="M10" s="1051"/>
    </row>
    <row r="11" spans="1:37" ht="18" customHeight="1">
      <c r="A11" s="300"/>
      <c r="B11" s="1273" t="s">
        <v>679</v>
      </c>
      <c r="C11" s="903"/>
      <c r="D11" s="1274"/>
      <c r="E11" s="305" t="s">
        <v>702</v>
      </c>
      <c r="F11" s="306">
        <f ca="1">'数据-取费表'!B39</f>
        <v>1.4999999999999999E-2</v>
      </c>
      <c r="G11" s="1290"/>
      <c r="H11" s="1012"/>
      <c r="I11" s="1273" t="s">
        <v>679</v>
      </c>
      <c r="J11" s="903"/>
      <c r="K11" s="646"/>
      <c r="L11" s="305" t="s">
        <v>702</v>
      </c>
      <c r="M11" s="809">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0</v>
      </c>
      <c r="D13" s="1016" t="s">
        <v>705</v>
      </c>
      <c r="E13" s="1016" t="s">
        <v>706</v>
      </c>
      <c r="F13" s="1017">
        <f ca="1">INDIRECT("'数据-取费表'!y"&amp;$G$1)</f>
        <v>0</v>
      </c>
      <c r="G13" s="1290"/>
      <c r="H13" s="1014">
        <v>2</v>
      </c>
      <c r="I13" s="1015" t="s">
        <v>704</v>
      </c>
      <c r="J13" s="1003">
        <f ca="1">ROUND(J14*J15,0)</f>
        <v>0</v>
      </c>
      <c r="K13" s="1022" t="s">
        <v>705</v>
      </c>
      <c r="L13" s="1297"/>
      <c r="M13" s="1298"/>
    </row>
    <row r="14" spans="1:37" ht="18" customHeight="1">
      <c r="A14" s="926" t="s">
        <v>397</v>
      </c>
      <c r="B14" s="294" t="s">
        <v>707</v>
      </c>
      <c r="C14" s="310">
        <f ca="1">INDIRECT("'数据-取费表'!m"&amp;$G$1)+INDIRECT("'数据-取费表'!t"&amp;$G$1)</f>
        <v>0</v>
      </c>
      <c r="D14" s="1255" t="s">
        <v>708</v>
      </c>
      <c r="E14" s="1253"/>
      <c r="F14" s="311"/>
      <c r="G14" s="1290"/>
      <c r="H14" s="926" t="s">
        <v>398</v>
      </c>
      <c r="I14" s="294" t="s">
        <v>709</v>
      </c>
      <c r="J14" s="21">
        <f ca="1">C29</f>
        <v>0</v>
      </c>
      <c r="K14" s="12"/>
      <c r="L14" s="759"/>
      <c r="M14" s="760"/>
    </row>
    <row r="15" spans="1:37" s="1302" customFormat="1" ht="18" customHeight="1" thickBot="1">
      <c r="A15" s="926" t="s">
        <v>399</v>
      </c>
      <c r="B15" s="294" t="s">
        <v>710</v>
      </c>
      <c r="C15" s="21">
        <f ca="1">ROUND(C14*F15,0)</f>
        <v>0</v>
      </c>
      <c r="D15" s="312" t="s">
        <v>711</v>
      </c>
      <c r="E15" s="312" t="s">
        <v>712</v>
      </c>
      <c r="F15" s="313">
        <f>'数据-取费表'!B33</f>
        <v>0.05</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ROUND(INDIRECT("'数据-取费表'!m"&amp;$G$1)*F16,0)</f>
        <v>0</v>
      </c>
      <c r="D16" s="294" t="s">
        <v>711</v>
      </c>
      <c r="E16" s="294" t="s">
        <v>712</v>
      </c>
      <c r="F16" s="314">
        <f ca="1">IF(INDIRECT("'数据-取费表'!c"&amp;$G$1)="住宅",'数据-取费表'!B34,0)</f>
        <v>0</v>
      </c>
      <c r="G16" s="1290"/>
      <c r="H16" s="1014" t="s">
        <v>393</v>
      </c>
      <c r="I16" s="1015" t="s">
        <v>714</v>
      </c>
      <c r="J16" s="302">
        <f ca="1">ROUND(J17+J22+J23+J24,0)</f>
        <v>0</v>
      </c>
      <c r="K16" s="1022" t="s">
        <v>715</v>
      </c>
      <c r="L16" s="1023"/>
      <c r="M16" s="1007"/>
    </row>
    <row r="17" spans="1:37" s="1302" customFormat="1" ht="18" customHeight="1">
      <c r="A17" s="926" t="s">
        <v>681</v>
      </c>
      <c r="B17" s="294" t="s">
        <v>716</v>
      </c>
      <c r="C17" s="21">
        <f ca="1">ROUND(F17*(F43+INDIRECT("'数据-取费表'!S"&amp;$G$1))/10000,0)</f>
        <v>0</v>
      </c>
      <c r="D17" s="294" t="s">
        <v>717</v>
      </c>
      <c r="E17" s="294" t="s">
        <v>718</v>
      </c>
      <c r="F17" s="23">
        <f>'数据-取费表'!B35</f>
        <v>200</v>
      </c>
      <c r="G17" s="1301"/>
      <c r="H17" s="926" t="s">
        <v>398</v>
      </c>
      <c r="I17" s="294" t="s">
        <v>719</v>
      </c>
      <c r="J17" s="2137">
        <f ca="1">ROUND(IF(AND(项目基本情况!B11="自然人",项目基本情况!B10="北京市"),J6*M17/(1+'数据-取费表'!C42),J18+J19+J20),2)</f>
        <v>0</v>
      </c>
      <c r="K17" s="1255" t="s">
        <v>720</v>
      </c>
      <c r="L17" s="1254" t="s">
        <v>721</v>
      </c>
      <c r="M17" s="2136"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0</v>
      </c>
      <c r="D18" s="294" t="s">
        <v>711</v>
      </c>
      <c r="E18" s="294" t="s">
        <v>712</v>
      </c>
      <c r="F18" s="314">
        <f>'数据-取费表'!B36</f>
        <v>0.02</v>
      </c>
      <c r="G18" s="1301"/>
      <c r="H18" s="926" t="s">
        <v>397</v>
      </c>
      <c r="I18" s="294" t="s">
        <v>723</v>
      </c>
      <c r="J18" s="21">
        <f ca="1">ROUND(J6*M18/(1+'数据-取费表'!C42),2)</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0</v>
      </c>
      <c r="D19" s="123" t="s">
        <v>726</v>
      </c>
      <c r="E19" s="1267"/>
      <c r="F19" s="23"/>
      <c r="G19" s="1290"/>
      <c r="H19" s="926" t="s">
        <v>399</v>
      </c>
      <c r="I19" s="294" t="s">
        <v>727</v>
      </c>
      <c r="J19" s="21">
        <f ca="1">IF(K19="按租金收入计税",ROUND(J6*M19/(1+'数据-取费表'!C42),2),ROUND(C29*M19*0.7,2))</f>
        <v>0</v>
      </c>
      <c r="K19" s="1276" t="s">
        <v>3330</v>
      </c>
      <c r="L19" s="294" t="s">
        <v>712</v>
      </c>
      <c r="M19" s="314">
        <f>IF(K19="按租金收入计税",'数据-取费表'!B51,'数据-取费表'!B50)</f>
        <v>0.12</v>
      </c>
    </row>
    <row r="20" spans="1:37" s="1302" customFormat="1" ht="18" customHeight="1">
      <c r="A20" s="926" t="s">
        <v>402</v>
      </c>
      <c r="B20" s="294" t="s">
        <v>728</v>
      </c>
      <c r="C20" s="21">
        <f ca="1">ROUND(C19*F20,0)</f>
        <v>0</v>
      </c>
      <c r="D20" s="315" t="s">
        <v>729</v>
      </c>
      <c r="E20" s="294" t="s">
        <v>712</v>
      </c>
      <c r="F20" s="314">
        <f>'数据-取费表'!B37</f>
        <v>0.02</v>
      </c>
      <c r="G20" s="1301"/>
      <c r="H20" s="926" t="s">
        <v>680</v>
      </c>
      <c r="I20" s="147" t="s">
        <v>730</v>
      </c>
      <c r="J20" s="22">
        <f ca="1">ROUND(M20*M21/10000,2)</f>
        <v>0</v>
      </c>
      <c r="K20" s="316" t="s">
        <v>731</v>
      </c>
      <c r="L20" s="294" t="s">
        <v>732</v>
      </c>
      <c r="M20" s="317">
        <f>'数据-取费表'!B52</f>
        <v>3</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15</v>
      </c>
      <c r="D21" s="315" t="s">
        <v>734</v>
      </c>
      <c r="E21" s="294" t="s">
        <v>735</v>
      </c>
      <c r="F21" s="314">
        <f>'数据-取费表'!B38</f>
        <v>0.02</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ROUND(J14*M22,2)</f>
        <v>0</v>
      </c>
      <c r="K22" s="1254" t="s">
        <v>739</v>
      </c>
      <c r="L22" s="294" t="s">
        <v>712</v>
      </c>
      <c r="M22" s="320">
        <f ca="1">INDIRECT("'数据-取费表'!Ak"&amp;$G$1)</f>
        <v>0</v>
      </c>
    </row>
    <row r="23" spans="1:37" s="1302" customFormat="1" ht="18" customHeight="1">
      <c r="A23" s="926"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1"/>
      <c r="H23" s="926" t="s">
        <v>437</v>
      </c>
      <c r="I23" s="294" t="s">
        <v>742</v>
      </c>
      <c r="J23" s="21">
        <f ca="1">ROUND(J13*M23,2)</f>
        <v>0</v>
      </c>
      <c r="K23" s="1254" t="s">
        <v>743</v>
      </c>
      <c r="L23" s="294" t="s">
        <v>744</v>
      </c>
      <c r="M23" s="321">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1"/>
      <c r="H24" s="1024" t="s">
        <v>684</v>
      </c>
      <c r="I24" s="1025" t="s">
        <v>728</v>
      </c>
      <c r="J24" s="1026">
        <f ca="1">ROUND(J5*M24,2)</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749</v>
      </c>
      <c r="B25" s="294" t="s">
        <v>750</v>
      </c>
      <c r="C25" s="21"/>
      <c r="D25" s="123" t="s">
        <v>751</v>
      </c>
      <c r="E25" s="1267"/>
      <c r="F25" s="23"/>
      <c r="G25" s="1290"/>
      <c r="H25" s="1014" t="s">
        <v>394</v>
      </c>
      <c r="I25" s="1029" t="s">
        <v>752</v>
      </c>
      <c r="J25" s="302">
        <f ca="1">J5-J16</f>
        <v>0</v>
      </c>
      <c r="K25" s="1030" t="s">
        <v>753</v>
      </c>
      <c r="L25" s="1031"/>
      <c r="M25" s="1032"/>
    </row>
    <row r="26" spans="1:37">
      <c r="A26" s="926" t="s">
        <v>397</v>
      </c>
      <c r="B26" s="294" t="s">
        <v>754</v>
      </c>
      <c r="C26" s="21">
        <f ca="1">ROUND((C19+C20)*F26,0)</f>
        <v>0</v>
      </c>
      <c r="D26" s="315" t="s">
        <v>755</v>
      </c>
      <c r="E26" s="305" t="s">
        <v>756</v>
      </c>
      <c r="F26" s="304">
        <f ca="1">INDIRECT("'数据-取费表'!q"&amp;$G$1)</f>
        <v>0</v>
      </c>
      <c r="G26" s="1290"/>
      <c r="H26" s="291" t="s">
        <v>395</v>
      </c>
      <c r="I26" s="292" t="s">
        <v>757</v>
      </c>
      <c r="J26" s="293">
        <f ca="1">IF(J5&lt;&gt;0,ROUND(J25*(1-((1+M28)/(1+M26))^M27)/(M26-M28),0),0)</f>
        <v>0</v>
      </c>
      <c r="K26" s="316" t="s">
        <v>758</v>
      </c>
      <c r="L26" s="294" t="s">
        <v>759</v>
      </c>
      <c r="M26" s="304">
        <f ca="1">INDIRECT("'数据-取费表'!I"&amp;$G$1)</f>
        <v>0</v>
      </c>
    </row>
    <row r="27" spans="1:37" ht="18" customHeight="1">
      <c r="A27" s="926" t="s">
        <v>399</v>
      </c>
      <c r="B27" s="294" t="s">
        <v>760</v>
      </c>
      <c r="C27" s="21">
        <f ca="1">ROUND(F21*F26,4)</f>
        <v>0</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0</v>
      </c>
      <c r="D29" s="1027"/>
      <c r="E29" s="1025"/>
      <c r="F29" s="1028"/>
      <c r="G29" s="1301"/>
      <c r="H29" s="325" t="s">
        <v>396</v>
      </c>
      <c r="I29" s="326" t="s">
        <v>768</v>
      </c>
      <c r="J29" s="327">
        <f ca="1">ROUND(J26/(1+F40)^F41,0)</f>
        <v>0</v>
      </c>
      <c r="K29" s="328" t="s">
        <v>769</v>
      </c>
      <c r="L29" s="329"/>
      <c r="M29" s="330">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0</v>
      </c>
      <c r="D30" s="1022" t="s">
        <v>715</v>
      </c>
      <c r="E30" s="1023"/>
      <c r="F30" s="1007"/>
      <c r="G30" s="1290"/>
      <c r="H30" s="2466"/>
      <c r="I30" s="1303"/>
      <c r="J30" s="1304"/>
      <c r="K30" s="121"/>
      <c r="L30" s="2467"/>
      <c r="M30" s="2468"/>
    </row>
    <row r="31" spans="1:37" ht="18" customHeight="1">
      <c r="A31" s="926" t="s">
        <v>398</v>
      </c>
      <c r="B31" s="294" t="s">
        <v>719</v>
      </c>
      <c r="C31" s="2137">
        <f ca="1">ROUND(IF(AND(项目基本情况!B11="自然人",项目基本情况!B10="北京市"),C6*F31/(1+'数据-取费表'!C42),C32+C33+C34),2)</f>
        <v>0</v>
      </c>
      <c r="D31" s="1255" t="s">
        <v>720</v>
      </c>
      <c r="E31" s="1254" t="s">
        <v>770</v>
      </c>
      <c r="F31" s="2136" t="str">
        <f>IF(项目基本情况!B11="企业","——",IF(M47="住宅",IF(F6*F7*F8/12/(1+'数据-取费表'!F30)&gt;100000,4%,2.5%),IF(F6*F7*F8/12/(1+'数据-取费表'!F30)&gt;100000,12%,7%)))</f>
        <v>——</v>
      </c>
      <c r="G31" s="1290"/>
      <c r="H31" s="2565" t="s">
        <v>2301</v>
      </c>
      <c r="I31" s="1303"/>
      <c r="J31" s="1304"/>
      <c r="K31" s="121"/>
      <c r="L31" s="2467"/>
      <c r="M31" s="2468"/>
    </row>
    <row r="32" spans="1:37" ht="18" customHeight="1">
      <c r="A32" s="926" t="s">
        <v>397</v>
      </c>
      <c r="B32" s="294" t="s">
        <v>723</v>
      </c>
      <c r="C32" s="21">
        <f ca="1">IF(项目基本情况!B11="自然人","——",ROUND(C6*F32/(1+'数据-取费表'!C42),2))</f>
        <v>0</v>
      </c>
      <c r="D32" s="1254" t="s">
        <v>724</v>
      </c>
      <c r="E32" s="294" t="s">
        <v>712</v>
      </c>
      <c r="F32" s="322">
        <f>'数据-取费表'!B41</f>
        <v>5.6000000000000001E-2</v>
      </c>
      <c r="G32" s="1290"/>
      <c r="H32" s="2466"/>
      <c r="I32" s="1303"/>
      <c r="J32" s="1304"/>
      <c r="K32" s="121"/>
      <c r="L32" s="2467"/>
      <c r="M32" s="2468"/>
    </row>
    <row r="33" spans="1:18" ht="18" customHeight="1">
      <c r="A33" s="926" t="s">
        <v>399</v>
      </c>
      <c r="B33" s="294" t="s">
        <v>727</v>
      </c>
      <c r="C33" s="21">
        <f ca="1">IF(项目基本情况!B11="自然人","——",IF(D33="按租金收入计税",ROUND(C6*F33/(1+'数据-取费表'!C42),2),IF(D33="按房产原值计税",ROUND(C29*F33*0.7,2),INDIRECT("'数据-取费表'!Aj"&amp;$G$1))))</f>
        <v>0</v>
      </c>
      <c r="D33" s="1276" t="s">
        <v>3330</v>
      </c>
      <c r="E33" s="294" t="s">
        <v>712</v>
      </c>
      <c r="F33" s="314">
        <f>IF(D33="按票据","——",IF(D33="按租金收入计税",'数据-取费表'!B51,'数据-取费表'!B50))</f>
        <v>0.12</v>
      </c>
      <c r="G33" s="1290"/>
      <c r="H33" s="2469"/>
      <c r="I33" s="1303"/>
      <c r="J33" s="1304"/>
      <c r="K33" s="2470"/>
      <c r="L33" s="2469"/>
      <c r="M33" s="2469"/>
    </row>
    <row r="34" spans="1:18" ht="18" customHeight="1">
      <c r="A34" s="1004" t="s">
        <v>680</v>
      </c>
      <c r="B34" s="147" t="s">
        <v>730</v>
      </c>
      <c r="C34" s="22">
        <f ca="1">IF(项目基本情况!B11="自然人","——",ROUND(F34*F35/10000,2))</f>
        <v>0</v>
      </c>
      <c r="D34" s="316" t="s">
        <v>731</v>
      </c>
      <c r="E34" s="294" t="s">
        <v>732</v>
      </c>
      <c r="F34" s="317">
        <f>'数据-取费表'!B52</f>
        <v>3</v>
      </c>
      <c r="G34" s="1290"/>
      <c r="H34" s="2466"/>
      <c r="I34" s="1303"/>
      <c r="J34" s="1304"/>
      <c r="K34" s="2471"/>
      <c r="L34" s="2472"/>
      <c r="M34" s="2472"/>
    </row>
    <row r="35" spans="1:18" ht="18" customHeight="1">
      <c r="A35" s="1038"/>
      <c r="B35" s="1036"/>
      <c r="C35" s="26"/>
      <c r="D35" s="319"/>
      <c r="E35" s="294" t="s">
        <v>736</v>
      </c>
      <c r="F35" s="295">
        <f ca="1">INDIRECT("'数据-取费表'!r"&amp;$G$1)</f>
        <v>0</v>
      </c>
      <c r="G35" s="1290"/>
      <c r="H35" s="2466"/>
      <c r="I35" s="1303"/>
      <c r="J35" s="1304"/>
      <c r="K35" s="2470"/>
      <c r="L35" s="2469"/>
      <c r="M35" s="2469"/>
    </row>
    <row r="36" spans="1:18" ht="18" customHeight="1">
      <c r="A36" s="1037" t="s">
        <v>402</v>
      </c>
      <c r="B36" s="294" t="s">
        <v>738</v>
      </c>
      <c r="C36" s="21">
        <f ca="1">ROUND(C29*F36,2)</f>
        <v>0</v>
      </c>
      <c r="D36" s="1254" t="s">
        <v>771</v>
      </c>
      <c r="E36" s="294" t="s">
        <v>712</v>
      </c>
      <c r="F36" s="320">
        <f ca="1">INDIRECT("'数据-取费表'!Ak"&amp;$G$1)</f>
        <v>0</v>
      </c>
      <c r="G36" s="1290"/>
      <c r="H36" s="2469"/>
      <c r="I36" s="1303"/>
      <c r="J36" s="1304"/>
      <c r="K36" s="2327"/>
      <c r="L36" s="2469"/>
      <c r="M36" s="2469"/>
    </row>
    <row r="37" spans="1:18" ht="18" customHeight="1">
      <c r="A37" s="926" t="s">
        <v>437</v>
      </c>
      <c r="B37" s="294" t="s">
        <v>742</v>
      </c>
      <c r="C37" s="21">
        <f ca="1">ROUND(C13*F37,2)</f>
        <v>0</v>
      </c>
      <c r="D37" s="1254" t="s">
        <v>743</v>
      </c>
      <c r="E37" s="294" t="s">
        <v>744</v>
      </c>
      <c r="F37" s="321">
        <f ca="1">INDIRECT("'数据-取费表'!Al"&amp;$G$1)</f>
        <v>0</v>
      </c>
      <c r="G37" s="1290"/>
      <c r="H37" s="2469"/>
      <c r="I37" s="1303"/>
      <c r="J37" s="1304"/>
      <c r="K37" s="2327"/>
      <c r="L37" s="2469"/>
      <c r="M37" s="2469"/>
    </row>
    <row r="38" spans="1:18" ht="18" customHeight="1" thickBot="1">
      <c r="A38" s="1024" t="s">
        <v>684</v>
      </c>
      <c r="B38" s="1025" t="s">
        <v>728</v>
      </c>
      <c r="C38" s="1026">
        <f ca="1">ROUND(C5*F38,2)</f>
        <v>0</v>
      </c>
      <c r="D38" s="1027" t="s">
        <v>748</v>
      </c>
      <c r="E38" s="1025" t="s">
        <v>744</v>
      </c>
      <c r="F38" s="1021">
        <f ca="1">INDIRECT("'数据-取费表'!Am"&amp;$G$1)</f>
        <v>0</v>
      </c>
      <c r="G38" s="1290"/>
      <c r="H38" s="2469"/>
      <c r="I38" s="1303"/>
      <c r="J38" s="1304"/>
      <c r="K38" s="2467"/>
      <c r="L38" s="2469"/>
      <c r="M38" s="2469"/>
    </row>
    <row r="39" spans="1:18" ht="24.6" customHeight="1" thickTop="1">
      <c r="A39" s="1014" t="s">
        <v>394</v>
      </c>
      <c r="B39" s="1029" t="s">
        <v>772</v>
      </c>
      <c r="C39" s="302">
        <f ca="1">C5-C30</f>
        <v>0</v>
      </c>
      <c r="D39" s="1030" t="s">
        <v>773</v>
      </c>
      <c r="E39" s="1031"/>
      <c r="F39" s="1032"/>
      <c r="G39" s="1290"/>
      <c r="H39" s="2469"/>
      <c r="I39" s="1303"/>
      <c r="J39" s="1304"/>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90"/>
      <c r="H40" s="1364"/>
      <c r="I40" s="1303"/>
      <c r="J40" s="1304"/>
      <c r="K40" s="2467"/>
      <c r="L40" s="1364"/>
      <c r="M40" s="1364"/>
    </row>
    <row r="41" spans="1:18" ht="18" customHeight="1">
      <c r="A41" s="296"/>
      <c r="B41" s="297"/>
      <c r="C41" s="298"/>
      <c r="D41" s="323" t="s">
        <v>775</v>
      </c>
      <c r="E41" s="294" t="s">
        <v>763</v>
      </c>
      <c r="F41" s="324">
        <f ca="1">IF(INDIRECT("'数据-取费表'!af"&amp;$G$1)=0,INDIRECT("'数据-取费表'!ae"&amp;$G$1),INDIRECT("'数据-取费表'!af"&amp;$G$1))</f>
        <v>0</v>
      </c>
      <c r="G41" s="1290"/>
      <c r="H41" s="121"/>
      <c r="I41" s="1303"/>
      <c r="J41" s="1304"/>
      <c r="K41" s="2327"/>
      <c r="L41" s="121"/>
      <c r="M41" s="121"/>
    </row>
    <row r="42" spans="1:18" ht="18" customHeight="1">
      <c r="A42" s="300"/>
      <c r="B42" s="301"/>
      <c r="C42" s="302"/>
      <c r="D42" s="319"/>
      <c r="E42" s="294" t="s">
        <v>766</v>
      </c>
      <c r="F42" s="304">
        <f ca="1">INDIRECT("'数据-取费表'!v"&amp;$G$1)</f>
        <v>0</v>
      </c>
      <c r="G42" s="1290"/>
      <c r="H42" s="121"/>
      <c r="I42" s="1303"/>
      <c r="J42" s="1304"/>
      <c r="K42" s="2327"/>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0"/>
      <c r="H43" s="121"/>
      <c r="I43" s="121"/>
      <c r="J43" s="121"/>
      <c r="K43" s="2327"/>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5"/>
      <c r="O45" s="2473" t="s">
        <v>808</v>
      </c>
      <c r="P45" s="1364"/>
      <c r="Q45" s="1364"/>
      <c r="R45" s="1364"/>
    </row>
    <row r="46" spans="1:18" s="1290" customFormat="1" ht="13.8"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8" thickBot="1">
      <c r="A47" s="890" t="s">
        <v>687</v>
      </c>
      <c r="B47" s="922" t="s">
        <v>688</v>
      </c>
      <c r="C47" s="1052" t="s">
        <v>689</v>
      </c>
      <c r="D47" s="922" t="s">
        <v>690</v>
      </c>
      <c r="E47" s="993" t="s">
        <v>691</v>
      </c>
      <c r="F47" s="994"/>
      <c r="G47" s="681"/>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40.200000000000003" thickBot="1">
      <c r="A48" s="1045" t="s">
        <v>438</v>
      </c>
      <c r="B48" s="292" t="s">
        <v>692</v>
      </c>
      <c r="C48" s="1266">
        <f ca="1">C49+C53+C55</f>
        <v>0</v>
      </c>
      <c r="D48" s="1047"/>
      <c r="E48" s="1048"/>
      <c r="F48" s="906"/>
      <c r="G48" s="681"/>
      <c r="H48" s="682"/>
      <c r="I48" s="1326" t="s">
        <v>819</v>
      </c>
      <c r="J48" s="1327"/>
      <c r="K48" s="1328" t="s">
        <v>820</v>
      </c>
      <c r="L48" s="1329">
        <f ca="1">INDIRECT("'数据-取费表'!f"&amp;$G$1)</f>
        <v>0</v>
      </c>
      <c r="O48" s="1323" t="s">
        <v>404</v>
      </c>
      <c r="P48" s="1324" t="s">
        <v>821</v>
      </c>
      <c r="Q48" s="1325" t="e">
        <f ca="1">J60</f>
        <v>#DIV/0!</v>
      </c>
      <c r="R48" s="1325" t="s">
        <v>822</v>
      </c>
    </row>
    <row r="49" spans="1:18" s="1290" customFormat="1" ht="13.8" thickBot="1">
      <c r="A49" s="919" t="s">
        <v>439</v>
      </c>
      <c r="B49" s="1277" t="s">
        <v>779</v>
      </c>
      <c r="C49" s="1049">
        <f ca="1">ROUND(F49*F51*F50*(1-F52)/10000,0)</f>
        <v>0</v>
      </c>
      <c r="D49" s="990" t="s">
        <v>2105</v>
      </c>
      <c r="E49" s="1278" t="s">
        <v>780</v>
      </c>
      <c r="F49" s="995"/>
      <c r="H49" s="682"/>
      <c r="I49" s="1326" t="s">
        <v>823</v>
      </c>
      <c r="J49" s="1330"/>
      <c r="K49" s="1328" t="s">
        <v>824</v>
      </c>
      <c r="L49" s="1331"/>
      <c r="O49" s="1332" t="s">
        <v>405</v>
      </c>
      <c r="P49" s="1324" t="s">
        <v>825</v>
      </c>
      <c r="Q49" s="1325">
        <f ca="1">C29</f>
        <v>0</v>
      </c>
      <c r="R49" s="1325" t="s">
        <v>818</v>
      </c>
    </row>
    <row r="50" spans="1:18" s="1290" customFormat="1" ht="13.8" thickBot="1">
      <c r="A50" s="920"/>
      <c r="B50" s="923"/>
      <c r="C50" s="1053"/>
      <c r="D50" s="897"/>
      <c r="E50" s="991" t="s">
        <v>697</v>
      </c>
      <c r="F50" s="992">
        <f ca="1">F7</f>
        <v>0</v>
      </c>
      <c r="H50" s="682"/>
      <c r="I50" s="1326" t="s">
        <v>826</v>
      </c>
      <c r="J50" s="1333">
        <f>SUMPRODUCT((I63:I65=J47)*(J62:L62=J48)*(J63:L65))</f>
        <v>0</v>
      </c>
      <c r="K50" s="1328" t="s">
        <v>827</v>
      </c>
      <c r="L50" s="1331"/>
      <c r="M50" s="1334"/>
      <c r="O50" s="1332" t="s">
        <v>406</v>
      </c>
      <c r="P50" s="1324" t="s">
        <v>828</v>
      </c>
      <c r="Q50" s="1335" t="e">
        <f ca="1">J58</f>
        <v>#DIV/0!</v>
      </c>
      <c r="R50" s="1325"/>
    </row>
    <row r="51" spans="1:18" s="1290" customFormat="1" ht="13.8" thickBot="1">
      <c r="A51" s="921"/>
      <c r="B51" s="923"/>
      <c r="C51" s="924"/>
      <c r="D51" s="897"/>
      <c r="E51" s="925" t="s">
        <v>698</v>
      </c>
      <c r="F51" s="295">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8" thickBot="1">
      <c r="A52" s="921"/>
      <c r="B52" s="923"/>
      <c r="C52" s="924"/>
      <c r="D52" s="897"/>
      <c r="E52" s="925" t="s">
        <v>699</v>
      </c>
      <c r="F52" s="989"/>
      <c r="I52" s="1340" t="s">
        <v>832</v>
      </c>
      <c r="J52" s="1341"/>
      <c r="K52" s="1340" t="s">
        <v>833</v>
      </c>
      <c r="L52" s="1341"/>
      <c r="O52" s="1332" t="s">
        <v>408</v>
      </c>
      <c r="P52" s="1324" t="s">
        <v>834</v>
      </c>
      <c r="Q52" s="1325">
        <f ca="1">J53</f>
        <v>0</v>
      </c>
      <c r="R52" s="1325" t="s">
        <v>835</v>
      </c>
    </row>
    <row r="53" spans="1:18" s="1290" customFormat="1" ht="36.6" thickBot="1">
      <c r="A53" s="1077" t="s">
        <v>440</v>
      </c>
      <c r="B53" s="1279" t="s">
        <v>700</v>
      </c>
      <c r="C53" s="308">
        <f ca="1">ROUND(IF(F53="押一",C49/12*F11,IF(F53="押二",C49/12*2*F11,IF(F53="押三",C49/12*3*F11,C54*F11))),0)</f>
        <v>0</v>
      </c>
      <c r="D53" s="150" t="s">
        <v>2111</v>
      </c>
      <c r="E53" s="305" t="s">
        <v>701</v>
      </c>
      <c r="F53" s="1051"/>
      <c r="I53" s="1342" t="s">
        <v>836</v>
      </c>
      <c r="J53" s="2003">
        <f ca="1">IF(M47="住宅",IF(D1="——",MAX(J51,L48),MAX(J51,L48-'数据-取费表'!B24)),IF(D1="——",MIN(J51,L48),MIN(J51,L48-'数据-取费表'!B24)))</f>
        <v>0</v>
      </c>
      <c r="K53" s="3416" t="s">
        <v>837</v>
      </c>
      <c r="L53" s="3417"/>
      <c r="O53" s="1323" t="s">
        <v>409</v>
      </c>
      <c r="P53" s="1324" t="s">
        <v>838</v>
      </c>
      <c r="Q53" s="1325" t="e">
        <f ca="1">Q47+Q48</f>
        <v>#DIV/0!</v>
      </c>
      <c r="R53" s="1325" t="s">
        <v>410</v>
      </c>
    </row>
    <row r="54" spans="1:18" s="1290" customFormat="1" ht="24.6" thickBot="1">
      <c r="A54" s="1078"/>
      <c r="B54" s="1273" t="s">
        <v>679</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8" thickBot="1">
      <c r="A55" s="1018" t="s">
        <v>437</v>
      </c>
      <c r="B55" s="1275" t="s">
        <v>703</v>
      </c>
      <c r="C55" s="1019"/>
      <c r="D55" s="150"/>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37.200000000000003" thickTop="1" thickBot="1">
      <c r="A56" s="901">
        <v>2</v>
      </c>
      <c r="B56" s="902" t="s">
        <v>704</v>
      </c>
      <c r="C56" s="224">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6" thickBot="1">
      <c r="A57" s="1354"/>
      <c r="B57" s="894" t="s">
        <v>767</v>
      </c>
      <c r="C57" s="230">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6" thickBot="1">
      <c r="A58" s="307" t="s">
        <v>393</v>
      </c>
      <c r="B58" s="902" t="s">
        <v>714</v>
      </c>
      <c r="C58" s="308">
        <f ca="1">ROUND(C59+C64+C65+C66,0)</f>
        <v>0</v>
      </c>
      <c r="D58" s="904" t="s">
        <v>715</v>
      </c>
      <c r="E58" s="905"/>
      <c r="F58" s="906"/>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6" t="s">
        <v>398</v>
      </c>
      <c r="B59" s="894" t="s">
        <v>719</v>
      </c>
      <c r="C59" s="2137">
        <f ca="1">ROUND(IF(AND(项目基本情况!B11="自然人",项目基本情况!B10="北京市"),C49*F59/(1+'数据-取费表'!C42),C60+C61+C62),0)</f>
        <v>0</v>
      </c>
      <c r="D59" s="907" t="s">
        <v>720</v>
      </c>
      <c r="E59" s="908" t="s">
        <v>721</v>
      </c>
      <c r="F59" s="2136" t="str">
        <f>IF(项目基本情况!B11="企业","——",IF('数据-取费表'!B10="住宅",IF(F49*F50*F51/12/(1+'数据-取费表'!F30)&gt;100000,4%,2.5%),IF(F49*F50*F51/12/(1+'数据-取费表'!F30)&gt;100000,12%,7%)))</f>
        <v>——</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2" thickBot="1">
      <c r="A60" s="926" t="s">
        <v>397</v>
      </c>
      <c r="B60" s="894" t="s">
        <v>723</v>
      </c>
      <c r="C60" s="21">
        <f ca="1">IF(项目基本情况!B11="自然人","——",ROUND(C48*F60/(1+'数据-取费表'!C42),2))</f>
        <v>0</v>
      </c>
      <c r="D60" s="908" t="s">
        <v>724</v>
      </c>
      <c r="E60" s="894" t="s">
        <v>712</v>
      </c>
      <c r="F60" s="322">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8" thickBot="1">
      <c r="A61" s="926" t="s">
        <v>781</v>
      </c>
      <c r="B61" s="894" t="s">
        <v>782</v>
      </c>
      <c r="C61" s="21">
        <f ca="1">IF(项目基本情况!B11="自然人","——",IF(D61="按租金收入计税",ROUND(C49*F61/(1+'数据-取费表'!C42),2),IF(D61="按房产原值计税",ROUND(C57*F61*0.7,2),INDIRECT("'数据-取费表'!Aj"&amp;$G$1))))</f>
        <v>0</v>
      </c>
      <c r="D61" s="1276" t="s">
        <v>3330</v>
      </c>
      <c r="E61" s="894"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6" t="s">
        <v>784</v>
      </c>
      <c r="B62" s="893" t="s">
        <v>785</v>
      </c>
      <c r="C62" s="22">
        <f ca="1">IF(项目基本情况!B11="自然人","——",ROUND(F62*F63/10000,2))</f>
        <v>0</v>
      </c>
      <c r="D62" s="909" t="s">
        <v>786</v>
      </c>
      <c r="E62" s="894" t="s">
        <v>787</v>
      </c>
      <c r="F62" s="317">
        <f t="shared" si="0"/>
        <v>3</v>
      </c>
      <c r="I62" s="1365" t="s">
        <v>858</v>
      </c>
      <c r="J62" s="610" t="s">
        <v>859</v>
      </c>
      <c r="K62" s="610" t="s">
        <v>860</v>
      </c>
      <c r="L62" s="610" t="s">
        <v>861</v>
      </c>
      <c r="M62" s="1366" t="s">
        <v>862</v>
      </c>
      <c r="O62" s="1323" t="s">
        <v>409</v>
      </c>
      <c r="P62" s="1324" t="s">
        <v>863</v>
      </c>
      <c r="Q62" s="1325" t="e">
        <f ca="1">Q56+Q57</f>
        <v>#DIV/0!</v>
      </c>
      <c r="R62" s="1325" t="s">
        <v>410</v>
      </c>
    </row>
    <row r="63" spans="1:18" s="1290" customFormat="1" ht="13.8" thickBot="1">
      <c r="A63" s="318"/>
      <c r="B63" s="900"/>
      <c r="C63" s="26"/>
      <c r="D63" s="910"/>
      <c r="E63" s="894" t="s">
        <v>788</v>
      </c>
      <c r="F63" s="295">
        <f t="shared" ca="1" si="0"/>
        <v>0</v>
      </c>
      <c r="I63" s="1365" t="s">
        <v>864</v>
      </c>
      <c r="J63" s="610">
        <v>70</v>
      </c>
      <c r="K63" s="610">
        <v>50</v>
      </c>
      <c r="L63" s="610">
        <v>80</v>
      </c>
      <c r="M63" s="1367">
        <v>0.02</v>
      </c>
      <c r="O63" s="1308" t="s">
        <v>865</v>
      </c>
      <c r="P63" s="1287"/>
      <c r="Q63" s="1287"/>
      <c r="R63" s="1287"/>
    </row>
    <row r="64" spans="1:18" s="1290" customFormat="1" ht="13.8" thickBot="1">
      <c r="A64" s="926" t="s">
        <v>789</v>
      </c>
      <c r="B64" s="894" t="s">
        <v>790</v>
      </c>
      <c r="C64" s="21">
        <f ca="1">ROUND(C57*F64,2)</f>
        <v>0</v>
      </c>
      <c r="D64" s="908" t="s">
        <v>791</v>
      </c>
      <c r="E64" s="894" t="s">
        <v>783</v>
      </c>
      <c r="F64" s="320">
        <f t="shared" ca="1" si="0"/>
        <v>0</v>
      </c>
      <c r="I64" s="1365" t="s">
        <v>866</v>
      </c>
      <c r="J64" s="610">
        <v>50</v>
      </c>
      <c r="K64" s="610">
        <v>35</v>
      </c>
      <c r="L64" s="610">
        <v>60</v>
      </c>
      <c r="M64" s="1366">
        <v>0</v>
      </c>
      <c r="O64" s="1316" t="s">
        <v>811</v>
      </c>
      <c r="P64" s="1317" t="s">
        <v>812</v>
      </c>
      <c r="Q64" s="1318" t="s">
        <v>813</v>
      </c>
      <c r="R64" s="1318" t="s">
        <v>814</v>
      </c>
    </row>
    <row r="65" spans="1:18" s="1290" customFormat="1" ht="13.8" thickBot="1">
      <c r="A65" s="926" t="s">
        <v>792</v>
      </c>
      <c r="B65" s="894" t="s">
        <v>742</v>
      </c>
      <c r="C65" s="21">
        <f ca="1">ROUND(C56*F65,2)</f>
        <v>0</v>
      </c>
      <c r="D65" s="908" t="s">
        <v>743</v>
      </c>
      <c r="E65" s="894" t="s">
        <v>744</v>
      </c>
      <c r="F65" s="321">
        <f t="shared" ca="1" si="0"/>
        <v>0</v>
      </c>
      <c r="I65" s="1365" t="s">
        <v>867</v>
      </c>
      <c r="J65" s="610">
        <v>40</v>
      </c>
      <c r="K65" s="610">
        <v>30</v>
      </c>
      <c r="L65" s="610">
        <v>50</v>
      </c>
      <c r="M65" s="1367">
        <v>0.02</v>
      </c>
      <c r="O65" s="1323" t="s">
        <v>403</v>
      </c>
      <c r="P65" s="1324" t="s">
        <v>868</v>
      </c>
      <c r="Q65" s="1325" t="e">
        <f ca="1">C40+J29</f>
        <v>#DIV/0!</v>
      </c>
      <c r="R65" s="1325" t="s">
        <v>818</v>
      </c>
    </row>
    <row r="66" spans="1:18" s="1290" customFormat="1" ht="16.2" thickBot="1">
      <c r="A66" s="926" t="s">
        <v>793</v>
      </c>
      <c r="B66" s="894" t="s">
        <v>728</v>
      </c>
      <c r="C66" s="21">
        <f ca="1">ROUND(C48*F66,2)</f>
        <v>0</v>
      </c>
      <c r="D66" s="908" t="s">
        <v>794</v>
      </c>
      <c r="E66" s="894" t="s">
        <v>712</v>
      </c>
      <c r="F66" s="304">
        <f t="shared" ca="1" si="0"/>
        <v>0</v>
      </c>
      <c r="O66" s="1323" t="s">
        <v>404</v>
      </c>
      <c r="P66" s="1324" t="s">
        <v>846</v>
      </c>
      <c r="Q66" s="1325" t="e">
        <f ca="1">L60</f>
        <v>#DIV/0!</v>
      </c>
      <c r="R66" s="1325" t="s">
        <v>869</v>
      </c>
    </row>
    <row r="67" spans="1:18" s="1290" customFormat="1" ht="24.6" thickBot="1">
      <c r="A67" s="901" t="s">
        <v>394</v>
      </c>
      <c r="B67" s="911" t="s">
        <v>752</v>
      </c>
      <c r="C67" s="308">
        <f ca="1">C48-C58</f>
        <v>0</v>
      </c>
      <c r="D67" s="907" t="s">
        <v>753</v>
      </c>
      <c r="E67" s="912"/>
      <c r="F67" s="913"/>
      <c r="O67" s="1332" t="s">
        <v>405</v>
      </c>
      <c r="P67" s="1324" t="s">
        <v>850</v>
      </c>
      <c r="Q67" s="1368">
        <f ca="1">L51</f>
        <v>0</v>
      </c>
      <c r="R67" s="1325" t="s">
        <v>870</v>
      </c>
    </row>
    <row r="68" spans="1:18" s="1290" customFormat="1" ht="16.2" thickBot="1">
      <c r="A68" s="891" t="s">
        <v>395</v>
      </c>
      <c r="B68" s="892" t="s">
        <v>774</v>
      </c>
      <c r="C68" s="293" t="e">
        <f ca="1">ROUND(C67*(1-((1+F70)/(1+F68))^F69)/(F68-F70),0)</f>
        <v>#DIV/0!</v>
      </c>
      <c r="D68" s="909" t="s">
        <v>758</v>
      </c>
      <c r="E68" s="894" t="s">
        <v>759</v>
      </c>
      <c r="F68" s="304">
        <f ca="1">F40</f>
        <v>0</v>
      </c>
      <c r="O68" s="1332" t="s">
        <v>406</v>
      </c>
      <c r="P68" s="1369" t="s">
        <v>871</v>
      </c>
      <c r="Q68" s="1325">
        <f ca="1">ROUND(Q69-Q70*Q71,0)</f>
        <v>0</v>
      </c>
      <c r="R68" s="1325" t="s">
        <v>414</v>
      </c>
    </row>
    <row r="69" spans="1:18" s="1290" customFormat="1" ht="13.8" thickBot="1">
      <c r="A69" s="895"/>
      <c r="B69" s="896"/>
      <c r="C69" s="298"/>
      <c r="D69" s="914" t="s">
        <v>762</v>
      </c>
      <c r="E69" s="894" t="s">
        <v>763</v>
      </c>
      <c r="F69" s="324">
        <f ca="1">F41</f>
        <v>0</v>
      </c>
      <c r="O69" s="1332" t="s">
        <v>411</v>
      </c>
      <c r="P69" s="1369" t="s">
        <v>872</v>
      </c>
      <c r="Q69" s="1325">
        <f ca="1">C39</f>
        <v>0</v>
      </c>
      <c r="R69" s="1325" t="s">
        <v>818</v>
      </c>
    </row>
    <row r="70" spans="1:18" s="1290" customFormat="1" ht="13.8" thickBot="1">
      <c r="A70" s="898"/>
      <c r="B70" s="899"/>
      <c r="C70" s="302"/>
      <c r="D70" s="910"/>
      <c r="E70" s="894" t="s">
        <v>766</v>
      </c>
      <c r="F70" s="989"/>
      <c r="O70" s="1332" t="s">
        <v>412</v>
      </c>
      <c r="P70" s="1369" t="s">
        <v>873</v>
      </c>
      <c r="Q70" s="1325">
        <f ca="1">C13</f>
        <v>0</v>
      </c>
      <c r="R70" s="1325" t="s">
        <v>818</v>
      </c>
    </row>
    <row r="71" spans="1:18" s="1290" customFormat="1" ht="13.8" thickBot="1">
      <c r="A71" s="915" t="s">
        <v>396</v>
      </c>
      <c r="B71" s="916" t="s">
        <v>776</v>
      </c>
      <c r="C71" s="327" t="e">
        <f ca="1">ROUND(C68*10000/F71,0)</f>
        <v>#DIV/0!</v>
      </c>
      <c r="D71" s="917" t="s">
        <v>777</v>
      </c>
      <c r="E71" s="918" t="s">
        <v>778</v>
      </c>
      <c r="F71" s="330">
        <f ca="1">F43</f>
        <v>0</v>
      </c>
      <c r="O71" s="1332" t="s">
        <v>413</v>
      </c>
      <c r="P71" s="1369" t="s">
        <v>874</v>
      </c>
      <c r="Q71" s="1335">
        <f ca="1">C76</f>
        <v>0</v>
      </c>
      <c r="R71" s="1325"/>
    </row>
    <row r="72" spans="1:18" s="1290" customFormat="1" ht="13.8" thickBot="1">
      <c r="B72" s="685"/>
      <c r="C72" s="685"/>
      <c r="O72" s="1332" t="s">
        <v>407</v>
      </c>
      <c r="P72" s="1324" t="s">
        <v>852</v>
      </c>
      <c r="Q72" s="1335">
        <f>L52</f>
        <v>0</v>
      </c>
      <c r="R72" s="1325"/>
    </row>
    <row r="73" spans="1:18" ht="16.2" thickBot="1">
      <c r="A73" s="1290"/>
      <c r="B73" s="685"/>
      <c r="C73" s="685"/>
      <c r="D73" s="1290"/>
      <c r="E73" s="1290"/>
      <c r="F73" s="1290"/>
      <c r="O73" s="1332" t="s">
        <v>408</v>
      </c>
      <c r="P73" s="1324" t="s">
        <v>855</v>
      </c>
      <c r="Q73" s="1325" t="e">
        <f ca="1">L58</f>
        <v>#DIV/0!</v>
      </c>
      <c r="R73" s="1325" t="s">
        <v>856</v>
      </c>
    </row>
    <row r="74" spans="1:18" ht="13.8"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31" t="s">
        <v>795</v>
      </c>
      <c r="C75" s="332">
        <f ca="1">ROUND(C13*C76,0)</f>
        <v>0</v>
      </c>
      <c r="D75" s="1290"/>
      <c r="E75" s="1290"/>
      <c r="F75" s="1290"/>
      <c r="K75" s="1307"/>
      <c r="L75" s="1290"/>
      <c r="O75" s="1323" t="s">
        <v>409</v>
      </c>
      <c r="P75" s="1324" t="s">
        <v>838</v>
      </c>
      <c r="Q75" s="1325" t="e">
        <f ca="1">Q65+Q66</f>
        <v>#DIV/0!</v>
      </c>
      <c r="R75" s="1325" t="s">
        <v>410</v>
      </c>
    </row>
    <row r="76" spans="1:18">
      <c r="B76" s="333" t="s">
        <v>796</v>
      </c>
      <c r="C76" s="334">
        <f ca="1">INDIRECT("'数据-取费表'!j"&amp;$G$1)</f>
        <v>0</v>
      </c>
      <c r="I76" s="1290"/>
      <c r="J76" s="1290"/>
      <c r="K76" s="1307"/>
      <c r="L76" s="1290"/>
    </row>
    <row r="77" spans="1:18">
      <c r="B77" s="335" t="s">
        <v>797</v>
      </c>
      <c r="C77" s="336"/>
      <c r="I77" s="1290"/>
      <c r="J77" s="1290"/>
      <c r="K77" s="1307"/>
      <c r="L77" s="1290"/>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7">
      <formula>$J$51&gt;$L$48</formula>
    </cfRule>
  </conditionalFormatting>
  <conditionalFormatting sqref="J11">
    <cfRule type="expression" dxfId="107" priority="2">
      <formula>$M$10="自定义"</formula>
    </cfRule>
  </conditionalFormatting>
  <conditionalFormatting sqref="K55 K60">
    <cfRule type="expression" dxfId="106"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629F3-4B1A-4C53-8E2F-AE783F77D7AF}">
  <sheetPr>
    <tabColor rgb="FF7030A0"/>
  </sheetPr>
  <dimension ref="A2:G19"/>
  <sheetViews>
    <sheetView topLeftCell="A4" workbookViewId="0">
      <selection activeCell="A16" sqref="A16:F19"/>
    </sheetView>
  </sheetViews>
  <sheetFormatPr defaultRowHeight="14.4"/>
  <cols>
    <col min="3" max="3" width="11.5546875" customWidth="1"/>
  </cols>
  <sheetData>
    <row r="2" spans="1:7">
      <c r="A2" s="1403" t="s">
        <v>3575</v>
      </c>
    </row>
    <row r="3" spans="1:7">
      <c r="A3" s="3172" t="s">
        <v>3576</v>
      </c>
      <c r="D3" s="1403" t="s">
        <v>3609</v>
      </c>
    </row>
    <row r="4" spans="1:7">
      <c r="A4" s="1403" t="s">
        <v>3577</v>
      </c>
      <c r="C4" s="1403" t="s">
        <v>3588</v>
      </c>
      <c r="D4" s="1403" t="s">
        <v>3591</v>
      </c>
    </row>
    <row r="5" spans="1:7">
      <c r="A5" s="1403" t="s">
        <v>3383</v>
      </c>
      <c r="B5" s="1403" t="s">
        <v>3578</v>
      </c>
      <c r="C5" s="1403" t="s">
        <v>3384</v>
      </c>
      <c r="D5" s="1403" t="s">
        <v>3583</v>
      </c>
      <c r="E5" s="1403" t="s">
        <v>3589</v>
      </c>
      <c r="F5" s="1403" t="s">
        <v>3475</v>
      </c>
      <c r="G5" s="1403" t="s">
        <v>3585</v>
      </c>
    </row>
    <row r="6" spans="1:7">
      <c r="A6">
        <v>285</v>
      </c>
      <c r="B6">
        <v>1585</v>
      </c>
      <c r="C6">
        <f>ROUND(B6*10000/A6,0)</f>
        <v>55614</v>
      </c>
      <c r="D6" s="3181" t="s">
        <v>3584</v>
      </c>
      <c r="E6" s="1403" t="s">
        <v>3590</v>
      </c>
      <c r="F6">
        <f>ROUND(770000/(A6-90)/365,2)</f>
        <v>10.82</v>
      </c>
      <c r="G6" s="1403" t="s">
        <v>3593</v>
      </c>
    </row>
    <row r="7" spans="1:7">
      <c r="A7">
        <v>245</v>
      </c>
      <c r="B7">
        <v>1455</v>
      </c>
      <c r="C7">
        <f t="shared" ref="C7:C8" si="0">ROUND(B7*10000/A7,0)</f>
        <v>59388</v>
      </c>
      <c r="D7" s="3181" t="s">
        <v>3584</v>
      </c>
      <c r="E7" s="1403" t="s">
        <v>3590</v>
      </c>
      <c r="G7" s="1403" t="s">
        <v>3586</v>
      </c>
    </row>
    <row r="8" spans="1:7">
      <c r="A8">
        <v>322</v>
      </c>
      <c r="B8">
        <v>1650</v>
      </c>
      <c r="C8">
        <f t="shared" si="0"/>
        <v>51242</v>
      </c>
      <c r="D8" s="3181" t="s">
        <v>3584</v>
      </c>
      <c r="E8" s="1403" t="s">
        <v>3590</v>
      </c>
      <c r="G8" s="1403" t="s">
        <v>3587</v>
      </c>
    </row>
    <row r="12" spans="1:7">
      <c r="A12" s="3172" t="s">
        <v>3517</v>
      </c>
      <c r="B12" s="1403" t="s">
        <v>3564</v>
      </c>
    </row>
    <row r="13" spans="1:7">
      <c r="B13" s="1403" t="s">
        <v>3518</v>
      </c>
    </row>
    <row r="14" spans="1:7">
      <c r="B14" s="1403" t="s">
        <v>3519</v>
      </c>
    </row>
    <row r="16" spans="1:7">
      <c r="B16" s="1403" t="s">
        <v>3475</v>
      </c>
      <c r="C16" s="1403" t="s">
        <v>3592</v>
      </c>
    </row>
    <row r="17" spans="1:6">
      <c r="A17" s="3172" t="s">
        <v>3490</v>
      </c>
      <c r="B17" s="3154">
        <v>8</v>
      </c>
      <c r="C17" s="3154">
        <v>100</v>
      </c>
      <c r="D17" s="3172" t="s">
        <v>3563</v>
      </c>
      <c r="E17" s="3154"/>
      <c r="F17">
        <v>60</v>
      </c>
    </row>
    <row r="18" spans="1:6">
      <c r="A18" s="3172" t="s">
        <v>3561</v>
      </c>
      <c r="B18" s="3154">
        <v>3.5</v>
      </c>
      <c r="C18" s="3154">
        <v>40</v>
      </c>
      <c r="D18" s="3154"/>
      <c r="E18" s="3154"/>
    </row>
    <row r="19" spans="1:6">
      <c r="A19" s="3172" t="s">
        <v>3562</v>
      </c>
      <c r="B19" s="3154">
        <f>(B17+B18)/2</f>
        <v>5.75</v>
      </c>
      <c r="C19" s="3154">
        <f>ROUND((C17+C18)/2,2)</f>
        <v>70</v>
      </c>
      <c r="D19" s="3154"/>
      <c r="E19" s="3154"/>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9" customWidth="1"/>
    <col min="2" max="2" width="8.88671875" style="2589"/>
    <col min="3" max="5" width="12.88671875" style="2589" customWidth="1"/>
    <col min="6" max="6" width="47.44140625" style="2589" customWidth="1"/>
    <col min="7" max="7" width="13" style="2583" customWidth="1"/>
    <col min="8" max="8" width="8.88671875" style="2583"/>
    <col min="9" max="9" width="8.88671875" style="2584"/>
    <col min="10" max="10" width="5.77734375" style="2743" customWidth="1"/>
    <col min="11" max="11" width="11.77734375" style="2743" customWidth="1"/>
    <col min="12" max="13" width="10.77734375" style="2743" customWidth="1"/>
    <col min="14" max="14" width="10" style="2743" customWidth="1"/>
    <col min="15" max="16" width="10.44140625" style="2743" bestFit="1" customWidth="1"/>
    <col min="17" max="17" width="10" style="2743" customWidth="1"/>
    <col min="18" max="18" width="10.109375" style="2743" customWidth="1"/>
    <col min="19" max="19" width="10" style="2743" customWidth="1"/>
    <col min="20" max="20" width="26.109375" style="2743" customWidth="1"/>
    <col min="21" max="21" width="8.88671875" style="2743"/>
    <col min="22" max="22" width="8.88671875" style="2584"/>
    <col min="23" max="256" width="8.88671875" style="2589"/>
    <col min="257" max="257" width="9.44140625" style="2589" customWidth="1"/>
    <col min="258" max="258" width="8.88671875" style="2589"/>
    <col min="259" max="261" width="12.88671875" style="2589" customWidth="1"/>
    <col min="262" max="262" width="47.44140625" style="2589" customWidth="1"/>
    <col min="263" max="263" width="13" style="2589" customWidth="1"/>
    <col min="264" max="265" width="8.88671875" style="2589"/>
    <col min="266" max="266" width="5.77734375" style="2589" customWidth="1"/>
    <col min="267" max="267" width="11.77734375" style="2589" customWidth="1"/>
    <col min="268" max="269" width="10.77734375" style="2589" customWidth="1"/>
    <col min="270" max="270" width="10" style="2589" customWidth="1"/>
    <col min="271" max="272" width="10.44140625" style="2589" bestFit="1" customWidth="1"/>
    <col min="273" max="273" width="10" style="2589" customWidth="1"/>
    <col min="274" max="274" width="10.109375" style="2589" customWidth="1"/>
    <col min="275" max="275" width="10" style="2589" customWidth="1"/>
    <col min="276" max="276" width="26.109375" style="2589" customWidth="1"/>
    <col min="277" max="512" width="8.88671875" style="2589"/>
    <col min="513" max="513" width="9.44140625" style="2589" customWidth="1"/>
    <col min="514" max="514" width="8.88671875" style="2589"/>
    <col min="515" max="517" width="12.88671875" style="2589" customWidth="1"/>
    <col min="518" max="518" width="47.44140625" style="2589" customWidth="1"/>
    <col min="519" max="519" width="13" style="2589" customWidth="1"/>
    <col min="520" max="521" width="8.88671875" style="2589"/>
    <col min="522" max="522" width="5.77734375" style="2589" customWidth="1"/>
    <col min="523" max="523" width="11.77734375" style="2589" customWidth="1"/>
    <col min="524" max="525" width="10.77734375" style="2589" customWidth="1"/>
    <col min="526" max="526" width="10" style="2589" customWidth="1"/>
    <col min="527" max="528" width="10.44140625" style="2589" bestFit="1" customWidth="1"/>
    <col min="529" max="529" width="10" style="2589" customWidth="1"/>
    <col min="530" max="530" width="10.109375" style="2589" customWidth="1"/>
    <col min="531" max="531" width="10" style="2589" customWidth="1"/>
    <col min="532" max="532" width="26.109375" style="2589" customWidth="1"/>
    <col min="533" max="768" width="8.88671875" style="2589"/>
    <col min="769" max="769" width="9.44140625" style="2589" customWidth="1"/>
    <col min="770" max="770" width="8.88671875" style="2589"/>
    <col min="771" max="773" width="12.88671875" style="2589" customWidth="1"/>
    <col min="774" max="774" width="47.44140625" style="2589" customWidth="1"/>
    <col min="775" max="775" width="13" style="2589" customWidth="1"/>
    <col min="776" max="777" width="8.88671875" style="2589"/>
    <col min="778" max="778" width="5.77734375" style="2589" customWidth="1"/>
    <col min="779" max="779" width="11.77734375" style="2589" customWidth="1"/>
    <col min="780" max="781" width="10.77734375" style="2589" customWidth="1"/>
    <col min="782" max="782" width="10" style="2589" customWidth="1"/>
    <col min="783" max="784" width="10.44140625" style="2589" bestFit="1" customWidth="1"/>
    <col min="785" max="785" width="10" style="2589" customWidth="1"/>
    <col min="786" max="786" width="10.109375" style="2589" customWidth="1"/>
    <col min="787" max="787" width="10" style="2589" customWidth="1"/>
    <col min="788" max="788" width="26.109375" style="2589" customWidth="1"/>
    <col min="789" max="1024" width="8.88671875" style="2589"/>
    <col min="1025" max="1025" width="9.44140625" style="2589" customWidth="1"/>
    <col min="1026" max="1026" width="8.88671875" style="2589"/>
    <col min="1027" max="1029" width="12.88671875" style="2589" customWidth="1"/>
    <col min="1030" max="1030" width="47.44140625" style="2589" customWidth="1"/>
    <col min="1031" max="1031" width="13" style="2589" customWidth="1"/>
    <col min="1032" max="1033" width="8.88671875" style="2589"/>
    <col min="1034" max="1034" width="5.77734375" style="2589" customWidth="1"/>
    <col min="1035" max="1035" width="11.77734375" style="2589" customWidth="1"/>
    <col min="1036" max="1037" width="10.77734375" style="2589" customWidth="1"/>
    <col min="1038" max="1038" width="10" style="2589" customWidth="1"/>
    <col min="1039" max="1040" width="10.44140625" style="2589" bestFit="1" customWidth="1"/>
    <col min="1041" max="1041" width="10" style="2589" customWidth="1"/>
    <col min="1042" max="1042" width="10.109375" style="2589" customWidth="1"/>
    <col min="1043" max="1043" width="10" style="2589" customWidth="1"/>
    <col min="1044" max="1044" width="26.109375" style="2589" customWidth="1"/>
    <col min="1045" max="1280" width="8.88671875" style="2589"/>
    <col min="1281" max="1281" width="9.44140625" style="2589" customWidth="1"/>
    <col min="1282" max="1282" width="8.88671875" style="2589"/>
    <col min="1283" max="1285" width="12.88671875" style="2589" customWidth="1"/>
    <col min="1286" max="1286" width="47.44140625" style="2589" customWidth="1"/>
    <col min="1287" max="1287" width="13" style="2589" customWidth="1"/>
    <col min="1288" max="1289" width="8.88671875" style="2589"/>
    <col min="1290" max="1290" width="5.77734375" style="2589" customWidth="1"/>
    <col min="1291" max="1291" width="11.77734375" style="2589" customWidth="1"/>
    <col min="1292" max="1293" width="10.77734375" style="2589" customWidth="1"/>
    <col min="1294" max="1294" width="10" style="2589" customWidth="1"/>
    <col min="1295" max="1296" width="10.44140625" style="2589" bestFit="1" customWidth="1"/>
    <col min="1297" max="1297" width="10" style="2589" customWidth="1"/>
    <col min="1298" max="1298" width="10.109375" style="2589" customWidth="1"/>
    <col min="1299" max="1299" width="10" style="2589" customWidth="1"/>
    <col min="1300" max="1300" width="26.109375" style="2589" customWidth="1"/>
    <col min="1301" max="1536" width="8.88671875" style="2589"/>
    <col min="1537" max="1537" width="9.44140625" style="2589" customWidth="1"/>
    <col min="1538" max="1538" width="8.88671875" style="2589"/>
    <col min="1539" max="1541" width="12.88671875" style="2589" customWidth="1"/>
    <col min="1542" max="1542" width="47.44140625" style="2589" customWidth="1"/>
    <col min="1543" max="1543" width="13" style="2589" customWidth="1"/>
    <col min="1544" max="1545" width="8.88671875" style="2589"/>
    <col min="1546" max="1546" width="5.77734375" style="2589" customWidth="1"/>
    <col min="1547" max="1547" width="11.77734375" style="2589" customWidth="1"/>
    <col min="1548" max="1549" width="10.77734375" style="2589" customWidth="1"/>
    <col min="1550" max="1550" width="10" style="2589" customWidth="1"/>
    <col min="1551" max="1552" width="10.44140625" style="2589" bestFit="1" customWidth="1"/>
    <col min="1553" max="1553" width="10" style="2589" customWidth="1"/>
    <col min="1554" max="1554" width="10.109375" style="2589" customWidth="1"/>
    <col min="1555" max="1555" width="10" style="2589" customWidth="1"/>
    <col min="1556" max="1556" width="26.109375" style="2589" customWidth="1"/>
    <col min="1557" max="1792" width="8.88671875" style="2589"/>
    <col min="1793" max="1793" width="9.44140625" style="2589" customWidth="1"/>
    <col min="1794" max="1794" width="8.88671875" style="2589"/>
    <col min="1795" max="1797" width="12.88671875" style="2589" customWidth="1"/>
    <col min="1798" max="1798" width="47.44140625" style="2589" customWidth="1"/>
    <col min="1799" max="1799" width="13" style="2589" customWidth="1"/>
    <col min="1800" max="1801" width="8.88671875" style="2589"/>
    <col min="1802" max="1802" width="5.77734375" style="2589" customWidth="1"/>
    <col min="1803" max="1803" width="11.77734375" style="2589" customWidth="1"/>
    <col min="1804" max="1805" width="10.77734375" style="2589" customWidth="1"/>
    <col min="1806" max="1806" width="10" style="2589" customWidth="1"/>
    <col min="1807" max="1808" width="10.44140625" style="2589" bestFit="1" customWidth="1"/>
    <col min="1809" max="1809" width="10" style="2589" customWidth="1"/>
    <col min="1810" max="1810" width="10.109375" style="2589" customWidth="1"/>
    <col min="1811" max="1811" width="10" style="2589" customWidth="1"/>
    <col min="1812" max="1812" width="26.109375" style="2589" customWidth="1"/>
    <col min="1813" max="2048" width="8.88671875" style="2589"/>
    <col min="2049" max="2049" width="9.44140625" style="2589" customWidth="1"/>
    <col min="2050" max="2050" width="8.88671875" style="2589"/>
    <col min="2051" max="2053" width="12.88671875" style="2589" customWidth="1"/>
    <col min="2054" max="2054" width="47.44140625" style="2589" customWidth="1"/>
    <col min="2055" max="2055" width="13" style="2589" customWidth="1"/>
    <col min="2056" max="2057" width="8.88671875" style="2589"/>
    <col min="2058" max="2058" width="5.77734375" style="2589" customWidth="1"/>
    <col min="2059" max="2059" width="11.77734375" style="2589" customWidth="1"/>
    <col min="2060" max="2061" width="10.77734375" style="2589" customWidth="1"/>
    <col min="2062" max="2062" width="10" style="2589" customWidth="1"/>
    <col min="2063" max="2064" width="10.44140625" style="2589" bestFit="1" customWidth="1"/>
    <col min="2065" max="2065" width="10" style="2589" customWidth="1"/>
    <col min="2066" max="2066" width="10.109375" style="2589" customWidth="1"/>
    <col min="2067" max="2067" width="10" style="2589" customWidth="1"/>
    <col min="2068" max="2068" width="26.109375" style="2589" customWidth="1"/>
    <col min="2069" max="2304" width="8.88671875" style="2589"/>
    <col min="2305" max="2305" width="9.44140625" style="2589" customWidth="1"/>
    <col min="2306" max="2306" width="8.88671875" style="2589"/>
    <col min="2307" max="2309" width="12.88671875" style="2589" customWidth="1"/>
    <col min="2310" max="2310" width="47.44140625" style="2589" customWidth="1"/>
    <col min="2311" max="2311" width="13" style="2589" customWidth="1"/>
    <col min="2312" max="2313" width="8.88671875" style="2589"/>
    <col min="2314" max="2314" width="5.77734375" style="2589" customWidth="1"/>
    <col min="2315" max="2315" width="11.77734375" style="2589" customWidth="1"/>
    <col min="2316" max="2317" width="10.77734375" style="2589" customWidth="1"/>
    <col min="2318" max="2318" width="10" style="2589" customWidth="1"/>
    <col min="2319" max="2320" width="10.44140625" style="2589" bestFit="1" customWidth="1"/>
    <col min="2321" max="2321" width="10" style="2589" customWidth="1"/>
    <col min="2322" max="2322" width="10.109375" style="2589" customWidth="1"/>
    <col min="2323" max="2323" width="10" style="2589" customWidth="1"/>
    <col min="2324" max="2324" width="26.109375" style="2589" customWidth="1"/>
    <col min="2325" max="2560" width="8.88671875" style="2589"/>
    <col min="2561" max="2561" width="9.44140625" style="2589" customWidth="1"/>
    <col min="2562" max="2562" width="8.88671875" style="2589"/>
    <col min="2563" max="2565" width="12.88671875" style="2589" customWidth="1"/>
    <col min="2566" max="2566" width="47.44140625" style="2589" customWidth="1"/>
    <col min="2567" max="2567" width="13" style="2589" customWidth="1"/>
    <col min="2568" max="2569" width="8.88671875" style="2589"/>
    <col min="2570" max="2570" width="5.77734375" style="2589" customWidth="1"/>
    <col min="2571" max="2571" width="11.77734375" style="2589" customWidth="1"/>
    <col min="2572" max="2573" width="10.77734375" style="2589" customWidth="1"/>
    <col min="2574" max="2574" width="10" style="2589" customWidth="1"/>
    <col min="2575" max="2576" width="10.44140625" style="2589" bestFit="1" customWidth="1"/>
    <col min="2577" max="2577" width="10" style="2589" customWidth="1"/>
    <col min="2578" max="2578" width="10.109375" style="2589" customWidth="1"/>
    <col min="2579" max="2579" width="10" style="2589" customWidth="1"/>
    <col min="2580" max="2580" width="26.109375" style="2589" customWidth="1"/>
    <col min="2581" max="2816" width="8.88671875" style="2589"/>
    <col min="2817" max="2817" width="9.44140625" style="2589" customWidth="1"/>
    <col min="2818" max="2818" width="8.88671875" style="2589"/>
    <col min="2819" max="2821" width="12.88671875" style="2589" customWidth="1"/>
    <col min="2822" max="2822" width="47.44140625" style="2589" customWidth="1"/>
    <col min="2823" max="2823" width="13" style="2589" customWidth="1"/>
    <col min="2824" max="2825" width="8.88671875" style="2589"/>
    <col min="2826" max="2826" width="5.77734375" style="2589" customWidth="1"/>
    <col min="2827" max="2827" width="11.77734375" style="2589" customWidth="1"/>
    <col min="2828" max="2829" width="10.77734375" style="2589" customWidth="1"/>
    <col min="2830" max="2830" width="10" style="2589" customWidth="1"/>
    <col min="2831" max="2832" width="10.44140625" style="2589" bestFit="1" customWidth="1"/>
    <col min="2833" max="2833" width="10" style="2589" customWidth="1"/>
    <col min="2834" max="2834" width="10.109375" style="2589" customWidth="1"/>
    <col min="2835" max="2835" width="10" style="2589" customWidth="1"/>
    <col min="2836" max="2836" width="26.109375" style="2589" customWidth="1"/>
    <col min="2837" max="3072" width="8.88671875" style="2589"/>
    <col min="3073" max="3073" width="9.44140625" style="2589" customWidth="1"/>
    <col min="3074" max="3074" width="8.88671875" style="2589"/>
    <col min="3075" max="3077" width="12.88671875" style="2589" customWidth="1"/>
    <col min="3078" max="3078" width="47.44140625" style="2589" customWidth="1"/>
    <col min="3079" max="3079" width="13" style="2589" customWidth="1"/>
    <col min="3080" max="3081" width="8.88671875" style="2589"/>
    <col min="3082" max="3082" width="5.77734375" style="2589" customWidth="1"/>
    <col min="3083" max="3083" width="11.77734375" style="2589" customWidth="1"/>
    <col min="3084" max="3085" width="10.77734375" style="2589" customWidth="1"/>
    <col min="3086" max="3086" width="10" style="2589" customWidth="1"/>
    <col min="3087" max="3088" width="10.44140625" style="2589" bestFit="1" customWidth="1"/>
    <col min="3089" max="3089" width="10" style="2589" customWidth="1"/>
    <col min="3090" max="3090" width="10.109375" style="2589" customWidth="1"/>
    <col min="3091" max="3091" width="10" style="2589" customWidth="1"/>
    <col min="3092" max="3092" width="26.109375" style="2589" customWidth="1"/>
    <col min="3093" max="3328" width="8.88671875" style="2589"/>
    <col min="3329" max="3329" width="9.44140625" style="2589" customWidth="1"/>
    <col min="3330" max="3330" width="8.88671875" style="2589"/>
    <col min="3331" max="3333" width="12.88671875" style="2589" customWidth="1"/>
    <col min="3334" max="3334" width="47.44140625" style="2589" customWidth="1"/>
    <col min="3335" max="3335" width="13" style="2589" customWidth="1"/>
    <col min="3336" max="3337" width="8.88671875" style="2589"/>
    <col min="3338" max="3338" width="5.77734375" style="2589" customWidth="1"/>
    <col min="3339" max="3339" width="11.77734375" style="2589" customWidth="1"/>
    <col min="3340" max="3341" width="10.77734375" style="2589" customWidth="1"/>
    <col min="3342" max="3342" width="10" style="2589" customWidth="1"/>
    <col min="3343" max="3344" width="10.44140625" style="2589" bestFit="1" customWidth="1"/>
    <col min="3345" max="3345" width="10" style="2589" customWidth="1"/>
    <col min="3346" max="3346" width="10.109375" style="2589" customWidth="1"/>
    <col min="3347" max="3347" width="10" style="2589" customWidth="1"/>
    <col min="3348" max="3348" width="26.109375" style="2589" customWidth="1"/>
    <col min="3349" max="3584" width="8.88671875" style="2589"/>
    <col min="3585" max="3585" width="9.44140625" style="2589" customWidth="1"/>
    <col min="3586" max="3586" width="8.88671875" style="2589"/>
    <col min="3587" max="3589" width="12.88671875" style="2589" customWidth="1"/>
    <col min="3590" max="3590" width="47.44140625" style="2589" customWidth="1"/>
    <col min="3591" max="3591" width="13" style="2589" customWidth="1"/>
    <col min="3592" max="3593" width="8.88671875" style="2589"/>
    <col min="3594" max="3594" width="5.77734375" style="2589" customWidth="1"/>
    <col min="3595" max="3595" width="11.77734375" style="2589" customWidth="1"/>
    <col min="3596" max="3597" width="10.77734375" style="2589" customWidth="1"/>
    <col min="3598" max="3598" width="10" style="2589" customWidth="1"/>
    <col min="3599" max="3600" width="10.44140625" style="2589" bestFit="1" customWidth="1"/>
    <col min="3601" max="3601" width="10" style="2589" customWidth="1"/>
    <col min="3602" max="3602" width="10.109375" style="2589" customWidth="1"/>
    <col min="3603" max="3603" width="10" style="2589" customWidth="1"/>
    <col min="3604" max="3604" width="26.109375" style="2589" customWidth="1"/>
    <col min="3605" max="3840" width="8.88671875" style="2589"/>
    <col min="3841" max="3841" width="9.44140625" style="2589" customWidth="1"/>
    <col min="3842" max="3842" width="8.88671875" style="2589"/>
    <col min="3843" max="3845" width="12.88671875" style="2589" customWidth="1"/>
    <col min="3846" max="3846" width="47.44140625" style="2589" customWidth="1"/>
    <col min="3847" max="3847" width="13" style="2589" customWidth="1"/>
    <col min="3848" max="3849" width="8.88671875" style="2589"/>
    <col min="3850" max="3850" width="5.77734375" style="2589" customWidth="1"/>
    <col min="3851" max="3851" width="11.77734375" style="2589" customWidth="1"/>
    <col min="3852" max="3853" width="10.77734375" style="2589" customWidth="1"/>
    <col min="3854" max="3854" width="10" style="2589" customWidth="1"/>
    <col min="3855" max="3856" width="10.44140625" style="2589" bestFit="1" customWidth="1"/>
    <col min="3857" max="3857" width="10" style="2589" customWidth="1"/>
    <col min="3858" max="3858" width="10.109375" style="2589" customWidth="1"/>
    <col min="3859" max="3859" width="10" style="2589" customWidth="1"/>
    <col min="3860" max="3860" width="26.109375" style="2589" customWidth="1"/>
    <col min="3861" max="4096" width="8.88671875" style="2589"/>
    <col min="4097" max="4097" width="9.44140625" style="2589" customWidth="1"/>
    <col min="4098" max="4098" width="8.88671875" style="2589"/>
    <col min="4099" max="4101" width="12.88671875" style="2589" customWidth="1"/>
    <col min="4102" max="4102" width="47.44140625" style="2589" customWidth="1"/>
    <col min="4103" max="4103" width="13" style="2589" customWidth="1"/>
    <col min="4104" max="4105" width="8.88671875" style="2589"/>
    <col min="4106" max="4106" width="5.77734375" style="2589" customWidth="1"/>
    <col min="4107" max="4107" width="11.77734375" style="2589" customWidth="1"/>
    <col min="4108" max="4109" width="10.77734375" style="2589" customWidth="1"/>
    <col min="4110" max="4110" width="10" style="2589" customWidth="1"/>
    <col min="4111" max="4112" width="10.44140625" style="2589" bestFit="1" customWidth="1"/>
    <col min="4113" max="4113" width="10" style="2589" customWidth="1"/>
    <col min="4114" max="4114" width="10.109375" style="2589" customWidth="1"/>
    <col min="4115" max="4115" width="10" style="2589" customWidth="1"/>
    <col min="4116" max="4116" width="26.109375" style="2589" customWidth="1"/>
    <col min="4117" max="4352" width="8.88671875" style="2589"/>
    <col min="4353" max="4353" width="9.44140625" style="2589" customWidth="1"/>
    <col min="4354" max="4354" width="8.88671875" style="2589"/>
    <col min="4355" max="4357" width="12.88671875" style="2589" customWidth="1"/>
    <col min="4358" max="4358" width="47.44140625" style="2589" customWidth="1"/>
    <col min="4359" max="4359" width="13" style="2589" customWidth="1"/>
    <col min="4360" max="4361" width="8.88671875" style="2589"/>
    <col min="4362" max="4362" width="5.77734375" style="2589" customWidth="1"/>
    <col min="4363" max="4363" width="11.77734375" style="2589" customWidth="1"/>
    <col min="4364" max="4365" width="10.77734375" style="2589" customWidth="1"/>
    <col min="4366" max="4366" width="10" style="2589" customWidth="1"/>
    <col min="4367" max="4368" width="10.44140625" style="2589" bestFit="1" customWidth="1"/>
    <col min="4369" max="4369" width="10" style="2589" customWidth="1"/>
    <col min="4370" max="4370" width="10.109375" style="2589" customWidth="1"/>
    <col min="4371" max="4371" width="10" style="2589" customWidth="1"/>
    <col min="4372" max="4372" width="26.109375" style="2589" customWidth="1"/>
    <col min="4373" max="4608" width="8.88671875" style="2589"/>
    <col min="4609" max="4609" width="9.44140625" style="2589" customWidth="1"/>
    <col min="4610" max="4610" width="8.88671875" style="2589"/>
    <col min="4611" max="4613" width="12.88671875" style="2589" customWidth="1"/>
    <col min="4614" max="4614" width="47.44140625" style="2589" customWidth="1"/>
    <col min="4615" max="4615" width="13" style="2589" customWidth="1"/>
    <col min="4616" max="4617" width="8.88671875" style="2589"/>
    <col min="4618" max="4618" width="5.77734375" style="2589" customWidth="1"/>
    <col min="4619" max="4619" width="11.77734375" style="2589" customWidth="1"/>
    <col min="4620" max="4621" width="10.77734375" style="2589" customWidth="1"/>
    <col min="4622" max="4622" width="10" style="2589" customWidth="1"/>
    <col min="4623" max="4624" width="10.44140625" style="2589" bestFit="1" customWidth="1"/>
    <col min="4625" max="4625" width="10" style="2589" customWidth="1"/>
    <col min="4626" max="4626" width="10.109375" style="2589" customWidth="1"/>
    <col min="4627" max="4627" width="10" style="2589" customWidth="1"/>
    <col min="4628" max="4628" width="26.109375" style="2589" customWidth="1"/>
    <col min="4629" max="4864" width="8.88671875" style="2589"/>
    <col min="4865" max="4865" width="9.44140625" style="2589" customWidth="1"/>
    <col min="4866" max="4866" width="8.88671875" style="2589"/>
    <col min="4867" max="4869" width="12.88671875" style="2589" customWidth="1"/>
    <col min="4870" max="4870" width="47.44140625" style="2589" customWidth="1"/>
    <col min="4871" max="4871" width="13" style="2589" customWidth="1"/>
    <col min="4872" max="4873" width="8.88671875" style="2589"/>
    <col min="4874" max="4874" width="5.77734375" style="2589" customWidth="1"/>
    <col min="4875" max="4875" width="11.77734375" style="2589" customWidth="1"/>
    <col min="4876" max="4877" width="10.77734375" style="2589" customWidth="1"/>
    <col min="4878" max="4878" width="10" style="2589" customWidth="1"/>
    <col min="4879" max="4880" width="10.44140625" style="2589" bestFit="1" customWidth="1"/>
    <col min="4881" max="4881" width="10" style="2589" customWidth="1"/>
    <col min="4882" max="4882" width="10.109375" style="2589" customWidth="1"/>
    <col min="4883" max="4883" width="10" style="2589" customWidth="1"/>
    <col min="4884" max="4884" width="26.109375" style="2589" customWidth="1"/>
    <col min="4885" max="5120" width="8.88671875" style="2589"/>
    <col min="5121" max="5121" width="9.44140625" style="2589" customWidth="1"/>
    <col min="5122" max="5122" width="8.88671875" style="2589"/>
    <col min="5123" max="5125" width="12.88671875" style="2589" customWidth="1"/>
    <col min="5126" max="5126" width="47.44140625" style="2589" customWidth="1"/>
    <col min="5127" max="5127" width="13" style="2589" customWidth="1"/>
    <col min="5128" max="5129" width="8.88671875" style="2589"/>
    <col min="5130" max="5130" width="5.77734375" style="2589" customWidth="1"/>
    <col min="5131" max="5131" width="11.77734375" style="2589" customWidth="1"/>
    <col min="5132" max="5133" width="10.77734375" style="2589" customWidth="1"/>
    <col min="5134" max="5134" width="10" style="2589" customWidth="1"/>
    <col min="5135" max="5136" width="10.44140625" style="2589" bestFit="1" customWidth="1"/>
    <col min="5137" max="5137" width="10" style="2589" customWidth="1"/>
    <col min="5138" max="5138" width="10.109375" style="2589" customWidth="1"/>
    <col min="5139" max="5139" width="10" style="2589" customWidth="1"/>
    <col min="5140" max="5140" width="26.109375" style="2589" customWidth="1"/>
    <col min="5141" max="5376" width="8.88671875" style="2589"/>
    <col min="5377" max="5377" width="9.44140625" style="2589" customWidth="1"/>
    <col min="5378" max="5378" width="8.88671875" style="2589"/>
    <col min="5379" max="5381" width="12.88671875" style="2589" customWidth="1"/>
    <col min="5382" max="5382" width="47.44140625" style="2589" customWidth="1"/>
    <col min="5383" max="5383" width="13" style="2589" customWidth="1"/>
    <col min="5384" max="5385" width="8.88671875" style="2589"/>
    <col min="5386" max="5386" width="5.77734375" style="2589" customWidth="1"/>
    <col min="5387" max="5387" width="11.77734375" style="2589" customWidth="1"/>
    <col min="5388" max="5389" width="10.77734375" style="2589" customWidth="1"/>
    <col min="5390" max="5390" width="10" style="2589" customWidth="1"/>
    <col min="5391" max="5392" width="10.44140625" style="2589" bestFit="1" customWidth="1"/>
    <col min="5393" max="5393" width="10" style="2589" customWidth="1"/>
    <col min="5394" max="5394" width="10.109375" style="2589" customWidth="1"/>
    <col min="5395" max="5395" width="10" style="2589" customWidth="1"/>
    <col min="5396" max="5396" width="26.109375" style="2589" customWidth="1"/>
    <col min="5397" max="5632" width="8.88671875" style="2589"/>
    <col min="5633" max="5633" width="9.44140625" style="2589" customWidth="1"/>
    <col min="5634" max="5634" width="8.88671875" style="2589"/>
    <col min="5635" max="5637" width="12.88671875" style="2589" customWidth="1"/>
    <col min="5638" max="5638" width="47.44140625" style="2589" customWidth="1"/>
    <col min="5639" max="5639" width="13" style="2589" customWidth="1"/>
    <col min="5640" max="5641" width="8.88671875" style="2589"/>
    <col min="5642" max="5642" width="5.77734375" style="2589" customWidth="1"/>
    <col min="5643" max="5643" width="11.77734375" style="2589" customWidth="1"/>
    <col min="5644" max="5645" width="10.77734375" style="2589" customWidth="1"/>
    <col min="5646" max="5646" width="10" style="2589" customWidth="1"/>
    <col min="5647" max="5648" width="10.44140625" style="2589" bestFit="1" customWidth="1"/>
    <col min="5649" max="5649" width="10" style="2589" customWidth="1"/>
    <col min="5650" max="5650" width="10.109375" style="2589" customWidth="1"/>
    <col min="5651" max="5651" width="10" style="2589" customWidth="1"/>
    <col min="5652" max="5652" width="26.109375" style="2589" customWidth="1"/>
    <col min="5653" max="5888" width="8.88671875" style="2589"/>
    <col min="5889" max="5889" width="9.44140625" style="2589" customWidth="1"/>
    <col min="5890" max="5890" width="8.88671875" style="2589"/>
    <col min="5891" max="5893" width="12.88671875" style="2589" customWidth="1"/>
    <col min="5894" max="5894" width="47.44140625" style="2589" customWidth="1"/>
    <col min="5895" max="5895" width="13" style="2589" customWidth="1"/>
    <col min="5896" max="5897" width="8.88671875" style="2589"/>
    <col min="5898" max="5898" width="5.77734375" style="2589" customWidth="1"/>
    <col min="5899" max="5899" width="11.77734375" style="2589" customWidth="1"/>
    <col min="5900" max="5901" width="10.77734375" style="2589" customWidth="1"/>
    <col min="5902" max="5902" width="10" style="2589" customWidth="1"/>
    <col min="5903" max="5904" width="10.44140625" style="2589" bestFit="1" customWidth="1"/>
    <col min="5905" max="5905" width="10" style="2589" customWidth="1"/>
    <col min="5906" max="5906" width="10.109375" style="2589" customWidth="1"/>
    <col min="5907" max="5907" width="10" style="2589" customWidth="1"/>
    <col min="5908" max="5908" width="26.109375" style="2589" customWidth="1"/>
    <col min="5909" max="6144" width="8.88671875" style="2589"/>
    <col min="6145" max="6145" width="9.44140625" style="2589" customWidth="1"/>
    <col min="6146" max="6146" width="8.88671875" style="2589"/>
    <col min="6147" max="6149" width="12.88671875" style="2589" customWidth="1"/>
    <col min="6150" max="6150" width="47.44140625" style="2589" customWidth="1"/>
    <col min="6151" max="6151" width="13" style="2589" customWidth="1"/>
    <col min="6152" max="6153" width="8.88671875" style="2589"/>
    <col min="6154" max="6154" width="5.77734375" style="2589" customWidth="1"/>
    <col min="6155" max="6155" width="11.77734375" style="2589" customWidth="1"/>
    <col min="6156" max="6157" width="10.77734375" style="2589" customWidth="1"/>
    <col min="6158" max="6158" width="10" style="2589" customWidth="1"/>
    <col min="6159" max="6160" width="10.44140625" style="2589" bestFit="1" customWidth="1"/>
    <col min="6161" max="6161" width="10" style="2589" customWidth="1"/>
    <col min="6162" max="6162" width="10.109375" style="2589" customWidth="1"/>
    <col min="6163" max="6163" width="10" style="2589" customWidth="1"/>
    <col min="6164" max="6164" width="26.109375" style="2589" customWidth="1"/>
    <col min="6165" max="6400" width="8.88671875" style="2589"/>
    <col min="6401" max="6401" width="9.44140625" style="2589" customWidth="1"/>
    <col min="6402" max="6402" width="8.88671875" style="2589"/>
    <col min="6403" max="6405" width="12.88671875" style="2589" customWidth="1"/>
    <col min="6406" max="6406" width="47.44140625" style="2589" customWidth="1"/>
    <col min="6407" max="6407" width="13" style="2589" customWidth="1"/>
    <col min="6408" max="6409" width="8.88671875" style="2589"/>
    <col min="6410" max="6410" width="5.77734375" style="2589" customWidth="1"/>
    <col min="6411" max="6411" width="11.77734375" style="2589" customWidth="1"/>
    <col min="6412" max="6413" width="10.77734375" style="2589" customWidth="1"/>
    <col min="6414" max="6414" width="10" style="2589" customWidth="1"/>
    <col min="6415" max="6416" width="10.44140625" style="2589" bestFit="1" customWidth="1"/>
    <col min="6417" max="6417" width="10" style="2589" customWidth="1"/>
    <col min="6418" max="6418" width="10.109375" style="2589" customWidth="1"/>
    <col min="6419" max="6419" width="10" style="2589" customWidth="1"/>
    <col min="6420" max="6420" width="26.109375" style="2589" customWidth="1"/>
    <col min="6421" max="6656" width="8.88671875" style="2589"/>
    <col min="6657" max="6657" width="9.44140625" style="2589" customWidth="1"/>
    <col min="6658" max="6658" width="8.88671875" style="2589"/>
    <col min="6659" max="6661" width="12.88671875" style="2589" customWidth="1"/>
    <col min="6662" max="6662" width="47.44140625" style="2589" customWidth="1"/>
    <col min="6663" max="6663" width="13" style="2589" customWidth="1"/>
    <col min="6664" max="6665" width="8.88671875" style="2589"/>
    <col min="6666" max="6666" width="5.77734375" style="2589" customWidth="1"/>
    <col min="6667" max="6667" width="11.77734375" style="2589" customWidth="1"/>
    <col min="6668" max="6669" width="10.77734375" style="2589" customWidth="1"/>
    <col min="6670" max="6670" width="10" style="2589" customWidth="1"/>
    <col min="6671" max="6672" width="10.44140625" style="2589" bestFit="1" customWidth="1"/>
    <col min="6673" max="6673" width="10" style="2589" customWidth="1"/>
    <col min="6674" max="6674" width="10.109375" style="2589" customWidth="1"/>
    <col min="6675" max="6675" width="10" style="2589" customWidth="1"/>
    <col min="6676" max="6676" width="26.109375" style="2589" customWidth="1"/>
    <col min="6677" max="6912" width="8.88671875" style="2589"/>
    <col min="6913" max="6913" width="9.44140625" style="2589" customWidth="1"/>
    <col min="6914" max="6914" width="8.88671875" style="2589"/>
    <col min="6915" max="6917" width="12.88671875" style="2589" customWidth="1"/>
    <col min="6918" max="6918" width="47.44140625" style="2589" customWidth="1"/>
    <col min="6919" max="6919" width="13" style="2589" customWidth="1"/>
    <col min="6920" max="6921" width="8.88671875" style="2589"/>
    <col min="6922" max="6922" width="5.77734375" style="2589" customWidth="1"/>
    <col min="6923" max="6923" width="11.77734375" style="2589" customWidth="1"/>
    <col min="6924" max="6925" width="10.77734375" style="2589" customWidth="1"/>
    <col min="6926" max="6926" width="10" style="2589" customWidth="1"/>
    <col min="6927" max="6928" width="10.44140625" style="2589" bestFit="1" customWidth="1"/>
    <col min="6929" max="6929" width="10" style="2589" customWidth="1"/>
    <col min="6930" max="6930" width="10.109375" style="2589" customWidth="1"/>
    <col min="6931" max="6931" width="10" style="2589" customWidth="1"/>
    <col min="6932" max="6932" width="26.109375" style="2589" customWidth="1"/>
    <col min="6933" max="7168" width="8.88671875" style="2589"/>
    <col min="7169" max="7169" width="9.44140625" style="2589" customWidth="1"/>
    <col min="7170" max="7170" width="8.88671875" style="2589"/>
    <col min="7171" max="7173" width="12.88671875" style="2589" customWidth="1"/>
    <col min="7174" max="7174" width="47.44140625" style="2589" customWidth="1"/>
    <col min="7175" max="7175" width="13" style="2589" customWidth="1"/>
    <col min="7176" max="7177" width="8.88671875" style="2589"/>
    <col min="7178" max="7178" width="5.77734375" style="2589" customWidth="1"/>
    <col min="7179" max="7179" width="11.77734375" style="2589" customWidth="1"/>
    <col min="7180" max="7181" width="10.77734375" style="2589" customWidth="1"/>
    <col min="7182" max="7182" width="10" style="2589" customWidth="1"/>
    <col min="7183" max="7184" width="10.44140625" style="2589" bestFit="1" customWidth="1"/>
    <col min="7185" max="7185" width="10" style="2589" customWidth="1"/>
    <col min="7186" max="7186" width="10.109375" style="2589" customWidth="1"/>
    <col min="7187" max="7187" width="10" style="2589" customWidth="1"/>
    <col min="7188" max="7188" width="26.109375" style="2589" customWidth="1"/>
    <col min="7189" max="7424" width="8.88671875" style="2589"/>
    <col min="7425" max="7425" width="9.44140625" style="2589" customWidth="1"/>
    <col min="7426" max="7426" width="8.88671875" style="2589"/>
    <col min="7427" max="7429" width="12.88671875" style="2589" customWidth="1"/>
    <col min="7430" max="7430" width="47.44140625" style="2589" customWidth="1"/>
    <col min="7431" max="7431" width="13" style="2589" customWidth="1"/>
    <col min="7432" max="7433" width="8.88671875" style="2589"/>
    <col min="7434" max="7434" width="5.77734375" style="2589" customWidth="1"/>
    <col min="7435" max="7435" width="11.77734375" style="2589" customWidth="1"/>
    <col min="7436" max="7437" width="10.77734375" style="2589" customWidth="1"/>
    <col min="7438" max="7438" width="10" style="2589" customWidth="1"/>
    <col min="7439" max="7440" width="10.44140625" style="2589" bestFit="1" customWidth="1"/>
    <col min="7441" max="7441" width="10" style="2589" customWidth="1"/>
    <col min="7442" max="7442" width="10.109375" style="2589" customWidth="1"/>
    <col min="7443" max="7443" width="10" style="2589" customWidth="1"/>
    <col min="7444" max="7444" width="26.109375" style="2589" customWidth="1"/>
    <col min="7445" max="7680" width="8.88671875" style="2589"/>
    <col min="7681" max="7681" width="9.44140625" style="2589" customWidth="1"/>
    <col min="7682" max="7682" width="8.88671875" style="2589"/>
    <col min="7683" max="7685" width="12.88671875" style="2589" customWidth="1"/>
    <col min="7686" max="7686" width="47.44140625" style="2589" customWidth="1"/>
    <col min="7687" max="7687" width="13" style="2589" customWidth="1"/>
    <col min="7688" max="7689" width="8.88671875" style="2589"/>
    <col min="7690" max="7690" width="5.77734375" style="2589" customWidth="1"/>
    <col min="7691" max="7691" width="11.77734375" style="2589" customWidth="1"/>
    <col min="7692" max="7693" width="10.77734375" style="2589" customWidth="1"/>
    <col min="7694" max="7694" width="10" style="2589" customWidth="1"/>
    <col min="7695" max="7696" width="10.44140625" style="2589" bestFit="1" customWidth="1"/>
    <col min="7697" max="7697" width="10" style="2589" customWidth="1"/>
    <col min="7698" max="7698" width="10.109375" style="2589" customWidth="1"/>
    <col min="7699" max="7699" width="10" style="2589" customWidth="1"/>
    <col min="7700" max="7700" width="26.109375" style="2589" customWidth="1"/>
    <col min="7701" max="7936" width="8.88671875" style="2589"/>
    <col min="7937" max="7937" width="9.44140625" style="2589" customWidth="1"/>
    <col min="7938" max="7938" width="8.88671875" style="2589"/>
    <col min="7939" max="7941" width="12.88671875" style="2589" customWidth="1"/>
    <col min="7942" max="7942" width="47.44140625" style="2589" customWidth="1"/>
    <col min="7943" max="7943" width="13" style="2589" customWidth="1"/>
    <col min="7944" max="7945" width="8.88671875" style="2589"/>
    <col min="7946" max="7946" width="5.77734375" style="2589" customWidth="1"/>
    <col min="7947" max="7947" width="11.77734375" style="2589" customWidth="1"/>
    <col min="7948" max="7949" width="10.77734375" style="2589" customWidth="1"/>
    <col min="7950" max="7950" width="10" style="2589" customWidth="1"/>
    <col min="7951" max="7952" width="10.44140625" style="2589" bestFit="1" customWidth="1"/>
    <col min="7953" max="7953" width="10" style="2589" customWidth="1"/>
    <col min="7954" max="7954" width="10.109375" style="2589" customWidth="1"/>
    <col min="7955" max="7955" width="10" style="2589" customWidth="1"/>
    <col min="7956" max="7956" width="26.109375" style="2589" customWidth="1"/>
    <col min="7957" max="8192" width="8.88671875" style="2589"/>
    <col min="8193" max="8193" width="9.44140625" style="2589" customWidth="1"/>
    <col min="8194" max="8194" width="8.88671875" style="2589"/>
    <col min="8195" max="8197" width="12.88671875" style="2589" customWidth="1"/>
    <col min="8198" max="8198" width="47.44140625" style="2589" customWidth="1"/>
    <col min="8199" max="8199" width="13" style="2589" customWidth="1"/>
    <col min="8200" max="8201" width="8.88671875" style="2589"/>
    <col min="8202" max="8202" width="5.77734375" style="2589" customWidth="1"/>
    <col min="8203" max="8203" width="11.77734375" style="2589" customWidth="1"/>
    <col min="8204" max="8205" width="10.77734375" style="2589" customWidth="1"/>
    <col min="8206" max="8206" width="10" style="2589" customWidth="1"/>
    <col min="8207" max="8208" width="10.44140625" style="2589" bestFit="1" customWidth="1"/>
    <col min="8209" max="8209" width="10" style="2589" customWidth="1"/>
    <col min="8210" max="8210" width="10.109375" style="2589" customWidth="1"/>
    <col min="8211" max="8211" width="10" style="2589" customWidth="1"/>
    <col min="8212" max="8212" width="26.109375" style="2589" customWidth="1"/>
    <col min="8213" max="8448" width="8.88671875" style="2589"/>
    <col min="8449" max="8449" width="9.44140625" style="2589" customWidth="1"/>
    <col min="8450" max="8450" width="8.88671875" style="2589"/>
    <col min="8451" max="8453" width="12.88671875" style="2589" customWidth="1"/>
    <col min="8454" max="8454" width="47.44140625" style="2589" customWidth="1"/>
    <col min="8455" max="8455" width="13" style="2589" customWidth="1"/>
    <col min="8456" max="8457" width="8.88671875" style="2589"/>
    <col min="8458" max="8458" width="5.77734375" style="2589" customWidth="1"/>
    <col min="8459" max="8459" width="11.77734375" style="2589" customWidth="1"/>
    <col min="8460" max="8461" width="10.77734375" style="2589" customWidth="1"/>
    <col min="8462" max="8462" width="10" style="2589" customWidth="1"/>
    <col min="8463" max="8464" width="10.44140625" style="2589" bestFit="1" customWidth="1"/>
    <col min="8465" max="8465" width="10" style="2589" customWidth="1"/>
    <col min="8466" max="8466" width="10.109375" style="2589" customWidth="1"/>
    <col min="8467" max="8467" width="10" style="2589" customWidth="1"/>
    <col min="8468" max="8468" width="26.109375" style="2589" customWidth="1"/>
    <col min="8469" max="8704" width="8.88671875" style="2589"/>
    <col min="8705" max="8705" width="9.44140625" style="2589" customWidth="1"/>
    <col min="8706" max="8706" width="8.88671875" style="2589"/>
    <col min="8707" max="8709" width="12.88671875" style="2589" customWidth="1"/>
    <col min="8710" max="8710" width="47.44140625" style="2589" customWidth="1"/>
    <col min="8711" max="8711" width="13" style="2589" customWidth="1"/>
    <col min="8712" max="8713" width="8.88671875" style="2589"/>
    <col min="8714" max="8714" width="5.77734375" style="2589" customWidth="1"/>
    <col min="8715" max="8715" width="11.77734375" style="2589" customWidth="1"/>
    <col min="8716" max="8717" width="10.77734375" style="2589" customWidth="1"/>
    <col min="8718" max="8718" width="10" style="2589" customWidth="1"/>
    <col min="8719" max="8720" width="10.44140625" style="2589" bestFit="1" customWidth="1"/>
    <col min="8721" max="8721" width="10" style="2589" customWidth="1"/>
    <col min="8722" max="8722" width="10.109375" style="2589" customWidth="1"/>
    <col min="8723" max="8723" width="10" style="2589" customWidth="1"/>
    <col min="8724" max="8724" width="26.109375" style="2589" customWidth="1"/>
    <col min="8725" max="8960" width="8.88671875" style="2589"/>
    <col min="8961" max="8961" width="9.44140625" style="2589" customWidth="1"/>
    <col min="8962" max="8962" width="8.88671875" style="2589"/>
    <col min="8963" max="8965" width="12.88671875" style="2589" customWidth="1"/>
    <col min="8966" max="8966" width="47.44140625" style="2589" customWidth="1"/>
    <col min="8967" max="8967" width="13" style="2589" customWidth="1"/>
    <col min="8968" max="8969" width="8.88671875" style="2589"/>
    <col min="8970" max="8970" width="5.77734375" style="2589" customWidth="1"/>
    <col min="8971" max="8971" width="11.77734375" style="2589" customWidth="1"/>
    <col min="8972" max="8973" width="10.77734375" style="2589" customWidth="1"/>
    <col min="8974" max="8974" width="10" style="2589" customWidth="1"/>
    <col min="8975" max="8976" width="10.44140625" style="2589" bestFit="1" customWidth="1"/>
    <col min="8977" max="8977" width="10" style="2589" customWidth="1"/>
    <col min="8978" max="8978" width="10.109375" style="2589" customWidth="1"/>
    <col min="8979" max="8979" width="10" style="2589" customWidth="1"/>
    <col min="8980" max="8980" width="26.109375" style="2589" customWidth="1"/>
    <col min="8981" max="9216" width="8.88671875" style="2589"/>
    <col min="9217" max="9217" width="9.44140625" style="2589" customWidth="1"/>
    <col min="9218" max="9218" width="8.88671875" style="2589"/>
    <col min="9219" max="9221" width="12.88671875" style="2589" customWidth="1"/>
    <col min="9222" max="9222" width="47.44140625" style="2589" customWidth="1"/>
    <col min="9223" max="9223" width="13" style="2589" customWidth="1"/>
    <col min="9224" max="9225" width="8.88671875" style="2589"/>
    <col min="9226" max="9226" width="5.77734375" style="2589" customWidth="1"/>
    <col min="9227" max="9227" width="11.77734375" style="2589" customWidth="1"/>
    <col min="9228" max="9229" width="10.77734375" style="2589" customWidth="1"/>
    <col min="9230" max="9230" width="10" style="2589" customWidth="1"/>
    <col min="9231" max="9232" width="10.44140625" style="2589" bestFit="1" customWidth="1"/>
    <col min="9233" max="9233" width="10" style="2589" customWidth="1"/>
    <col min="9234" max="9234" width="10.109375" style="2589" customWidth="1"/>
    <col min="9235" max="9235" width="10" style="2589" customWidth="1"/>
    <col min="9236" max="9236" width="26.109375" style="2589" customWidth="1"/>
    <col min="9237" max="9472" width="8.88671875" style="2589"/>
    <col min="9473" max="9473" width="9.44140625" style="2589" customWidth="1"/>
    <col min="9474" max="9474" width="8.88671875" style="2589"/>
    <col min="9475" max="9477" width="12.88671875" style="2589" customWidth="1"/>
    <col min="9478" max="9478" width="47.44140625" style="2589" customWidth="1"/>
    <col min="9479" max="9479" width="13" style="2589" customWidth="1"/>
    <col min="9480" max="9481" width="8.88671875" style="2589"/>
    <col min="9482" max="9482" width="5.77734375" style="2589" customWidth="1"/>
    <col min="9483" max="9483" width="11.77734375" style="2589" customWidth="1"/>
    <col min="9484" max="9485" width="10.77734375" style="2589" customWidth="1"/>
    <col min="9486" max="9486" width="10" style="2589" customWidth="1"/>
    <col min="9487" max="9488" width="10.44140625" style="2589" bestFit="1" customWidth="1"/>
    <col min="9489" max="9489" width="10" style="2589" customWidth="1"/>
    <col min="9490" max="9490" width="10.109375" style="2589" customWidth="1"/>
    <col min="9491" max="9491" width="10" style="2589" customWidth="1"/>
    <col min="9492" max="9492" width="26.109375" style="2589" customWidth="1"/>
    <col min="9493" max="9728" width="8.88671875" style="2589"/>
    <col min="9729" max="9729" width="9.44140625" style="2589" customWidth="1"/>
    <col min="9730" max="9730" width="8.88671875" style="2589"/>
    <col min="9731" max="9733" width="12.88671875" style="2589" customWidth="1"/>
    <col min="9734" max="9734" width="47.44140625" style="2589" customWidth="1"/>
    <col min="9735" max="9735" width="13" style="2589" customWidth="1"/>
    <col min="9736" max="9737" width="8.88671875" style="2589"/>
    <col min="9738" max="9738" width="5.77734375" style="2589" customWidth="1"/>
    <col min="9739" max="9739" width="11.77734375" style="2589" customWidth="1"/>
    <col min="9740" max="9741" width="10.77734375" style="2589" customWidth="1"/>
    <col min="9742" max="9742" width="10" style="2589" customWidth="1"/>
    <col min="9743" max="9744" width="10.44140625" style="2589" bestFit="1" customWidth="1"/>
    <col min="9745" max="9745" width="10" style="2589" customWidth="1"/>
    <col min="9746" max="9746" width="10.109375" style="2589" customWidth="1"/>
    <col min="9747" max="9747" width="10" style="2589" customWidth="1"/>
    <col min="9748" max="9748" width="26.109375" style="2589" customWidth="1"/>
    <col min="9749" max="9984" width="8.88671875" style="2589"/>
    <col min="9985" max="9985" width="9.44140625" style="2589" customWidth="1"/>
    <col min="9986" max="9986" width="8.88671875" style="2589"/>
    <col min="9987" max="9989" width="12.88671875" style="2589" customWidth="1"/>
    <col min="9990" max="9990" width="47.44140625" style="2589" customWidth="1"/>
    <col min="9991" max="9991" width="13" style="2589" customWidth="1"/>
    <col min="9992" max="9993" width="8.88671875" style="2589"/>
    <col min="9994" max="9994" width="5.77734375" style="2589" customWidth="1"/>
    <col min="9995" max="9995" width="11.77734375" style="2589" customWidth="1"/>
    <col min="9996" max="9997" width="10.77734375" style="2589" customWidth="1"/>
    <col min="9998" max="9998" width="10" style="2589" customWidth="1"/>
    <col min="9999" max="10000" width="10.44140625" style="2589" bestFit="1" customWidth="1"/>
    <col min="10001" max="10001" width="10" style="2589" customWidth="1"/>
    <col min="10002" max="10002" width="10.109375" style="2589" customWidth="1"/>
    <col min="10003" max="10003" width="10" style="2589" customWidth="1"/>
    <col min="10004" max="10004" width="26.109375" style="2589" customWidth="1"/>
    <col min="10005" max="10240" width="8.88671875" style="2589"/>
    <col min="10241" max="10241" width="9.44140625" style="2589" customWidth="1"/>
    <col min="10242" max="10242" width="8.88671875" style="2589"/>
    <col min="10243" max="10245" width="12.88671875" style="2589" customWidth="1"/>
    <col min="10246" max="10246" width="47.44140625" style="2589" customWidth="1"/>
    <col min="10247" max="10247" width="13" style="2589" customWidth="1"/>
    <col min="10248" max="10249" width="8.88671875" style="2589"/>
    <col min="10250" max="10250" width="5.77734375" style="2589" customWidth="1"/>
    <col min="10251" max="10251" width="11.77734375" style="2589" customWidth="1"/>
    <col min="10252" max="10253" width="10.77734375" style="2589" customWidth="1"/>
    <col min="10254" max="10254" width="10" style="2589" customWidth="1"/>
    <col min="10255" max="10256" width="10.44140625" style="2589" bestFit="1" customWidth="1"/>
    <col min="10257" max="10257" width="10" style="2589" customWidth="1"/>
    <col min="10258" max="10258" width="10.109375" style="2589" customWidth="1"/>
    <col min="10259" max="10259" width="10" style="2589" customWidth="1"/>
    <col min="10260" max="10260" width="26.109375" style="2589" customWidth="1"/>
    <col min="10261" max="10496" width="8.88671875" style="2589"/>
    <col min="10497" max="10497" width="9.44140625" style="2589" customWidth="1"/>
    <col min="10498" max="10498" width="8.88671875" style="2589"/>
    <col min="10499" max="10501" width="12.88671875" style="2589" customWidth="1"/>
    <col min="10502" max="10502" width="47.44140625" style="2589" customWidth="1"/>
    <col min="10503" max="10503" width="13" style="2589" customWidth="1"/>
    <col min="10504" max="10505" width="8.88671875" style="2589"/>
    <col min="10506" max="10506" width="5.77734375" style="2589" customWidth="1"/>
    <col min="10507" max="10507" width="11.77734375" style="2589" customWidth="1"/>
    <col min="10508" max="10509" width="10.77734375" style="2589" customWidth="1"/>
    <col min="10510" max="10510" width="10" style="2589" customWidth="1"/>
    <col min="10511" max="10512" width="10.44140625" style="2589" bestFit="1" customWidth="1"/>
    <col min="10513" max="10513" width="10" style="2589" customWidth="1"/>
    <col min="10514" max="10514" width="10.109375" style="2589" customWidth="1"/>
    <col min="10515" max="10515" width="10" style="2589" customWidth="1"/>
    <col min="10516" max="10516" width="26.109375" style="2589" customWidth="1"/>
    <col min="10517" max="10752" width="8.88671875" style="2589"/>
    <col min="10753" max="10753" width="9.44140625" style="2589" customWidth="1"/>
    <col min="10754" max="10754" width="8.88671875" style="2589"/>
    <col min="10755" max="10757" width="12.88671875" style="2589" customWidth="1"/>
    <col min="10758" max="10758" width="47.44140625" style="2589" customWidth="1"/>
    <col min="10759" max="10759" width="13" style="2589" customWidth="1"/>
    <col min="10760" max="10761" width="8.88671875" style="2589"/>
    <col min="10762" max="10762" width="5.77734375" style="2589" customWidth="1"/>
    <col min="10763" max="10763" width="11.77734375" style="2589" customWidth="1"/>
    <col min="10764" max="10765" width="10.77734375" style="2589" customWidth="1"/>
    <col min="10766" max="10766" width="10" style="2589" customWidth="1"/>
    <col min="10767" max="10768" width="10.44140625" style="2589" bestFit="1" customWidth="1"/>
    <col min="10769" max="10769" width="10" style="2589" customWidth="1"/>
    <col min="10770" max="10770" width="10.109375" style="2589" customWidth="1"/>
    <col min="10771" max="10771" width="10" style="2589" customWidth="1"/>
    <col min="10772" max="10772" width="26.109375" style="2589" customWidth="1"/>
    <col min="10773" max="11008" width="8.88671875" style="2589"/>
    <col min="11009" max="11009" width="9.44140625" style="2589" customWidth="1"/>
    <col min="11010" max="11010" width="8.88671875" style="2589"/>
    <col min="11011" max="11013" width="12.88671875" style="2589" customWidth="1"/>
    <col min="11014" max="11014" width="47.44140625" style="2589" customWidth="1"/>
    <col min="11015" max="11015" width="13" style="2589" customWidth="1"/>
    <col min="11016" max="11017" width="8.88671875" style="2589"/>
    <col min="11018" max="11018" width="5.77734375" style="2589" customWidth="1"/>
    <col min="11019" max="11019" width="11.77734375" style="2589" customWidth="1"/>
    <col min="11020" max="11021" width="10.77734375" style="2589" customWidth="1"/>
    <col min="11022" max="11022" width="10" style="2589" customWidth="1"/>
    <col min="11023" max="11024" width="10.44140625" style="2589" bestFit="1" customWidth="1"/>
    <col min="11025" max="11025" width="10" style="2589" customWidth="1"/>
    <col min="11026" max="11026" width="10.109375" style="2589" customWidth="1"/>
    <col min="11027" max="11027" width="10" style="2589" customWidth="1"/>
    <col min="11028" max="11028" width="26.109375" style="2589" customWidth="1"/>
    <col min="11029" max="11264" width="8.88671875" style="2589"/>
    <col min="11265" max="11265" width="9.44140625" style="2589" customWidth="1"/>
    <col min="11266" max="11266" width="8.88671875" style="2589"/>
    <col min="11267" max="11269" width="12.88671875" style="2589" customWidth="1"/>
    <col min="11270" max="11270" width="47.44140625" style="2589" customWidth="1"/>
    <col min="11271" max="11271" width="13" style="2589" customWidth="1"/>
    <col min="11272" max="11273" width="8.88671875" style="2589"/>
    <col min="11274" max="11274" width="5.77734375" style="2589" customWidth="1"/>
    <col min="11275" max="11275" width="11.77734375" style="2589" customWidth="1"/>
    <col min="11276" max="11277" width="10.77734375" style="2589" customWidth="1"/>
    <col min="11278" max="11278" width="10" style="2589" customWidth="1"/>
    <col min="11279" max="11280" width="10.44140625" style="2589" bestFit="1" customWidth="1"/>
    <col min="11281" max="11281" width="10" style="2589" customWidth="1"/>
    <col min="11282" max="11282" width="10.109375" style="2589" customWidth="1"/>
    <col min="11283" max="11283" width="10" style="2589" customWidth="1"/>
    <col min="11284" max="11284" width="26.109375" style="2589" customWidth="1"/>
    <col min="11285" max="11520" width="8.88671875" style="2589"/>
    <col min="11521" max="11521" width="9.44140625" style="2589" customWidth="1"/>
    <col min="11522" max="11522" width="8.88671875" style="2589"/>
    <col min="11523" max="11525" width="12.88671875" style="2589" customWidth="1"/>
    <col min="11526" max="11526" width="47.44140625" style="2589" customWidth="1"/>
    <col min="11527" max="11527" width="13" style="2589" customWidth="1"/>
    <col min="11528" max="11529" width="8.88671875" style="2589"/>
    <col min="11530" max="11530" width="5.77734375" style="2589" customWidth="1"/>
    <col min="11531" max="11531" width="11.77734375" style="2589" customWidth="1"/>
    <col min="11532" max="11533" width="10.77734375" style="2589" customWidth="1"/>
    <col min="11534" max="11534" width="10" style="2589" customWidth="1"/>
    <col min="11535" max="11536" width="10.44140625" style="2589" bestFit="1" customWidth="1"/>
    <col min="11537" max="11537" width="10" style="2589" customWidth="1"/>
    <col min="11538" max="11538" width="10.109375" style="2589" customWidth="1"/>
    <col min="11539" max="11539" width="10" style="2589" customWidth="1"/>
    <col min="11540" max="11540" width="26.109375" style="2589" customWidth="1"/>
    <col min="11541" max="11776" width="8.88671875" style="2589"/>
    <col min="11777" max="11777" width="9.44140625" style="2589" customWidth="1"/>
    <col min="11778" max="11778" width="8.88671875" style="2589"/>
    <col min="11779" max="11781" width="12.88671875" style="2589" customWidth="1"/>
    <col min="11782" max="11782" width="47.44140625" style="2589" customWidth="1"/>
    <col min="11783" max="11783" width="13" style="2589" customWidth="1"/>
    <col min="11784" max="11785" width="8.88671875" style="2589"/>
    <col min="11786" max="11786" width="5.77734375" style="2589" customWidth="1"/>
    <col min="11787" max="11787" width="11.77734375" style="2589" customWidth="1"/>
    <col min="11788" max="11789" width="10.77734375" style="2589" customWidth="1"/>
    <col min="11790" max="11790" width="10" style="2589" customWidth="1"/>
    <col min="11791" max="11792" width="10.44140625" style="2589" bestFit="1" customWidth="1"/>
    <col min="11793" max="11793" width="10" style="2589" customWidth="1"/>
    <col min="11794" max="11794" width="10.109375" style="2589" customWidth="1"/>
    <col min="11795" max="11795" width="10" style="2589" customWidth="1"/>
    <col min="11796" max="11796" width="26.109375" style="2589" customWidth="1"/>
    <col min="11797" max="12032" width="8.88671875" style="2589"/>
    <col min="12033" max="12033" width="9.44140625" style="2589" customWidth="1"/>
    <col min="12034" max="12034" width="8.88671875" style="2589"/>
    <col min="12035" max="12037" width="12.88671875" style="2589" customWidth="1"/>
    <col min="12038" max="12038" width="47.44140625" style="2589" customWidth="1"/>
    <col min="12039" max="12039" width="13" style="2589" customWidth="1"/>
    <col min="12040" max="12041" width="8.88671875" style="2589"/>
    <col min="12042" max="12042" width="5.77734375" style="2589" customWidth="1"/>
    <col min="12043" max="12043" width="11.77734375" style="2589" customWidth="1"/>
    <col min="12044" max="12045" width="10.77734375" style="2589" customWidth="1"/>
    <col min="12046" max="12046" width="10" style="2589" customWidth="1"/>
    <col min="12047" max="12048" width="10.44140625" style="2589" bestFit="1" customWidth="1"/>
    <col min="12049" max="12049" width="10" style="2589" customWidth="1"/>
    <col min="12050" max="12050" width="10.109375" style="2589" customWidth="1"/>
    <col min="12051" max="12051" width="10" style="2589" customWidth="1"/>
    <col min="12052" max="12052" width="26.109375" style="2589" customWidth="1"/>
    <col min="12053" max="12288" width="8.88671875" style="2589"/>
    <col min="12289" max="12289" width="9.44140625" style="2589" customWidth="1"/>
    <col min="12290" max="12290" width="8.88671875" style="2589"/>
    <col min="12291" max="12293" width="12.88671875" style="2589" customWidth="1"/>
    <col min="12294" max="12294" width="47.44140625" style="2589" customWidth="1"/>
    <col min="12295" max="12295" width="13" style="2589" customWidth="1"/>
    <col min="12296" max="12297" width="8.88671875" style="2589"/>
    <col min="12298" max="12298" width="5.77734375" style="2589" customWidth="1"/>
    <col min="12299" max="12299" width="11.77734375" style="2589" customWidth="1"/>
    <col min="12300" max="12301" width="10.77734375" style="2589" customWidth="1"/>
    <col min="12302" max="12302" width="10" style="2589" customWidth="1"/>
    <col min="12303" max="12304" width="10.44140625" style="2589" bestFit="1" customWidth="1"/>
    <col min="12305" max="12305" width="10" style="2589" customWidth="1"/>
    <col min="12306" max="12306" width="10.109375" style="2589" customWidth="1"/>
    <col min="12307" max="12307" width="10" style="2589" customWidth="1"/>
    <col min="12308" max="12308" width="26.109375" style="2589" customWidth="1"/>
    <col min="12309" max="12544" width="8.88671875" style="2589"/>
    <col min="12545" max="12545" width="9.44140625" style="2589" customWidth="1"/>
    <col min="12546" max="12546" width="8.88671875" style="2589"/>
    <col min="12547" max="12549" width="12.88671875" style="2589" customWidth="1"/>
    <col min="12550" max="12550" width="47.44140625" style="2589" customWidth="1"/>
    <col min="12551" max="12551" width="13" style="2589" customWidth="1"/>
    <col min="12552" max="12553" width="8.88671875" style="2589"/>
    <col min="12554" max="12554" width="5.77734375" style="2589" customWidth="1"/>
    <col min="12555" max="12555" width="11.77734375" style="2589" customWidth="1"/>
    <col min="12556" max="12557" width="10.77734375" style="2589" customWidth="1"/>
    <col min="12558" max="12558" width="10" style="2589" customWidth="1"/>
    <col min="12559" max="12560" width="10.44140625" style="2589" bestFit="1" customWidth="1"/>
    <col min="12561" max="12561" width="10" style="2589" customWidth="1"/>
    <col min="12562" max="12562" width="10.109375" style="2589" customWidth="1"/>
    <col min="12563" max="12563" width="10" style="2589" customWidth="1"/>
    <col min="12564" max="12564" width="26.109375" style="2589" customWidth="1"/>
    <col min="12565" max="12800" width="8.88671875" style="2589"/>
    <col min="12801" max="12801" width="9.44140625" style="2589" customWidth="1"/>
    <col min="12802" max="12802" width="8.88671875" style="2589"/>
    <col min="12803" max="12805" width="12.88671875" style="2589" customWidth="1"/>
    <col min="12806" max="12806" width="47.44140625" style="2589" customWidth="1"/>
    <col min="12807" max="12807" width="13" style="2589" customWidth="1"/>
    <col min="12808" max="12809" width="8.88671875" style="2589"/>
    <col min="12810" max="12810" width="5.77734375" style="2589" customWidth="1"/>
    <col min="12811" max="12811" width="11.77734375" style="2589" customWidth="1"/>
    <col min="12812" max="12813" width="10.77734375" style="2589" customWidth="1"/>
    <col min="12814" max="12814" width="10" style="2589" customWidth="1"/>
    <col min="12815" max="12816" width="10.44140625" style="2589" bestFit="1" customWidth="1"/>
    <col min="12817" max="12817" width="10" style="2589" customWidth="1"/>
    <col min="12818" max="12818" width="10.109375" style="2589" customWidth="1"/>
    <col min="12819" max="12819" width="10" style="2589" customWidth="1"/>
    <col min="12820" max="12820" width="26.109375" style="2589" customWidth="1"/>
    <col min="12821" max="13056" width="8.88671875" style="2589"/>
    <col min="13057" max="13057" width="9.44140625" style="2589" customWidth="1"/>
    <col min="13058" max="13058" width="8.88671875" style="2589"/>
    <col min="13059" max="13061" width="12.88671875" style="2589" customWidth="1"/>
    <col min="13062" max="13062" width="47.44140625" style="2589" customWidth="1"/>
    <col min="13063" max="13063" width="13" style="2589" customWidth="1"/>
    <col min="13064" max="13065" width="8.88671875" style="2589"/>
    <col min="13066" max="13066" width="5.77734375" style="2589" customWidth="1"/>
    <col min="13067" max="13067" width="11.77734375" style="2589" customWidth="1"/>
    <col min="13068" max="13069" width="10.77734375" style="2589" customWidth="1"/>
    <col min="13070" max="13070" width="10" style="2589" customWidth="1"/>
    <col min="13071" max="13072" width="10.44140625" style="2589" bestFit="1" customWidth="1"/>
    <col min="13073" max="13073" width="10" style="2589" customWidth="1"/>
    <col min="13074" max="13074" width="10.109375" style="2589" customWidth="1"/>
    <col min="13075" max="13075" width="10" style="2589" customWidth="1"/>
    <col min="13076" max="13076" width="26.109375" style="2589" customWidth="1"/>
    <col min="13077" max="13312" width="8.88671875" style="2589"/>
    <col min="13313" max="13313" width="9.44140625" style="2589" customWidth="1"/>
    <col min="13314" max="13314" width="8.88671875" style="2589"/>
    <col min="13315" max="13317" width="12.88671875" style="2589" customWidth="1"/>
    <col min="13318" max="13318" width="47.44140625" style="2589" customWidth="1"/>
    <col min="13319" max="13319" width="13" style="2589" customWidth="1"/>
    <col min="13320" max="13321" width="8.88671875" style="2589"/>
    <col min="13322" max="13322" width="5.77734375" style="2589" customWidth="1"/>
    <col min="13323" max="13323" width="11.77734375" style="2589" customWidth="1"/>
    <col min="13324" max="13325" width="10.77734375" style="2589" customWidth="1"/>
    <col min="13326" max="13326" width="10" style="2589" customWidth="1"/>
    <col min="13327" max="13328" width="10.44140625" style="2589" bestFit="1" customWidth="1"/>
    <col min="13329" max="13329" width="10" style="2589" customWidth="1"/>
    <col min="13330" max="13330" width="10.109375" style="2589" customWidth="1"/>
    <col min="13331" max="13331" width="10" style="2589" customWidth="1"/>
    <col min="13332" max="13332" width="26.109375" style="2589" customWidth="1"/>
    <col min="13333" max="13568" width="8.88671875" style="2589"/>
    <col min="13569" max="13569" width="9.44140625" style="2589" customWidth="1"/>
    <col min="13570" max="13570" width="8.88671875" style="2589"/>
    <col min="13571" max="13573" width="12.88671875" style="2589" customWidth="1"/>
    <col min="13574" max="13574" width="47.44140625" style="2589" customWidth="1"/>
    <col min="13575" max="13575" width="13" style="2589" customWidth="1"/>
    <col min="13576" max="13577" width="8.88671875" style="2589"/>
    <col min="13578" max="13578" width="5.77734375" style="2589" customWidth="1"/>
    <col min="13579" max="13579" width="11.77734375" style="2589" customWidth="1"/>
    <col min="13580" max="13581" width="10.77734375" style="2589" customWidth="1"/>
    <col min="13582" max="13582" width="10" style="2589" customWidth="1"/>
    <col min="13583" max="13584" width="10.44140625" style="2589" bestFit="1" customWidth="1"/>
    <col min="13585" max="13585" width="10" style="2589" customWidth="1"/>
    <col min="13586" max="13586" width="10.109375" style="2589" customWidth="1"/>
    <col min="13587" max="13587" width="10" style="2589" customWidth="1"/>
    <col min="13588" max="13588" width="26.109375" style="2589" customWidth="1"/>
    <col min="13589" max="13824" width="8.88671875" style="2589"/>
    <col min="13825" max="13825" width="9.44140625" style="2589" customWidth="1"/>
    <col min="13826" max="13826" width="8.88671875" style="2589"/>
    <col min="13827" max="13829" width="12.88671875" style="2589" customWidth="1"/>
    <col min="13830" max="13830" width="47.44140625" style="2589" customWidth="1"/>
    <col min="13831" max="13831" width="13" style="2589" customWidth="1"/>
    <col min="13832" max="13833" width="8.88671875" style="2589"/>
    <col min="13834" max="13834" width="5.77734375" style="2589" customWidth="1"/>
    <col min="13835" max="13835" width="11.77734375" style="2589" customWidth="1"/>
    <col min="13836" max="13837" width="10.77734375" style="2589" customWidth="1"/>
    <col min="13838" max="13838" width="10" style="2589" customWidth="1"/>
    <col min="13839" max="13840" width="10.44140625" style="2589" bestFit="1" customWidth="1"/>
    <col min="13841" max="13841" width="10" style="2589" customWidth="1"/>
    <col min="13842" max="13842" width="10.109375" style="2589" customWidth="1"/>
    <col min="13843" max="13843" width="10" style="2589" customWidth="1"/>
    <col min="13844" max="13844" width="26.109375" style="2589" customWidth="1"/>
    <col min="13845" max="14080" width="8.88671875" style="2589"/>
    <col min="14081" max="14081" width="9.44140625" style="2589" customWidth="1"/>
    <col min="14082" max="14082" width="8.88671875" style="2589"/>
    <col min="14083" max="14085" width="12.88671875" style="2589" customWidth="1"/>
    <col min="14086" max="14086" width="47.44140625" style="2589" customWidth="1"/>
    <col min="14087" max="14087" width="13" style="2589" customWidth="1"/>
    <col min="14088" max="14089" width="8.88671875" style="2589"/>
    <col min="14090" max="14090" width="5.77734375" style="2589" customWidth="1"/>
    <col min="14091" max="14091" width="11.77734375" style="2589" customWidth="1"/>
    <col min="14092" max="14093" width="10.77734375" style="2589" customWidth="1"/>
    <col min="14094" max="14094" width="10" style="2589" customWidth="1"/>
    <col min="14095" max="14096" width="10.44140625" style="2589" bestFit="1" customWidth="1"/>
    <col min="14097" max="14097" width="10" style="2589" customWidth="1"/>
    <col min="14098" max="14098" width="10.109375" style="2589" customWidth="1"/>
    <col min="14099" max="14099" width="10" style="2589" customWidth="1"/>
    <col min="14100" max="14100" width="26.109375" style="2589" customWidth="1"/>
    <col min="14101" max="14336" width="8.88671875" style="2589"/>
    <col min="14337" max="14337" width="9.44140625" style="2589" customWidth="1"/>
    <col min="14338" max="14338" width="8.88671875" style="2589"/>
    <col min="14339" max="14341" width="12.88671875" style="2589" customWidth="1"/>
    <col min="14342" max="14342" width="47.44140625" style="2589" customWidth="1"/>
    <col min="14343" max="14343" width="13" style="2589" customWidth="1"/>
    <col min="14344" max="14345" width="8.88671875" style="2589"/>
    <col min="14346" max="14346" width="5.77734375" style="2589" customWidth="1"/>
    <col min="14347" max="14347" width="11.77734375" style="2589" customWidth="1"/>
    <col min="14348" max="14349" width="10.77734375" style="2589" customWidth="1"/>
    <col min="14350" max="14350" width="10" style="2589" customWidth="1"/>
    <col min="14351" max="14352" width="10.44140625" style="2589" bestFit="1" customWidth="1"/>
    <col min="14353" max="14353" width="10" style="2589" customWidth="1"/>
    <col min="14354" max="14354" width="10.109375" style="2589" customWidth="1"/>
    <col min="14355" max="14355" width="10" style="2589" customWidth="1"/>
    <col min="14356" max="14356" width="26.109375" style="2589" customWidth="1"/>
    <col min="14357" max="14592" width="8.88671875" style="2589"/>
    <col min="14593" max="14593" width="9.44140625" style="2589" customWidth="1"/>
    <col min="14594" max="14594" width="8.88671875" style="2589"/>
    <col min="14595" max="14597" width="12.88671875" style="2589" customWidth="1"/>
    <col min="14598" max="14598" width="47.44140625" style="2589" customWidth="1"/>
    <col min="14599" max="14599" width="13" style="2589" customWidth="1"/>
    <col min="14600" max="14601" width="8.88671875" style="2589"/>
    <col min="14602" max="14602" width="5.77734375" style="2589" customWidth="1"/>
    <col min="14603" max="14603" width="11.77734375" style="2589" customWidth="1"/>
    <col min="14604" max="14605" width="10.77734375" style="2589" customWidth="1"/>
    <col min="14606" max="14606" width="10" style="2589" customWidth="1"/>
    <col min="14607" max="14608" width="10.44140625" style="2589" bestFit="1" customWidth="1"/>
    <col min="14609" max="14609" width="10" style="2589" customWidth="1"/>
    <col min="14610" max="14610" width="10.109375" style="2589" customWidth="1"/>
    <col min="14611" max="14611" width="10" style="2589" customWidth="1"/>
    <col min="14612" max="14612" width="26.109375" style="2589" customWidth="1"/>
    <col min="14613" max="14848" width="8.88671875" style="2589"/>
    <col min="14849" max="14849" width="9.44140625" style="2589" customWidth="1"/>
    <col min="14850" max="14850" width="8.88671875" style="2589"/>
    <col min="14851" max="14853" width="12.88671875" style="2589" customWidth="1"/>
    <col min="14854" max="14854" width="47.44140625" style="2589" customWidth="1"/>
    <col min="14855" max="14855" width="13" style="2589" customWidth="1"/>
    <col min="14856" max="14857" width="8.88671875" style="2589"/>
    <col min="14858" max="14858" width="5.77734375" style="2589" customWidth="1"/>
    <col min="14859" max="14859" width="11.77734375" style="2589" customWidth="1"/>
    <col min="14860" max="14861" width="10.77734375" style="2589" customWidth="1"/>
    <col min="14862" max="14862" width="10" style="2589" customWidth="1"/>
    <col min="14863" max="14864" width="10.44140625" style="2589" bestFit="1" customWidth="1"/>
    <col min="14865" max="14865" width="10" style="2589" customWidth="1"/>
    <col min="14866" max="14866" width="10.109375" style="2589" customWidth="1"/>
    <col min="14867" max="14867" width="10" style="2589" customWidth="1"/>
    <col min="14868" max="14868" width="26.109375" style="2589" customWidth="1"/>
    <col min="14869" max="15104" width="8.88671875" style="2589"/>
    <col min="15105" max="15105" width="9.44140625" style="2589" customWidth="1"/>
    <col min="15106" max="15106" width="8.88671875" style="2589"/>
    <col min="15107" max="15109" width="12.88671875" style="2589" customWidth="1"/>
    <col min="15110" max="15110" width="47.44140625" style="2589" customWidth="1"/>
    <col min="15111" max="15111" width="13" style="2589" customWidth="1"/>
    <col min="15112" max="15113" width="8.88671875" style="2589"/>
    <col min="15114" max="15114" width="5.77734375" style="2589" customWidth="1"/>
    <col min="15115" max="15115" width="11.77734375" style="2589" customWidth="1"/>
    <col min="15116" max="15117" width="10.77734375" style="2589" customWidth="1"/>
    <col min="15118" max="15118" width="10" style="2589" customWidth="1"/>
    <col min="15119" max="15120" width="10.44140625" style="2589" bestFit="1" customWidth="1"/>
    <col min="15121" max="15121" width="10" style="2589" customWidth="1"/>
    <col min="15122" max="15122" width="10.109375" style="2589" customWidth="1"/>
    <col min="15123" max="15123" width="10" style="2589" customWidth="1"/>
    <col min="15124" max="15124" width="26.109375" style="2589" customWidth="1"/>
    <col min="15125" max="15360" width="8.88671875" style="2589"/>
    <col min="15361" max="15361" width="9.44140625" style="2589" customWidth="1"/>
    <col min="15362" max="15362" width="8.88671875" style="2589"/>
    <col min="15363" max="15365" width="12.88671875" style="2589" customWidth="1"/>
    <col min="15366" max="15366" width="47.44140625" style="2589" customWidth="1"/>
    <col min="15367" max="15367" width="13" style="2589" customWidth="1"/>
    <col min="15368" max="15369" width="8.88671875" style="2589"/>
    <col min="15370" max="15370" width="5.77734375" style="2589" customWidth="1"/>
    <col min="15371" max="15371" width="11.77734375" style="2589" customWidth="1"/>
    <col min="15372" max="15373" width="10.77734375" style="2589" customWidth="1"/>
    <col min="15374" max="15374" width="10" style="2589" customWidth="1"/>
    <col min="15375" max="15376" width="10.44140625" style="2589" bestFit="1" customWidth="1"/>
    <col min="15377" max="15377" width="10" style="2589" customWidth="1"/>
    <col min="15378" max="15378" width="10.109375" style="2589" customWidth="1"/>
    <col min="15379" max="15379" width="10" style="2589" customWidth="1"/>
    <col min="15380" max="15380" width="26.109375" style="2589" customWidth="1"/>
    <col min="15381" max="15616" width="8.88671875" style="2589"/>
    <col min="15617" max="15617" width="9.44140625" style="2589" customWidth="1"/>
    <col min="15618" max="15618" width="8.88671875" style="2589"/>
    <col min="15619" max="15621" width="12.88671875" style="2589" customWidth="1"/>
    <col min="15622" max="15622" width="47.44140625" style="2589" customWidth="1"/>
    <col min="15623" max="15623" width="13" style="2589" customWidth="1"/>
    <col min="15624" max="15625" width="8.88671875" style="2589"/>
    <col min="15626" max="15626" width="5.77734375" style="2589" customWidth="1"/>
    <col min="15627" max="15627" width="11.77734375" style="2589" customWidth="1"/>
    <col min="15628" max="15629" width="10.77734375" style="2589" customWidth="1"/>
    <col min="15630" max="15630" width="10" style="2589" customWidth="1"/>
    <col min="15631" max="15632" width="10.44140625" style="2589" bestFit="1" customWidth="1"/>
    <col min="15633" max="15633" width="10" style="2589" customWidth="1"/>
    <col min="15634" max="15634" width="10.109375" style="2589" customWidth="1"/>
    <col min="15635" max="15635" width="10" style="2589" customWidth="1"/>
    <col min="15636" max="15636" width="26.109375" style="2589" customWidth="1"/>
    <col min="15637" max="15872" width="8.88671875" style="2589"/>
    <col min="15873" max="15873" width="9.44140625" style="2589" customWidth="1"/>
    <col min="15874" max="15874" width="8.88671875" style="2589"/>
    <col min="15875" max="15877" width="12.88671875" style="2589" customWidth="1"/>
    <col min="15878" max="15878" width="47.44140625" style="2589" customWidth="1"/>
    <col min="15879" max="15879" width="13" style="2589" customWidth="1"/>
    <col min="15880" max="15881" width="8.88671875" style="2589"/>
    <col min="15882" max="15882" width="5.77734375" style="2589" customWidth="1"/>
    <col min="15883" max="15883" width="11.77734375" style="2589" customWidth="1"/>
    <col min="15884" max="15885" width="10.77734375" style="2589" customWidth="1"/>
    <col min="15886" max="15886" width="10" style="2589" customWidth="1"/>
    <col min="15887" max="15888" width="10.44140625" style="2589" bestFit="1" customWidth="1"/>
    <col min="15889" max="15889" width="10" style="2589" customWidth="1"/>
    <col min="15890" max="15890" width="10.109375" style="2589" customWidth="1"/>
    <col min="15891" max="15891" width="10" style="2589" customWidth="1"/>
    <col min="15892" max="15892" width="26.109375" style="2589" customWidth="1"/>
    <col min="15893" max="16128" width="8.88671875" style="2589"/>
    <col min="16129" max="16129" width="9.44140625" style="2589" customWidth="1"/>
    <col min="16130" max="16130" width="8.88671875" style="2589"/>
    <col min="16131" max="16133" width="12.88671875" style="2589" customWidth="1"/>
    <col min="16134" max="16134" width="47.44140625" style="2589" customWidth="1"/>
    <col min="16135" max="16135" width="13" style="2589" customWidth="1"/>
    <col min="16136" max="16137" width="8.88671875" style="2589"/>
    <col min="16138" max="16138" width="5.77734375" style="2589" customWidth="1"/>
    <col min="16139" max="16139" width="11.77734375" style="2589" customWidth="1"/>
    <col min="16140" max="16141" width="10.77734375" style="2589" customWidth="1"/>
    <col min="16142" max="16142" width="10" style="2589" customWidth="1"/>
    <col min="16143" max="16144" width="10.44140625" style="2589" bestFit="1" customWidth="1"/>
    <col min="16145" max="16145" width="10" style="2589" customWidth="1"/>
    <col min="16146" max="16146" width="10.109375" style="2589" customWidth="1"/>
    <col min="16147" max="16147" width="10" style="2589" customWidth="1"/>
    <col min="16148" max="16148" width="26.109375" style="2589" customWidth="1"/>
    <col min="16149" max="16384" width="8.88671875" style="2589"/>
  </cols>
  <sheetData>
    <row r="1" spans="1:22" ht="21" customHeight="1">
      <c r="A1" s="2578" t="s">
        <v>2430</v>
      </c>
      <c r="B1" s="2579"/>
      <c r="C1" s="2591"/>
      <c r="D1" s="2591"/>
      <c r="E1" s="2580"/>
      <c r="F1" s="2581"/>
      <c r="G1" s="2582"/>
      <c r="J1" s="2585" t="s">
        <v>2309</v>
      </c>
      <c r="K1" s="2586"/>
      <c r="L1" s="2586"/>
      <c r="M1" s="2586"/>
      <c r="N1" s="2586"/>
      <c r="O1" s="2586"/>
      <c r="P1" s="2586"/>
      <c r="Q1" s="2586"/>
      <c r="R1" s="2587"/>
      <c r="S1" s="2588"/>
      <c r="T1" s="2588"/>
      <c r="U1" s="2588"/>
    </row>
    <row r="2" spans="1:22" s="2600" customFormat="1" ht="13.2" customHeight="1">
      <c r="A2" s="1291" t="s">
        <v>2310</v>
      </c>
      <c r="B2" s="2590" t="e">
        <f>IF(D2="——",C40,C40+E2)</f>
        <v>#DIV/0!</v>
      </c>
      <c r="C2" s="2591" t="s">
        <v>2311</v>
      </c>
      <c r="D2" s="3134" t="s">
        <v>3353</v>
      </c>
      <c r="E2" s="3135"/>
      <c r="F2" s="2593"/>
      <c r="G2" s="2594"/>
      <c r="H2" s="2595"/>
      <c r="I2" s="2596"/>
      <c r="J2" s="3431" t="s">
        <v>2312</v>
      </c>
      <c r="K2" s="3432"/>
      <c r="L2" s="2597" t="s">
        <v>2313</v>
      </c>
      <c r="M2" s="2597" t="s">
        <v>2314</v>
      </c>
      <c r="N2" s="2597" t="s">
        <v>2315</v>
      </c>
      <c r="O2" s="2597" t="s">
        <v>2316</v>
      </c>
      <c r="P2" s="2597" t="s">
        <v>2317</v>
      </c>
      <c r="Q2" s="2598" t="s">
        <v>2318</v>
      </c>
      <c r="R2" s="2599" t="s">
        <v>2319</v>
      </c>
      <c r="S2" s="2588"/>
      <c r="T2" s="2588"/>
      <c r="U2" s="2588"/>
      <c r="V2" s="2596"/>
    </row>
    <row r="3" spans="1:22" s="2600" customFormat="1" ht="13.2" customHeight="1">
      <c r="A3" s="2601" t="s">
        <v>2320</v>
      </c>
      <c r="B3" s="2602" t="e">
        <f>ROUND(B2*10000/B4,0)</f>
        <v>#DIV/0!</v>
      </c>
      <c r="C3" s="2591" t="s">
        <v>2321</v>
      </c>
      <c r="D3" s="2591"/>
      <c r="E3" s="2592"/>
      <c r="F3" s="2593"/>
      <c r="G3" s="2594"/>
      <c r="H3" s="2595"/>
      <c r="I3" s="2596"/>
      <c r="J3" s="3433" t="s">
        <v>2322</v>
      </c>
      <c r="K3" s="3434"/>
      <c r="L3" s="2603"/>
      <c r="M3" s="2603"/>
      <c r="N3" s="2603"/>
      <c r="O3" s="2603"/>
      <c r="P3" s="2603"/>
      <c r="Q3" s="2604"/>
      <c r="R3" s="2605">
        <f>SUM(L3:Q3)</f>
        <v>0</v>
      </c>
      <c r="S3" s="2588"/>
      <c r="T3" s="2588"/>
      <c r="U3" s="2588"/>
      <c r="V3" s="2596"/>
    </row>
    <row r="4" spans="1:22" s="2600" customFormat="1" ht="13.2" customHeight="1">
      <c r="A4" s="2606" t="s">
        <v>2323</v>
      </c>
      <c r="B4" s="2607"/>
      <c r="C4" s="2591"/>
      <c r="D4" s="2591"/>
      <c r="E4" s="2592"/>
      <c r="F4" s="2593"/>
      <c r="G4" s="2594"/>
      <c r="H4" s="2595"/>
      <c r="I4" s="2596"/>
      <c r="J4" s="3433" t="s">
        <v>2324</v>
      </c>
      <c r="K4" s="3434"/>
      <c r="L4" s="2608"/>
      <c r="M4" s="2608"/>
      <c r="N4" s="2608"/>
      <c r="O4" s="2608"/>
      <c r="P4" s="2608"/>
      <c r="Q4" s="2609"/>
      <c r="R4" s="2610">
        <f>SUM(L4:Q4)</f>
        <v>0</v>
      </c>
      <c r="S4" s="2588"/>
      <c r="T4" s="2588"/>
      <c r="U4" s="2588"/>
      <c r="V4" s="2596"/>
    </row>
    <row r="5" spans="1:22" s="2600" customFormat="1" ht="13.2" customHeight="1" thickBot="1">
      <c r="A5" s="2611" t="s">
        <v>2325</v>
      </c>
      <c r="B5" s="2612"/>
      <c r="C5" s="2591"/>
      <c r="D5" s="2613"/>
      <c r="E5" s="2593"/>
      <c r="F5" s="2593"/>
      <c r="G5" s="2594"/>
      <c r="H5" s="2595"/>
      <c r="I5" s="2596"/>
      <c r="J5" s="2614" t="s">
        <v>2326</v>
      </c>
      <c r="K5" s="2615"/>
      <c r="L5" s="2615"/>
      <c r="M5" s="2616"/>
      <c r="N5" s="2616"/>
      <c r="O5" s="2616"/>
      <c r="P5" s="2616"/>
      <c r="Q5" s="2616"/>
      <c r="R5" s="2599">
        <f>SUM(R14,R19,R24,R25,R27,R28)</f>
        <v>0</v>
      </c>
      <c r="S5" s="2588"/>
      <c r="T5" s="2588" t="s">
        <v>2327</v>
      </c>
      <c r="U5" s="2588" t="e">
        <f>ROUND(R5*10000/365/R3,1)</f>
        <v>#DIV/0!</v>
      </c>
      <c r="V5" s="2596"/>
    </row>
    <row r="6" spans="1:22" s="2600" customFormat="1" ht="13.2" customHeight="1" thickBot="1">
      <c r="A6" s="3439" t="s">
        <v>2328</v>
      </c>
      <c r="B6" s="3440"/>
      <c r="C6" s="3441"/>
      <c r="D6" s="2617"/>
      <c r="E6" s="2618"/>
      <c r="F6" s="2619"/>
      <c r="G6" s="2620"/>
      <c r="H6" s="2595"/>
      <c r="I6" s="2596"/>
      <c r="J6" s="3425">
        <v>1</v>
      </c>
      <c r="K6" s="3426" t="s">
        <v>2329</v>
      </c>
      <c r="L6" s="2621" t="s">
        <v>2330</v>
      </c>
      <c r="M6" s="2622" t="s">
        <v>2331</v>
      </c>
      <c r="N6" s="2622" t="s">
        <v>2332</v>
      </c>
      <c r="O6" s="2622" t="s">
        <v>2333</v>
      </c>
      <c r="P6" s="2622" t="s">
        <v>2334</v>
      </c>
      <c r="Q6" s="2622" t="s">
        <v>2335</v>
      </c>
      <c r="R6" s="2605" t="s">
        <v>2336</v>
      </c>
      <c r="S6" s="2588"/>
      <c r="T6" s="2588" t="s">
        <v>2337</v>
      </c>
      <c r="U6" s="2588"/>
      <c r="V6" s="2596"/>
    </row>
    <row r="7" spans="1:22" s="2600" customFormat="1" ht="13.2" customHeight="1">
      <c r="A7" s="2623" t="s">
        <v>2338</v>
      </c>
      <c r="B7" s="2624"/>
      <c r="C7" s="2625"/>
      <c r="D7" s="2626">
        <f>SUM(D9,D10,D11,D17,0)</f>
        <v>0</v>
      </c>
      <c r="E7" s="2627" t="e">
        <f>E9+E10+E11+E17</f>
        <v>#DIV/0!</v>
      </c>
      <c r="F7" s="2628"/>
      <c r="G7" s="2629"/>
      <c r="H7" s="2595"/>
      <c r="I7" s="2596"/>
      <c r="J7" s="3425"/>
      <c r="K7" s="3427"/>
      <c r="L7" s="2630" t="s">
        <v>2339</v>
      </c>
      <c r="M7" s="2631"/>
      <c r="N7" s="2607"/>
      <c r="O7" s="2632"/>
      <c r="P7" s="2632"/>
      <c r="Q7" s="2633">
        <v>365</v>
      </c>
      <c r="R7" s="2634">
        <f>ROUND(M7*N7*O7*P7*Q7/10000,0)</f>
        <v>0</v>
      </c>
      <c r="S7" s="2588"/>
      <c r="T7" s="2588" t="s">
        <v>2340</v>
      </c>
      <c r="U7" s="2588"/>
      <c r="V7" s="2596"/>
    </row>
    <row r="8" spans="1:22" s="2600" customFormat="1" ht="13.2" customHeight="1">
      <c r="A8" s="2635" t="s">
        <v>2341</v>
      </c>
      <c r="B8" s="3442" t="s">
        <v>2342</v>
      </c>
      <c r="C8" s="3443"/>
      <c r="D8" s="2636" t="s">
        <v>2343</v>
      </c>
      <c r="E8" s="2637" t="s">
        <v>2344</v>
      </c>
      <c r="F8" s="2638" t="s">
        <v>2345</v>
      </c>
      <c r="G8" s="2639"/>
      <c r="H8" s="2595"/>
      <c r="I8" s="2596"/>
      <c r="J8" s="3425"/>
      <c r="K8" s="3427"/>
      <c r="L8" s="2630" t="s">
        <v>2346</v>
      </c>
      <c r="M8" s="2631"/>
      <c r="N8" s="2607"/>
      <c r="O8" s="2632"/>
      <c r="P8" s="2632"/>
      <c r="Q8" s="2633">
        <v>365</v>
      </c>
      <c r="R8" s="2634">
        <f t="shared" ref="R8:R13" si="0">ROUND(M8*N8*O8*P8*Q8/10000,0)</f>
        <v>0</v>
      </c>
      <c r="S8" s="2588"/>
      <c r="T8" s="2588" t="s">
        <v>2347</v>
      </c>
      <c r="U8" s="2588"/>
      <c r="V8" s="2596"/>
    </row>
    <row r="9" spans="1:22" s="2600" customFormat="1" ht="13.2" customHeight="1">
      <c r="A9" s="2635">
        <v>1</v>
      </c>
      <c r="B9" s="3442" t="s">
        <v>2348</v>
      </c>
      <c r="C9" s="3443"/>
      <c r="D9" s="2636">
        <f>ROUND(D6*E9,0)</f>
        <v>0</v>
      </c>
      <c r="E9" s="2640"/>
      <c r="F9" s="2641" t="s">
        <v>2349</v>
      </c>
      <c r="G9" s="2620"/>
      <c r="H9" s="2595"/>
      <c r="I9" s="2596"/>
      <c r="J9" s="3425"/>
      <c r="K9" s="3427"/>
      <c r="L9" s="2630" t="s">
        <v>2350</v>
      </c>
      <c r="M9" s="2631"/>
      <c r="N9" s="2607"/>
      <c r="O9" s="2632"/>
      <c r="P9" s="2632"/>
      <c r="Q9" s="2633">
        <v>365</v>
      </c>
      <c r="R9" s="2634">
        <f t="shared" si="0"/>
        <v>0</v>
      </c>
      <c r="S9" s="2588"/>
      <c r="T9" s="2588"/>
      <c r="U9" s="2588"/>
      <c r="V9" s="2596"/>
    </row>
    <row r="10" spans="1:22" s="2600" customFormat="1" ht="13.2" customHeight="1">
      <c r="A10" s="2635">
        <v>2</v>
      </c>
      <c r="B10" s="3442" t="s">
        <v>2351</v>
      </c>
      <c r="C10" s="3443"/>
      <c r="D10" s="2636">
        <f>ROUND(D6*E10,0)</f>
        <v>0</v>
      </c>
      <c r="E10" s="2640"/>
      <c r="F10" s="2641" t="s">
        <v>2352</v>
      </c>
      <c r="G10" s="2620"/>
      <c r="H10" s="2595"/>
      <c r="I10" s="2596"/>
      <c r="J10" s="3425"/>
      <c r="K10" s="3427"/>
      <c r="L10" s="2630" t="s">
        <v>2353</v>
      </c>
      <c r="M10" s="2631"/>
      <c r="N10" s="2607"/>
      <c r="O10" s="2632"/>
      <c r="P10" s="2632"/>
      <c r="Q10" s="2633">
        <v>365</v>
      </c>
      <c r="R10" s="2634">
        <f t="shared" si="0"/>
        <v>0</v>
      </c>
      <c r="S10" s="2588"/>
      <c r="T10" s="2588"/>
      <c r="U10" s="2588"/>
      <c r="V10" s="2596"/>
    </row>
    <row r="11" spans="1:22" s="2600" customFormat="1" ht="13.2" customHeight="1">
      <c r="A11" s="2635">
        <v>3</v>
      </c>
      <c r="B11" s="3442" t="s">
        <v>2354</v>
      </c>
      <c r="C11" s="3443"/>
      <c r="D11" s="2636">
        <f>D12+D14+D15+D16</f>
        <v>0</v>
      </c>
      <c r="E11" s="2642" t="e">
        <f>D11/D6</f>
        <v>#DIV/0!</v>
      </c>
      <c r="F11" s="2638"/>
      <c r="G11" s="2639"/>
      <c r="H11" s="2595"/>
      <c r="I11" s="2596"/>
      <c r="J11" s="3425"/>
      <c r="K11" s="3427"/>
      <c r="L11" s="2630" t="s">
        <v>2355</v>
      </c>
      <c r="M11" s="2631"/>
      <c r="N11" s="2607"/>
      <c r="O11" s="2632"/>
      <c r="P11" s="2632"/>
      <c r="Q11" s="2633">
        <v>365</v>
      </c>
      <c r="R11" s="2634">
        <f t="shared" si="0"/>
        <v>0</v>
      </c>
      <c r="S11" s="2588"/>
      <c r="T11" s="2588"/>
      <c r="U11" s="2588"/>
      <c r="V11" s="2596"/>
    </row>
    <row r="12" spans="1:22" s="2600" customFormat="1" ht="13.2" customHeight="1">
      <c r="A12" s="2643" t="s">
        <v>2356</v>
      </c>
      <c r="B12" s="3435" t="s">
        <v>2357</v>
      </c>
      <c r="C12" s="3436"/>
      <c r="D12" s="2644">
        <f>ROUND(D13*1.2%*(1-30%),0)</f>
        <v>0</v>
      </c>
      <c r="E12" s="2645">
        <v>1.2E-2</v>
      </c>
      <c r="F12" s="2638" t="s">
        <v>2358</v>
      </c>
      <c r="G12" s="2639"/>
      <c r="H12" s="2595"/>
      <c r="I12" s="2596"/>
      <c r="J12" s="3425"/>
      <c r="K12" s="3427"/>
      <c r="L12" s="2630" t="s">
        <v>2359</v>
      </c>
      <c r="M12" s="2631"/>
      <c r="N12" s="2607"/>
      <c r="O12" s="2632"/>
      <c r="P12" s="2632"/>
      <c r="Q12" s="2633">
        <v>365</v>
      </c>
      <c r="R12" s="2634">
        <f t="shared" si="0"/>
        <v>0</v>
      </c>
      <c r="S12" s="2588"/>
      <c r="T12" s="2588"/>
      <c r="U12" s="2588"/>
      <c r="V12" s="2596"/>
    </row>
    <row r="13" spans="1:22" s="2600" customFormat="1" ht="13.2" customHeight="1">
      <c r="A13" s="2643"/>
      <c r="B13" s="2646"/>
      <c r="C13" s="2647" t="s">
        <v>2360</v>
      </c>
      <c r="D13" s="2648"/>
      <c r="E13" s="2649"/>
      <c r="F13" s="2638"/>
      <c r="G13" s="2639"/>
      <c r="H13" s="2595"/>
      <c r="I13" s="2596"/>
      <c r="J13" s="3425"/>
      <c r="K13" s="3427"/>
      <c r="L13" s="2630" t="s">
        <v>2361</v>
      </c>
      <c r="M13" s="2631"/>
      <c r="N13" s="2607"/>
      <c r="O13" s="2632"/>
      <c r="P13" s="2632"/>
      <c r="Q13" s="2633">
        <v>365</v>
      </c>
      <c r="R13" s="2634">
        <f t="shared" si="0"/>
        <v>0</v>
      </c>
      <c r="S13" s="2588"/>
      <c r="T13" s="2588"/>
      <c r="U13" s="2588"/>
      <c r="V13" s="2596"/>
    </row>
    <row r="14" spans="1:22" s="2600" customFormat="1" ht="13.2" customHeight="1">
      <c r="A14" s="2643" t="s">
        <v>2362</v>
      </c>
      <c r="B14" s="3435" t="s">
        <v>2363</v>
      </c>
      <c r="C14" s="3436"/>
      <c r="D14" s="2644">
        <f>ROUND(E14*B5/10000,0)</f>
        <v>0</v>
      </c>
      <c r="E14" s="2633"/>
      <c r="F14" s="2638" t="s">
        <v>2364</v>
      </c>
      <c r="G14" s="2639"/>
      <c r="H14" s="2595"/>
      <c r="I14" s="2596"/>
      <c r="J14" s="3425"/>
      <c r="K14" s="3428"/>
      <c r="L14" s="2650" t="s">
        <v>2365</v>
      </c>
      <c r="M14" s="2651">
        <f>SUM(M7:M13)</f>
        <v>0</v>
      </c>
      <c r="N14" s="2651" t="e">
        <f>ROUND((N7*M7+N8*M8+N9*M9+N10*M10+N11*M11+N12*M12+N13*M13)/M14,0)</f>
        <v>#DIV/0!</v>
      </c>
      <c r="O14" s="2652"/>
      <c r="P14" s="2652"/>
      <c r="Q14" s="2653"/>
      <c r="R14" s="2599">
        <f>SUM(R7:R13)</f>
        <v>0</v>
      </c>
      <c r="S14" s="2588"/>
      <c r="T14" s="2588"/>
      <c r="U14" s="2588"/>
      <c r="V14" s="2596"/>
    </row>
    <row r="15" spans="1:22" s="2600" customFormat="1" ht="13.2" customHeight="1">
      <c r="A15" s="2643" t="s">
        <v>2366</v>
      </c>
      <c r="B15" s="3435" t="s">
        <v>2367</v>
      </c>
      <c r="C15" s="3436"/>
      <c r="D15" s="2644">
        <f>ROUND(D6*E15,0)</f>
        <v>0</v>
      </c>
      <c r="E15" s="2645">
        <v>5.5E-2</v>
      </c>
      <c r="F15" s="2638" t="s">
        <v>2368</v>
      </c>
      <c r="G15" s="2620"/>
      <c r="H15" s="2595"/>
      <c r="I15" s="2596"/>
      <c r="J15" s="3425">
        <v>2</v>
      </c>
      <c r="K15" s="3426" t="s">
        <v>2369</v>
      </c>
      <c r="L15" s="2630" t="s">
        <v>2370</v>
      </c>
      <c r="M15" s="2631" t="s">
        <v>2371</v>
      </c>
      <c r="N15" s="2631" t="s">
        <v>2372</v>
      </c>
      <c r="O15" s="2632" t="s">
        <v>2373</v>
      </c>
      <c r="P15" s="2632" t="s">
        <v>2335</v>
      </c>
      <c r="Q15" s="2607" t="s">
        <v>2374</v>
      </c>
      <c r="R15" s="2654" t="s">
        <v>2336</v>
      </c>
      <c r="S15" s="2588"/>
      <c r="T15" s="2588"/>
      <c r="U15" s="2588"/>
      <c r="V15" s="2596"/>
    </row>
    <row r="16" spans="1:22" s="2600" customFormat="1" ht="13.2" customHeight="1">
      <c r="A16" s="2643" t="s">
        <v>2375</v>
      </c>
      <c r="B16" s="3435" t="s">
        <v>2376</v>
      </c>
      <c r="C16" s="3436"/>
      <c r="D16" s="2655">
        <f>D6*E16</f>
        <v>0</v>
      </c>
      <c r="E16" s="2656"/>
      <c r="F16" s="2641" t="s">
        <v>2377</v>
      </c>
      <c r="G16" s="2620"/>
      <c r="H16" s="2595"/>
      <c r="I16" s="2596"/>
      <c r="J16" s="3425"/>
      <c r="K16" s="3427"/>
      <c r="L16" s="2630" t="s">
        <v>2378</v>
      </c>
      <c r="M16" s="2631"/>
      <c r="N16" s="2631"/>
      <c r="O16" s="2632"/>
      <c r="P16" s="2633">
        <v>365</v>
      </c>
      <c r="Q16" s="2607"/>
      <c r="R16" s="2654">
        <f>ROUND(M16*N16*O16*P16/10000,0)</f>
        <v>0</v>
      </c>
      <c r="S16" s="2588"/>
      <c r="T16" s="2588"/>
      <c r="U16" s="2588"/>
      <c r="V16" s="2596"/>
    </row>
    <row r="17" spans="1:22" s="2600" customFormat="1" ht="13.2" customHeight="1" thickBot="1">
      <c r="A17" s="2657">
        <v>4</v>
      </c>
      <c r="B17" s="3437" t="s">
        <v>2379</v>
      </c>
      <c r="C17" s="3438"/>
      <c r="D17" s="2658">
        <f>ROUND(D6*E17,0)</f>
        <v>0</v>
      </c>
      <c r="E17" s="2659"/>
      <c r="F17" s="2660" t="s">
        <v>2380</v>
      </c>
      <c r="G17" s="2620"/>
      <c r="H17" s="2595"/>
      <c r="I17" s="2596"/>
      <c r="J17" s="3425"/>
      <c r="K17" s="3427"/>
      <c r="L17" s="2630" t="s">
        <v>2381</v>
      </c>
      <c r="M17" s="2631"/>
      <c r="N17" s="2631"/>
      <c r="O17" s="2632"/>
      <c r="P17" s="2633">
        <v>365</v>
      </c>
      <c r="Q17" s="2607"/>
      <c r="R17" s="2654">
        <f>ROUND(M17*N17*O17*P17/10000,0)</f>
        <v>0</v>
      </c>
      <c r="S17" s="2588"/>
      <c r="T17" s="2588"/>
      <c r="U17" s="2588"/>
      <c r="V17" s="2596"/>
    </row>
    <row r="18" spans="1:22" s="2600" customFormat="1" ht="13.2" customHeight="1" thickBot="1">
      <c r="A18" s="2623" t="s">
        <v>2382</v>
      </c>
      <c r="B18" s="2624"/>
      <c r="C18" s="2624"/>
      <c r="D18" s="2661">
        <f>ROUND(D6*E18,0)</f>
        <v>0</v>
      </c>
      <c r="E18" s="2662"/>
      <c r="F18" s="2663" t="s">
        <v>2383</v>
      </c>
      <c r="G18" s="2620"/>
      <c r="H18" s="2595"/>
      <c r="I18" s="2596"/>
      <c r="J18" s="3425"/>
      <c r="K18" s="3427"/>
      <c r="L18" s="2630" t="s">
        <v>2384</v>
      </c>
      <c r="M18" s="2631"/>
      <c r="N18" s="2631"/>
      <c r="O18" s="2632"/>
      <c r="P18" s="2633">
        <v>365</v>
      </c>
      <c r="Q18" s="2607"/>
      <c r="R18" s="2654">
        <f>ROUND(M18*N18*O18*P18/10000,0)</f>
        <v>0</v>
      </c>
      <c r="S18" s="2588"/>
      <c r="T18" s="2588"/>
      <c r="U18" s="2588"/>
      <c r="V18" s="2596"/>
    </row>
    <row r="19" spans="1:22" s="2600" customFormat="1" ht="13.2" customHeight="1" thickBot="1">
      <c r="A19" s="2664" t="s">
        <v>2385</v>
      </c>
      <c r="B19" s="2618"/>
      <c r="C19" s="2618"/>
      <c r="D19" s="2618"/>
      <c r="E19" s="2618"/>
      <c r="F19" s="2619"/>
      <c r="G19" s="2639"/>
      <c r="H19" s="2595"/>
      <c r="I19" s="2596"/>
      <c r="J19" s="3425"/>
      <c r="K19" s="3428"/>
      <c r="L19" s="2650" t="s">
        <v>2365</v>
      </c>
      <c r="M19" s="2651"/>
      <c r="N19" s="2651">
        <f>SUM(N16:N18)</f>
        <v>0</v>
      </c>
      <c r="O19" s="2652"/>
      <c r="P19" s="2665" t="s">
        <v>2429</v>
      </c>
      <c r="Q19" s="2632">
        <v>0</v>
      </c>
      <c r="R19" s="2666">
        <f>ROUND(IF(P19="按比例",R14*Q19,SUM(R16:R18)),0)</f>
        <v>0</v>
      </c>
      <c r="S19" s="2588"/>
      <c r="T19" s="2588"/>
      <c r="U19" s="2588"/>
      <c r="V19" s="2596"/>
    </row>
    <row r="20" spans="1:22" s="2600" customFormat="1" ht="13.2" customHeight="1">
      <c r="A20" s="2623"/>
      <c r="B20" s="2624"/>
      <c r="C20" s="2624"/>
      <c r="D20" s="2624"/>
      <c r="E20" s="2624"/>
      <c r="F20" s="2667"/>
      <c r="G20" s="2639"/>
      <c r="H20" s="2595"/>
      <c r="I20" s="2596"/>
      <c r="J20" s="3425">
        <v>3</v>
      </c>
      <c r="K20" s="3426" t="s">
        <v>2386</v>
      </c>
      <c r="L20" s="2630" t="s">
        <v>2387</v>
      </c>
      <c r="M20" s="2631" t="s">
        <v>2388</v>
      </c>
      <c r="N20" s="2668" t="s">
        <v>2389</v>
      </c>
      <c r="O20" s="2632" t="s">
        <v>2390</v>
      </c>
      <c r="P20" s="2633" t="s">
        <v>2391</v>
      </c>
      <c r="Q20" s="2607" t="s">
        <v>2392</v>
      </c>
      <c r="R20" s="2654" t="s">
        <v>2393</v>
      </c>
      <c r="S20" s="2588"/>
      <c r="T20" s="2588"/>
      <c r="U20" s="2588"/>
      <c r="V20" s="2596"/>
    </row>
    <row r="21" spans="1:22" s="2600" customFormat="1" ht="13.2" customHeight="1">
      <c r="A21" s="2623"/>
      <c r="B21" s="2624"/>
      <c r="C21" s="2669" t="s">
        <v>2394</v>
      </c>
      <c r="D21" s="2670" t="s">
        <v>2395</v>
      </c>
      <c r="E21" s="2671" t="s">
        <v>2396</v>
      </c>
      <c r="F21" s="2667"/>
      <c r="G21" s="2639"/>
      <c r="H21" s="2595"/>
      <c r="I21" s="2596"/>
      <c r="J21" s="3425"/>
      <c r="K21" s="3427"/>
      <c r="L21" s="2630" t="s">
        <v>2397</v>
      </c>
      <c r="M21" s="2631"/>
      <c r="N21" s="2631"/>
      <c r="O21" s="2632"/>
      <c r="P21" s="2633">
        <v>365</v>
      </c>
      <c r="Q21" s="2607"/>
      <c r="R21" s="2672">
        <f>ROUND(M21*N21*O21*P21/10000,0)</f>
        <v>0</v>
      </c>
      <c r="S21" s="2588"/>
      <c r="T21" s="2588"/>
      <c r="U21" s="2588"/>
      <c r="V21" s="2596"/>
    </row>
    <row r="22" spans="1:22" s="2600" customFormat="1" ht="13.2" customHeight="1">
      <c r="A22" s="2623"/>
      <c r="B22" s="2624"/>
      <c r="C22" s="2673" t="s">
        <v>2398</v>
      </c>
      <c r="D22" s="2674" t="s">
        <v>2399</v>
      </c>
      <c r="E22" s="2675" t="s">
        <v>2400</v>
      </c>
      <c r="F22" s="2667"/>
      <c r="G22" s="2588"/>
      <c r="H22" s="2595"/>
      <c r="I22" s="2596"/>
      <c r="J22" s="3425"/>
      <c r="K22" s="3427"/>
      <c r="L22" s="2630" t="s">
        <v>2401</v>
      </c>
      <c r="M22" s="2631"/>
      <c r="N22" s="2631"/>
      <c r="O22" s="2632"/>
      <c r="P22" s="2633">
        <v>365</v>
      </c>
      <c r="Q22" s="2607"/>
      <c r="R22" s="2672">
        <f>ROUND(M22*N22*O22*P22/10000,0)</f>
        <v>0</v>
      </c>
      <c r="S22" s="2588"/>
      <c r="T22" s="2588"/>
      <c r="U22" s="2588"/>
      <c r="V22" s="2596"/>
    </row>
    <row r="23" spans="1:22" s="2600" customFormat="1" ht="13.2" customHeight="1">
      <c r="A23" s="2676">
        <v>1</v>
      </c>
      <c r="B23" s="2677" t="s">
        <v>2402</v>
      </c>
      <c r="C23" s="2678">
        <f>D6</f>
        <v>0</v>
      </c>
      <c r="D23" s="2679">
        <f>C23*(1+D24)</f>
        <v>0</v>
      </c>
      <c r="E23" s="2680">
        <f>D23*(1+E24)</f>
        <v>0</v>
      </c>
      <c r="F23" s="2681"/>
      <c r="G23" s="2682"/>
      <c r="H23" s="2595"/>
      <c r="I23" s="2596"/>
      <c r="J23" s="3425"/>
      <c r="K23" s="3427"/>
      <c r="L23" s="2630" t="s">
        <v>2403</v>
      </c>
      <c r="M23" s="2631"/>
      <c r="N23" s="2631"/>
      <c r="O23" s="2632"/>
      <c r="P23" s="2633">
        <v>365</v>
      </c>
      <c r="Q23" s="2607"/>
      <c r="R23" s="2672">
        <f>ROUND(M23*N23*O23*P23/10000,0)</f>
        <v>0</v>
      </c>
      <c r="S23" s="2588"/>
      <c r="T23" s="2588"/>
      <c r="U23" s="2588"/>
      <c r="V23" s="2596"/>
    </row>
    <row r="24" spans="1:22" s="2600" customFormat="1" ht="13.2" customHeight="1">
      <c r="A24" s="2683"/>
      <c r="B24" s="2684" t="s">
        <v>2404</v>
      </c>
      <c r="C24" s="2685"/>
      <c r="D24" s="2686"/>
      <c r="E24" s="2687"/>
      <c r="F24" s="2688"/>
      <c r="G24" s="2682"/>
      <c r="H24" s="2595"/>
      <c r="I24" s="2596"/>
      <c r="J24" s="3425"/>
      <c r="K24" s="3428"/>
      <c r="L24" s="2650" t="s">
        <v>2365</v>
      </c>
      <c r="M24" s="2651">
        <f>SUM(M21:M23)</f>
        <v>0</v>
      </c>
      <c r="N24" s="2651"/>
      <c r="O24" s="2652"/>
      <c r="P24" s="2665" t="s">
        <v>2429</v>
      </c>
      <c r="Q24" s="2632">
        <v>0</v>
      </c>
      <c r="R24" s="2666">
        <f>ROUND(IF(P24="按比例",R14*Q24,SUM(R21:R23)),0)</f>
        <v>0</v>
      </c>
      <c r="S24" s="2588"/>
      <c r="T24" s="2588"/>
      <c r="U24" s="2588"/>
      <c r="V24" s="2596"/>
    </row>
    <row r="25" spans="1:22" s="2695" customFormat="1" ht="13.2" customHeight="1">
      <c r="A25" s="2683"/>
      <c r="B25" s="2684"/>
      <c r="C25" s="2685"/>
      <c r="D25" s="2686"/>
      <c r="E25" s="2687"/>
      <c r="F25" s="2688"/>
      <c r="G25" s="2588"/>
      <c r="H25" s="2595"/>
      <c r="I25" s="2596"/>
      <c r="J25" s="2689">
        <v>4</v>
      </c>
      <c r="K25" s="2690" t="s">
        <v>2405</v>
      </c>
      <c r="L25" s="2691"/>
      <c r="M25" s="2691"/>
      <c r="N25" s="2691"/>
      <c r="O25" s="2691"/>
      <c r="P25" s="2692"/>
      <c r="Q25" s="2693">
        <v>0</v>
      </c>
      <c r="R25" s="2666">
        <f>ROUND(R14*Q25,0)</f>
        <v>0</v>
      </c>
      <c r="S25" s="2588"/>
      <c r="T25" s="2588"/>
      <c r="U25" s="2588"/>
      <c r="V25" s="2694"/>
    </row>
    <row r="26" spans="1:22" s="2695" customFormat="1" ht="13.2" customHeight="1">
      <c r="A26" s="2676">
        <v>2</v>
      </c>
      <c r="B26" s="2677" t="s">
        <v>2406</v>
      </c>
      <c r="C26" s="2678">
        <f>D7</f>
        <v>0</v>
      </c>
      <c r="D26" s="2679">
        <f>D23*D27</f>
        <v>0</v>
      </c>
      <c r="E26" s="2680">
        <f>E23*E27</f>
        <v>0</v>
      </c>
      <c r="F26" s="2681"/>
      <c r="G26" s="2682"/>
      <c r="H26" s="2595"/>
      <c r="I26" s="2596"/>
      <c r="J26" s="3429">
        <v>5</v>
      </c>
      <c r="K26" s="2696" t="s">
        <v>2407</v>
      </c>
      <c r="L26" s="2697"/>
      <c r="M26" s="2698"/>
      <c r="N26" s="2699" t="s">
        <v>2408</v>
      </c>
      <c r="O26" s="2699" t="s">
        <v>2409</v>
      </c>
      <c r="P26" s="2700" t="s">
        <v>2410</v>
      </c>
      <c r="Q26" s="2700" t="s">
        <v>2411</v>
      </c>
      <c r="R26" s="2605" t="s">
        <v>2336</v>
      </c>
      <c r="S26" s="2639"/>
      <c r="T26" s="2639"/>
      <c r="U26" s="2639"/>
      <c r="V26" s="2694"/>
    </row>
    <row r="27" spans="1:22" s="2600" customFormat="1" ht="13.2" customHeight="1">
      <c r="A27" s="2683"/>
      <c r="B27" s="2684" t="s">
        <v>2412</v>
      </c>
      <c r="C27" s="2701" t="e">
        <f>E7</f>
        <v>#DIV/0!</v>
      </c>
      <c r="D27" s="2686"/>
      <c r="E27" s="2687"/>
      <c r="F27" s="2688"/>
      <c r="G27" s="2682"/>
      <c r="H27" s="2702"/>
      <c r="I27" s="2694"/>
      <c r="J27" s="3430"/>
      <c r="K27" s="2703"/>
      <c r="L27" s="2704"/>
      <c r="M27" s="2705"/>
      <c r="N27" s="2706"/>
      <c r="O27" s="2706"/>
      <c r="P27" s="2706"/>
      <c r="Q27" s="2707"/>
      <c r="R27" s="2666">
        <f>ROUND(O27*N27*P27*(1-Q27)/10000,0)</f>
        <v>0</v>
      </c>
      <c r="S27" s="2588"/>
      <c r="T27" s="2588"/>
      <c r="U27" s="2588"/>
      <c r="V27" s="2596"/>
    </row>
    <row r="28" spans="1:22" s="2695" customFormat="1" ht="13.2" customHeight="1" thickBot="1">
      <c r="A28" s="2683"/>
      <c r="B28" s="2684"/>
      <c r="C28" s="2701"/>
      <c r="D28" s="2686"/>
      <c r="E28" s="2687" t="s">
        <v>2413</v>
      </c>
      <c r="F28" s="2688"/>
      <c r="G28" s="2588"/>
      <c r="H28" s="2702"/>
      <c r="I28" s="2694"/>
      <c r="J28" s="2708">
        <v>6</v>
      </c>
      <c r="K28" s="2709" t="s">
        <v>2414</v>
      </c>
      <c r="L28" s="2710" t="s">
        <v>2415</v>
      </c>
      <c r="M28" s="2711"/>
      <c r="N28" s="2710" t="s">
        <v>2416</v>
      </c>
      <c r="O28" s="2712"/>
      <c r="P28" s="2710" t="s">
        <v>2417</v>
      </c>
      <c r="Q28" s="2713">
        <v>1.4999999999999999E-2</v>
      </c>
      <c r="R28" s="2714"/>
      <c r="S28" s="2588"/>
      <c r="T28" s="2588"/>
      <c r="U28" s="2588"/>
      <c r="V28" s="2694"/>
    </row>
    <row r="29" spans="1:22" s="2695" customFormat="1" ht="13.2" customHeight="1">
      <c r="A29" s="2676">
        <v>3</v>
      </c>
      <c r="B29" s="2677" t="s">
        <v>2418</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2" customHeight="1" thickBot="1">
      <c r="A30" s="2683"/>
      <c r="B30" s="2684" t="s">
        <v>2412</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2" customHeight="1">
      <c r="A31" s="2683"/>
      <c r="B31" s="2684"/>
      <c r="C31" s="2716"/>
      <c r="D31" s="2715"/>
      <c r="E31" s="2649"/>
      <c r="F31" s="2688"/>
      <c r="G31" s="2588"/>
      <c r="H31" s="2702"/>
      <c r="I31" s="2694"/>
      <c r="J31" s="2585" t="s">
        <v>2419</v>
      </c>
      <c r="K31" s="2586"/>
      <c r="L31" s="2586"/>
      <c r="M31" s="2586"/>
      <c r="N31" s="2586"/>
      <c r="O31" s="2586"/>
      <c r="P31" s="2586"/>
      <c r="Q31" s="2586"/>
      <c r="R31" s="2587"/>
      <c r="S31" s="2588"/>
      <c r="T31" s="2588"/>
      <c r="U31" s="2588"/>
      <c r="V31" s="2694"/>
    </row>
    <row r="32" spans="1:22" s="2695" customFormat="1" ht="13.2" customHeight="1">
      <c r="A32" s="2676">
        <v>4</v>
      </c>
      <c r="B32" s="2677" t="s">
        <v>2420</v>
      </c>
      <c r="C32" s="2678">
        <f>C23-C26-C29</f>
        <v>0</v>
      </c>
      <c r="D32" s="2679">
        <f>D23-D26-D29</f>
        <v>0</v>
      </c>
      <c r="E32" s="2680">
        <f>E23-E26-E29</f>
        <v>0</v>
      </c>
      <c r="F32" s="2681"/>
      <c r="G32" s="2588"/>
      <c r="H32" s="2595"/>
      <c r="I32" s="2596"/>
      <c r="J32" s="3431" t="s">
        <v>2312</v>
      </c>
      <c r="K32" s="3432"/>
      <c r="L32" s="2597" t="s">
        <v>2313</v>
      </c>
      <c r="M32" s="2597" t="s">
        <v>2314</v>
      </c>
      <c r="N32" s="2597" t="s">
        <v>2315</v>
      </c>
      <c r="O32" s="2597" t="s">
        <v>2316</v>
      </c>
      <c r="P32" s="2597" t="s">
        <v>2317</v>
      </c>
      <c r="Q32" s="2598" t="s">
        <v>2318</v>
      </c>
      <c r="R32" s="2717" t="s">
        <v>2319</v>
      </c>
      <c r="S32" s="2588"/>
      <c r="T32" s="2588"/>
      <c r="U32" s="2588"/>
      <c r="V32" s="2694"/>
    </row>
    <row r="33" spans="1:23" s="2600" customFormat="1" ht="13.2" customHeight="1">
      <c r="A33" s="2676"/>
      <c r="B33" s="2677"/>
      <c r="C33" s="2678"/>
      <c r="D33" s="2718"/>
      <c r="E33" s="2719"/>
      <c r="F33" s="2681"/>
      <c r="G33" s="2588"/>
      <c r="H33" s="2702"/>
      <c r="I33" s="2694"/>
      <c r="J33" s="3433" t="s">
        <v>2322</v>
      </c>
      <c r="K33" s="3434"/>
      <c r="L33" s="2603"/>
      <c r="M33" s="2603"/>
      <c r="N33" s="2603"/>
      <c r="O33" s="2603"/>
      <c r="P33" s="2603"/>
      <c r="Q33" s="2604"/>
      <c r="R33" s="2720">
        <f>SUM(L33:Q33)</f>
        <v>0</v>
      </c>
      <c r="S33" s="2588"/>
      <c r="T33" s="2588"/>
      <c r="U33" s="2588"/>
      <c r="V33" s="2596"/>
    </row>
    <row r="34" spans="1:23" s="2600" customFormat="1" ht="13.2" customHeight="1">
      <c r="A34" s="2676">
        <v>5</v>
      </c>
      <c r="B34" s="2677" t="s">
        <v>2421</v>
      </c>
      <c r="C34" s="2721"/>
      <c r="D34" s="2722"/>
      <c r="E34" s="2723"/>
      <c r="F34" s="2681"/>
      <c r="G34" s="2588"/>
      <c r="H34" s="2702"/>
      <c r="I34" s="2694"/>
      <c r="J34" s="3433" t="s">
        <v>2324</v>
      </c>
      <c r="K34" s="3434"/>
      <c r="L34" s="2608"/>
      <c r="M34" s="2608"/>
      <c r="N34" s="2608"/>
      <c r="O34" s="2608"/>
      <c r="P34" s="2608"/>
      <c r="Q34" s="2609"/>
      <c r="R34" s="2724">
        <f>SUM(L34:Q34)</f>
        <v>0</v>
      </c>
      <c r="S34" s="2588"/>
      <c r="T34" s="2588"/>
      <c r="U34" s="2588" t="e">
        <f>ROUND(R35*10000/365/R33,1)</f>
        <v>#DIV/0!</v>
      </c>
      <c r="V34" s="2596"/>
    </row>
    <row r="35" spans="1:23" s="2600" customFormat="1" ht="13.2" customHeight="1">
      <c r="A35" s="2676">
        <v>6</v>
      </c>
      <c r="B35" s="2677" t="s">
        <v>2422</v>
      </c>
      <c r="C35" s="2725"/>
      <c r="D35" s="2726"/>
      <c r="E35" s="2727"/>
      <c r="F35" s="2681"/>
      <c r="G35" s="2728"/>
      <c r="H35" s="2595"/>
      <c r="I35" s="2694"/>
      <c r="J35" s="2614" t="s">
        <v>2326</v>
      </c>
      <c r="K35" s="2615"/>
      <c r="L35" s="2615"/>
      <c r="M35" s="2616"/>
      <c r="N35" s="2616"/>
      <c r="O35" s="2616"/>
      <c r="P35" s="2616"/>
      <c r="Q35" s="2616"/>
      <c r="R35" s="2729">
        <f>R40+R41+R43</f>
        <v>0</v>
      </c>
      <c r="S35" s="2588"/>
      <c r="T35" s="2588" t="s">
        <v>2327</v>
      </c>
      <c r="U35" s="2588"/>
      <c r="V35" s="2596"/>
    </row>
    <row r="36" spans="1:23" s="2600" customFormat="1" ht="13.2" customHeight="1" thickBot="1">
      <c r="A36" s="2676">
        <v>7</v>
      </c>
      <c r="B36" s="2730" t="s">
        <v>2423</v>
      </c>
      <c r="C36" s="2731"/>
      <c r="D36" s="2732"/>
      <c r="E36" s="2733"/>
      <c r="F36" s="2734">
        <f>C36+D36+E36</f>
        <v>0</v>
      </c>
      <c r="G36" s="2588"/>
      <c r="H36" s="2595"/>
      <c r="I36" s="2596"/>
      <c r="J36" s="3425">
        <v>1</v>
      </c>
      <c r="K36" s="3426" t="s">
        <v>2424</v>
      </c>
      <c r="L36" s="2621"/>
      <c r="M36" s="2622"/>
      <c r="N36" s="2622"/>
      <c r="O36" s="2622"/>
      <c r="P36" s="2622"/>
      <c r="Q36" s="2622"/>
      <c r="R36" s="2605" t="s">
        <v>2336</v>
      </c>
      <c r="S36" s="2588"/>
      <c r="T36" s="2588" t="s">
        <v>2337</v>
      </c>
      <c r="U36" s="2588"/>
      <c r="V36" s="2596"/>
    </row>
    <row r="37" spans="1:23" s="2600" customFormat="1" ht="13.2" customHeight="1">
      <c r="A37" s="2676"/>
      <c r="B37" s="2677"/>
      <c r="C37" s="2677"/>
      <c r="D37" s="2677"/>
      <c r="E37" s="2677"/>
      <c r="F37" s="2681"/>
      <c r="G37" s="2588"/>
      <c r="H37" s="2595"/>
      <c r="I37" s="2596"/>
      <c r="J37" s="3425"/>
      <c r="K37" s="3427"/>
      <c r="L37" s="2630"/>
      <c r="M37" s="2631"/>
      <c r="N37" s="2607"/>
      <c r="O37" s="2632"/>
      <c r="P37" s="2632"/>
      <c r="Q37" s="2633"/>
      <c r="R37" s="2634"/>
      <c r="S37" s="2588"/>
      <c r="T37" s="2588" t="s">
        <v>2340</v>
      </c>
      <c r="U37" s="2588"/>
      <c r="V37" s="2596"/>
    </row>
    <row r="38" spans="1:23" s="2600" customFormat="1" ht="13.2" customHeight="1">
      <c r="A38" s="2676">
        <v>8</v>
      </c>
      <c r="B38" s="2677"/>
      <c r="C38" s="2636" t="e">
        <f>ROUND(C32*(1-((1+C35)/(1+C34))^C36)/(C34-C35),0)</f>
        <v>#DIV/0!</v>
      </c>
      <c r="D38" s="2636">
        <f>IF(D23=0,0,ROUND(D32*(1-((1+D35)/(1+D34))^D36)/(D34-D35),0))</f>
        <v>0</v>
      </c>
      <c r="E38" s="2636">
        <f>IF(E23=0,0,ROUND(E32*(1-((1+E35)/(1+E34))^E36)/(E34-E35),0))</f>
        <v>0</v>
      </c>
      <c r="F38" s="2681"/>
      <c r="G38" s="2588"/>
      <c r="H38" s="2595"/>
      <c r="I38" s="2596"/>
      <c r="J38" s="3425"/>
      <c r="K38" s="3427"/>
      <c r="L38" s="2630"/>
      <c r="M38" s="2631"/>
      <c r="N38" s="2607"/>
      <c r="O38" s="2632"/>
      <c r="P38" s="2632"/>
      <c r="Q38" s="2633"/>
      <c r="R38" s="2634"/>
      <c r="S38" s="2588"/>
      <c r="T38" s="2588" t="s">
        <v>2347</v>
      </c>
      <c r="U38" s="2588"/>
      <c r="V38" s="2596"/>
    </row>
    <row r="39" spans="1:23" s="2600" customFormat="1" ht="13.2" customHeight="1">
      <c r="A39" s="2676">
        <v>9</v>
      </c>
      <c r="B39" s="2677" t="s">
        <v>2425</v>
      </c>
      <c r="C39" s="2644" t="e">
        <f>C38</f>
        <v>#DIV/0!</v>
      </c>
      <c r="D39" s="2677">
        <f>D38/(1+D34)^C36</f>
        <v>0</v>
      </c>
      <c r="E39" s="2677">
        <f>E38/(1+E34)^(C36+D36)</f>
        <v>0</v>
      </c>
      <c r="F39" s="2681"/>
      <c r="G39" s="2596"/>
      <c r="H39" s="2595"/>
      <c r="I39" s="2596"/>
      <c r="J39" s="3425"/>
      <c r="K39" s="3427"/>
      <c r="L39" s="2630"/>
      <c r="M39" s="2631"/>
      <c r="N39" s="2607"/>
      <c r="O39" s="2632"/>
      <c r="P39" s="2632"/>
      <c r="Q39" s="2633"/>
      <c r="R39" s="2634"/>
      <c r="S39" s="2588"/>
      <c r="T39" s="2588"/>
      <c r="U39" s="2588"/>
      <c r="V39" s="2596"/>
    </row>
    <row r="40" spans="1:23" s="2600" customFormat="1" ht="13.2" customHeight="1">
      <c r="A40" s="2735">
        <v>10</v>
      </c>
      <c r="B40" s="2677" t="s">
        <v>2426</v>
      </c>
      <c r="C40" s="2736" t="e">
        <f>C39+D39+E39</f>
        <v>#DIV/0!</v>
      </c>
      <c r="D40" s="2737"/>
      <c r="E40" s="2737"/>
      <c r="F40" s="2738"/>
      <c r="G40" s="2588"/>
      <c r="H40" s="2595"/>
      <c r="I40" s="2596"/>
      <c r="J40" s="3425"/>
      <c r="K40" s="3428"/>
      <c r="L40" s="2650" t="s">
        <v>2365</v>
      </c>
      <c r="M40" s="2651"/>
      <c r="N40" s="2651"/>
      <c r="O40" s="2652"/>
      <c r="P40" s="2652"/>
      <c r="Q40" s="2653"/>
      <c r="R40" s="2599">
        <f>SUM(R37:R39)</f>
        <v>0</v>
      </c>
      <c r="S40" s="2588"/>
      <c r="T40" s="2588"/>
      <c r="U40" s="2588"/>
      <c r="V40" s="2596"/>
    </row>
    <row r="41" spans="1:23" s="2600" customFormat="1" ht="13.2" customHeight="1" thickBot="1">
      <c r="A41" s="2739">
        <v>11</v>
      </c>
      <c r="B41" s="2740" t="s">
        <v>2427</v>
      </c>
      <c r="C41" s="2740" t="e">
        <f>ROUND(C40*10000/B4,0)</f>
        <v>#DIV/0!</v>
      </c>
      <c r="D41" s="2741"/>
      <c r="E41" s="2741"/>
      <c r="F41" s="2742"/>
      <c r="G41" s="2595"/>
      <c r="H41" s="2595"/>
      <c r="I41" s="2596"/>
      <c r="J41" s="2689">
        <v>2</v>
      </c>
      <c r="K41" s="2690" t="s">
        <v>2405</v>
      </c>
      <c r="L41" s="2691"/>
      <c r="M41" s="2691"/>
      <c r="N41" s="2691"/>
      <c r="O41" s="2691"/>
      <c r="P41" s="2692"/>
      <c r="Q41" s="2693"/>
      <c r="R41" s="2666">
        <f>ROUND(R40*Q41,0)</f>
        <v>0</v>
      </c>
      <c r="S41" s="2588"/>
      <c r="T41" s="2588"/>
      <c r="U41" s="2639"/>
      <c r="V41" s="2596"/>
    </row>
    <row r="42" spans="1:23" s="2600" customFormat="1" ht="13.2" customHeight="1">
      <c r="G42" s="2595"/>
      <c r="H42" s="2595"/>
      <c r="I42" s="2596"/>
      <c r="J42" s="3429">
        <v>3</v>
      </c>
      <c r="K42" s="2696" t="s">
        <v>2407</v>
      </c>
      <c r="L42" s="2697"/>
      <c r="M42" s="2698"/>
      <c r="N42" s="2699" t="s">
        <v>2408</v>
      </c>
      <c r="O42" s="2699" t="s">
        <v>2409</v>
      </c>
      <c r="P42" s="2700" t="s">
        <v>2410</v>
      </c>
      <c r="Q42" s="2700" t="s">
        <v>2411</v>
      </c>
      <c r="R42" s="2605" t="s">
        <v>2336</v>
      </c>
      <c r="S42" s="2639"/>
      <c r="T42" s="2639"/>
      <c r="U42" s="2588"/>
      <c r="V42" s="2596"/>
    </row>
    <row r="43" spans="1:23" ht="13.2" customHeight="1">
      <c r="A43" s="2600"/>
      <c r="B43" s="2600"/>
      <c r="C43" s="2600"/>
      <c r="D43" s="2600"/>
      <c r="E43" s="2600"/>
      <c r="F43" s="2600"/>
      <c r="I43" s="2583"/>
      <c r="J43" s="3430"/>
      <c r="K43" s="2703"/>
      <c r="L43" s="2704"/>
      <c r="M43" s="2705"/>
      <c r="N43" s="2631"/>
      <c r="O43" s="2631"/>
      <c r="P43" s="2631"/>
      <c r="Q43" s="2693"/>
      <c r="R43" s="2666">
        <f>ROUND(O43*N43*P43*(1-Q43)/10000,0)</f>
        <v>0</v>
      </c>
      <c r="S43" s="2588"/>
      <c r="T43" s="2588"/>
      <c r="V43" s="2743"/>
      <c r="W43" s="2744"/>
    </row>
    <row r="44" spans="1:23" ht="13.2" customHeight="1" thickBot="1">
      <c r="J44" s="2708">
        <v>6</v>
      </c>
      <c r="K44" s="2709" t="s">
        <v>2414</v>
      </c>
      <c r="L44" s="2745" t="s">
        <v>2415</v>
      </c>
      <c r="M44" s="2711"/>
      <c r="N44" s="2745" t="s">
        <v>2416</v>
      </c>
      <c r="O44" s="2711"/>
      <c r="P44" s="2745" t="s">
        <v>2417</v>
      </c>
      <c r="Q44" s="2713">
        <v>1.4999999999999999E-2</v>
      </c>
      <c r="R44" s="27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3" t="s">
        <v>1658</v>
      </c>
      <c r="B1" s="1724"/>
      <c r="C1" s="1724"/>
      <c r="D1" s="1724"/>
      <c r="E1" s="1725"/>
      <c r="F1" s="2475"/>
      <c r="G1" s="459"/>
      <c r="H1" s="459"/>
      <c r="I1" s="459"/>
      <c r="J1" s="459"/>
      <c r="K1" s="459"/>
      <c r="L1" s="459"/>
      <c r="M1" s="459"/>
      <c r="N1" s="459"/>
      <c r="O1" s="459"/>
      <c r="P1" s="459"/>
      <c r="Q1" s="459"/>
      <c r="R1" s="459"/>
      <c r="S1" s="459"/>
    </row>
    <row r="2" spans="1:22" ht="15.6">
      <c r="A2" s="1726" t="s">
        <v>1462</v>
      </c>
      <c r="B2" s="811">
        <f ca="1">SUMIF(B6:B13,"&lt;&gt;#ref!",B6:B13)</f>
        <v>605.55190000000005</v>
      </c>
      <c r="C2" s="1727" t="s">
        <v>1651</v>
      </c>
      <c r="D2" s="1728" t="s">
        <v>1652</v>
      </c>
      <c r="E2" s="2389">
        <f>SUM(E6:E13)</f>
        <v>245.74</v>
      </c>
      <c r="F2" s="2475"/>
      <c r="G2" s="459"/>
      <c r="H2" s="459"/>
      <c r="I2" s="459"/>
      <c r="J2" s="459"/>
      <c r="K2" s="459"/>
      <c r="L2" s="459"/>
      <c r="M2" s="459"/>
      <c r="N2" s="459"/>
      <c r="O2" s="459"/>
      <c r="P2" s="459"/>
      <c r="Q2" s="459"/>
      <c r="R2" s="459"/>
      <c r="S2" s="459"/>
    </row>
    <row r="3" spans="1:22" ht="15.6">
      <c r="A3" s="1726" t="s">
        <v>686</v>
      </c>
      <c r="B3" s="2383">
        <f ca="1">ROUND(B2*10000/E2,0)</f>
        <v>24642</v>
      </c>
      <c r="C3" s="1727" t="s">
        <v>1659</v>
      </c>
      <c r="D3" s="2475"/>
      <c r="E3" s="2478"/>
      <c r="F3" s="2475"/>
      <c r="G3" s="459"/>
      <c r="H3" s="459"/>
      <c r="I3" s="459"/>
      <c r="J3" s="459"/>
      <c r="K3" s="459"/>
      <c r="L3" s="459"/>
      <c r="M3" s="459"/>
      <c r="N3" s="459"/>
      <c r="O3" s="459"/>
      <c r="P3" s="459"/>
      <c r="Q3" s="459"/>
      <c r="R3" s="459"/>
      <c r="S3" s="459"/>
    </row>
    <row r="4" spans="1:22" ht="15.6">
      <c r="A4" s="2479"/>
      <c r="B4" s="2475"/>
      <c r="C4" s="2475"/>
      <c r="D4" s="2475"/>
      <c r="E4" s="2478"/>
      <c r="F4" s="2475"/>
      <c r="G4" s="459"/>
      <c r="H4" s="459"/>
      <c r="I4" s="459"/>
      <c r="J4" s="459"/>
      <c r="K4" s="459"/>
      <c r="L4" s="459"/>
      <c r="M4" s="459"/>
      <c r="N4" s="459"/>
      <c r="O4" s="459"/>
      <c r="P4" s="459"/>
      <c r="Q4" s="459"/>
      <c r="R4" s="459"/>
      <c r="S4" s="459"/>
    </row>
    <row r="5" spans="1:22" ht="14.4">
      <c r="A5" s="2385" t="s">
        <v>1653</v>
      </c>
      <c r="B5" s="3444" t="s">
        <v>1654</v>
      </c>
      <c r="C5" s="3445"/>
      <c r="D5" s="2476"/>
      <c r="E5" s="1729" t="s">
        <v>1655</v>
      </c>
      <c r="F5" s="129" t="s">
        <v>1656</v>
      </c>
      <c r="G5" s="459"/>
      <c r="H5" s="459"/>
      <c r="I5" s="459"/>
      <c r="J5" s="459"/>
      <c r="K5" s="459"/>
      <c r="L5" s="459"/>
      <c r="M5" s="459"/>
      <c r="N5" s="459"/>
      <c r="O5" s="459"/>
      <c r="P5" s="459"/>
      <c r="Q5" s="459"/>
      <c r="R5" s="459"/>
      <c r="S5" s="459"/>
    </row>
    <row r="6" spans="1:22" ht="14.4">
      <c r="A6" s="2386" t="str">
        <f>'数据-取费表'!AN6</f>
        <v>收益法 (元)</v>
      </c>
      <c r="B6" s="2384">
        <f ca="1">IF(F6="是",'数据-取费表'!AO6,0)</f>
        <v>605.55190000000005</v>
      </c>
      <c r="C6" s="1727" t="s">
        <v>1651</v>
      </c>
      <c r="D6" s="2475"/>
      <c r="E6" s="2388">
        <f>IF(OR(A6=0,F6="否"),0,'数据-取费表'!K6+'数据-取费表'!S6)</f>
        <v>245.74</v>
      </c>
      <c r="F6" s="1730" t="s">
        <v>1657</v>
      </c>
      <c r="G6" s="459"/>
      <c r="H6" s="459"/>
      <c r="I6" s="459"/>
      <c r="J6" s="459"/>
      <c r="K6" s="459"/>
      <c r="L6" s="459"/>
      <c r="M6" s="459"/>
      <c r="N6" s="459"/>
      <c r="O6" s="459"/>
      <c r="P6" s="459"/>
      <c r="Q6" s="459"/>
      <c r="R6" s="459"/>
      <c r="S6" s="459"/>
    </row>
    <row r="7" spans="1:22" ht="14.4">
      <c r="A7" s="2386">
        <f>'数据-取费表'!AN7</f>
        <v>0</v>
      </c>
      <c r="B7" s="2384" t="e">
        <f ca="1">IF(F7="是",'数据-取费表'!AO7,0)</f>
        <v>#REF!</v>
      </c>
      <c r="C7" s="1727" t="s">
        <v>1651</v>
      </c>
      <c r="D7" s="2475"/>
      <c r="E7" s="2388">
        <f>IF(OR(A7=0,F7="否"),0,'数据-取费表'!K7+'数据-取费表'!S7)</f>
        <v>0</v>
      </c>
      <c r="F7" s="1730" t="s">
        <v>1657</v>
      </c>
      <c r="G7" s="459"/>
      <c r="H7" s="459"/>
      <c r="I7" s="459"/>
      <c r="J7" s="459"/>
      <c r="K7" s="459"/>
      <c r="L7" s="459"/>
      <c r="M7" s="459"/>
      <c r="N7" s="459"/>
      <c r="O7" s="459"/>
      <c r="P7" s="459"/>
      <c r="Q7" s="459"/>
      <c r="R7" s="459"/>
      <c r="S7" s="459"/>
    </row>
    <row r="8" spans="1:22" ht="14.4">
      <c r="A8" s="2386">
        <f>'数据-取费表'!AN8</f>
        <v>0</v>
      </c>
      <c r="B8" s="2384" t="e">
        <f ca="1">IF(F8="是",'数据-取费表'!AO8,0)</f>
        <v>#REF!</v>
      </c>
      <c r="C8" s="1727" t="s">
        <v>1651</v>
      </c>
      <c r="D8" s="2475"/>
      <c r="E8" s="2388">
        <f>IF(OR(A8=0,F8="否"),0,'数据-取费表'!K8+'数据-取费表'!S8)</f>
        <v>0</v>
      </c>
      <c r="F8" s="1730" t="s">
        <v>1657</v>
      </c>
      <c r="G8" s="459"/>
      <c r="H8" s="459"/>
      <c r="I8" s="459"/>
      <c r="J8" s="459"/>
      <c r="K8" s="459"/>
      <c r="L8" s="459"/>
      <c r="M8" s="459"/>
      <c r="N8" s="459"/>
      <c r="O8" s="459"/>
      <c r="P8" s="459"/>
      <c r="Q8" s="459"/>
      <c r="R8" s="459"/>
      <c r="S8" s="459"/>
    </row>
    <row r="9" spans="1:22" ht="14.4">
      <c r="A9" s="2386">
        <f>'数据-取费表'!AN9</f>
        <v>0</v>
      </c>
      <c r="B9" s="2384" t="e">
        <f ca="1">IF(F9="是",'数据-取费表'!AO9,0)</f>
        <v>#REF!</v>
      </c>
      <c r="C9" s="1727" t="s">
        <v>1651</v>
      </c>
      <c r="D9" s="2475"/>
      <c r="E9" s="2388">
        <f>IF(OR(A9=0,F9="否"),0,'数据-取费表'!K9+'数据-取费表'!S9)</f>
        <v>0</v>
      </c>
      <c r="F9" s="1730" t="s">
        <v>1657</v>
      </c>
      <c r="G9" s="459"/>
      <c r="H9" s="459"/>
      <c r="I9" s="459"/>
      <c r="J9" s="459"/>
      <c r="K9" s="459"/>
      <c r="L9" s="459"/>
      <c r="M9" s="459"/>
      <c r="N9" s="459"/>
      <c r="O9" s="459"/>
      <c r="P9" s="459"/>
      <c r="Q9" s="459"/>
      <c r="R9" s="459"/>
      <c r="S9" s="459"/>
    </row>
    <row r="10" spans="1:22" ht="14.4">
      <c r="A10" s="2386">
        <f>'数据-取费表'!AN10</f>
        <v>0</v>
      </c>
      <c r="B10" s="2384" t="e">
        <f ca="1">IF(F10="是",'数据-取费表'!AO10,0)</f>
        <v>#REF!</v>
      </c>
      <c r="C10" s="1727" t="s">
        <v>1651</v>
      </c>
      <c r="D10" s="2475"/>
      <c r="E10" s="2388">
        <f>IF(OR(A10=0,F10="否"),0,'数据-取费表'!K10+'数据-取费表'!S10)</f>
        <v>0</v>
      </c>
      <c r="F10" s="1730" t="s">
        <v>1657</v>
      </c>
      <c r="G10" s="459"/>
      <c r="H10" s="459"/>
      <c r="I10" s="459"/>
      <c r="J10" s="459"/>
      <c r="K10" s="459"/>
      <c r="L10" s="459"/>
      <c r="M10" s="459"/>
      <c r="N10" s="459"/>
      <c r="O10" s="459"/>
      <c r="P10" s="459"/>
      <c r="Q10" s="459"/>
      <c r="R10" s="459"/>
      <c r="S10" s="459"/>
    </row>
    <row r="11" spans="1:22" ht="14.4">
      <c r="A11" s="2386">
        <f>'数据-取费表'!AN11</f>
        <v>0</v>
      </c>
      <c r="B11" s="2384" t="e">
        <f ca="1">IF(F11="是",'数据-取费表'!AO11,0)</f>
        <v>#REF!</v>
      </c>
      <c r="C11" s="1727" t="s">
        <v>1651</v>
      </c>
      <c r="D11" s="2475"/>
      <c r="E11" s="2388">
        <f>IF(OR(A11=0,F11="否"),0,'数据-取费表'!K11+'数据-取费表'!S11)</f>
        <v>0</v>
      </c>
      <c r="F11" s="1730" t="s">
        <v>1657</v>
      </c>
      <c r="G11" s="459"/>
      <c r="H11" s="459"/>
      <c r="I11" s="459"/>
      <c r="J11" s="459"/>
      <c r="K11" s="459"/>
      <c r="L11" s="459"/>
      <c r="M11" s="459"/>
      <c r="N11" s="459"/>
      <c r="O11" s="459"/>
      <c r="P11" s="459"/>
      <c r="Q11" s="459"/>
      <c r="R11" s="459"/>
      <c r="S11" s="459"/>
    </row>
    <row r="12" spans="1:22" ht="14.4">
      <c r="A12" s="2386">
        <f>'数据-取费表'!AN12</f>
        <v>0</v>
      </c>
      <c r="B12" s="2384" t="e">
        <f ca="1">IF(F12="是",'数据-取费表'!AO12,0)</f>
        <v>#REF!</v>
      </c>
      <c r="C12" s="1727" t="s">
        <v>1651</v>
      </c>
      <c r="D12" s="2475"/>
      <c r="E12" s="2388">
        <f>IF(OR(A12=0,F12="否"),0,'数据-取费表'!K12+'数据-取费表'!S12)</f>
        <v>0</v>
      </c>
      <c r="F12" s="1730" t="s">
        <v>1657</v>
      </c>
      <c r="G12" s="459"/>
      <c r="H12" s="459"/>
      <c r="I12" s="459"/>
      <c r="J12" s="459"/>
      <c r="K12" s="459"/>
      <c r="L12" s="459"/>
      <c r="M12" s="459"/>
      <c r="N12" s="459"/>
      <c r="O12" s="459"/>
      <c r="P12" s="459"/>
      <c r="Q12" s="459"/>
      <c r="R12" s="459"/>
      <c r="S12" s="459"/>
    </row>
    <row r="13" spans="1:22" ht="15" thickBot="1">
      <c r="A13" s="2387">
        <f>'数据-取费表'!AN13</f>
        <v>0</v>
      </c>
      <c r="B13" s="2384" t="e">
        <f ca="1">IF(F13="是",'数据-取费表'!AO13,0)</f>
        <v>#REF!</v>
      </c>
      <c r="C13" s="1731" t="s">
        <v>1651</v>
      </c>
      <c r="D13" s="2477"/>
      <c r="E13" s="2388">
        <f>IF(OR(A13=0,F13="否"),0,'数据-取费表'!K13+'数据-取费表'!S13)</f>
        <v>0</v>
      </c>
      <c r="F13" s="1730"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78" t="s">
        <v>898</v>
      </c>
    </row>
    <row r="3" spans="1:1" ht="17.399999999999999">
      <c r="A3" s="1379" t="str">
        <f>项目基本情况!B5&amp;"："</f>
        <v>：</v>
      </c>
    </row>
    <row r="4" spans="1:1" ht="34.799999999999997">
      <c r="A4" s="1380" t="str">
        <f>"受贵公司委托，我公司对"&amp;项目基本情况!S1&amp;"进行了预评估。"</f>
        <v>受贵公司委托，我公司对北京市石景山区古城西路68号院3号楼1至2层102、105房地产抵押价值进行了预评估。</v>
      </c>
    </row>
    <row r="5" spans="1:1" ht="17.399999999999999">
      <c r="A5" s="1381" t="s">
        <v>899</v>
      </c>
    </row>
    <row r="6" spans="1:1" ht="17.399999999999999">
      <c r="A6" s="1382" t="s">
        <v>900</v>
      </c>
    </row>
    <row r="7" spans="1:1" ht="52.2">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古城西路68号院3号楼1至2层102、105房地产，为北京哲韵渠影科技有限公司所有。根据《国有土地使用证》[]，估价对象（分摊）出让国有建设用地使用权面积为0平方米，建筑面积为245.74平方米。</v>
      </c>
    </row>
    <row r="8" spans="1:1" ht="54.6">
      <c r="A8" s="1383" t="s">
        <v>901</v>
      </c>
    </row>
    <row r="9" spans="1:1" ht="17.399999999999999">
      <c r="A9" s="1382" t="s">
        <v>902</v>
      </c>
    </row>
    <row r="10" spans="1:1" ht="69.59999999999999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古城西路68号院3号楼1至2层102、105房地产,属北京哲韵渠影科技有限公司开发建设的商业项目，该项目尚在开发建设中。根据《国有土地使用证》[]，估价对象（分摊）出让国有建设用地使用权面积为0平方米，规划建筑面积为245.74平方米。</v>
      </c>
    </row>
    <row r="11" spans="1:1" ht="72">
      <c r="A11" s="1383" t="s">
        <v>903</v>
      </c>
    </row>
    <row r="12" spans="1:1" ht="17.399999999999999">
      <c r="A12" s="1381" t="s">
        <v>904</v>
      </c>
    </row>
    <row r="13" spans="1:1" ht="38.25" customHeight="1">
      <c r="A13" s="1380" t="str">
        <f>IF(项目基本情况!B8="抵押",IF(项目基本情况!B5=项目基本情况!B6,定义!C51,定义!B51),定义!D51)</f>
        <v>华茗控股集团有限公司拟使用北京市石景山区古城西路68号院3号楼1至2层102、105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9" t="s">
        <v>905</v>
      </c>
    </row>
    <row r="15" spans="1:1" ht="17.399999999999999">
      <c r="A15" s="1384" t="str">
        <f>TEXT(项目基本情况!D3,"yyyy年m月d日;;")&amp;IF(项目基本情况!D3=项目基本情况!B3,"（评估专业人员实地查勘之日）","")</f>
        <v>2025年5月16日（评估专业人员实地查勘之日）</v>
      </c>
    </row>
    <row r="16" spans="1:1" ht="17.399999999999999">
      <c r="A16" s="1379" t="s">
        <v>906</v>
      </c>
    </row>
    <row r="17" spans="1:1" ht="69.599999999999994">
      <c r="A17" s="1380" t="s">
        <v>907</v>
      </c>
    </row>
    <row r="18" spans="1:1" ht="69.59999999999999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9" t="s">
        <v>896</v>
      </c>
    </row>
    <row r="24" spans="1:1" ht="17.399999999999999">
      <c r="A24" s="1385" t="str">
        <f>"本次评估采用的主估价方法为"&amp;结果表!K4&amp;"和"&amp;结果表!L4&amp;"。"</f>
        <v>本次评估采用的主估价方法为比较法和收益法。</v>
      </c>
    </row>
    <row r="25" spans="1:1" ht="17.399999999999999">
      <c r="A25" s="1385"/>
    </row>
    <row r="26" spans="1:1" ht="17.399999999999999">
      <c r="A26" s="1386"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732" t="s">
        <v>1661</v>
      </c>
      <c r="C1" s="1153" t="s">
        <v>1662</v>
      </c>
      <c r="D1" s="1140"/>
      <c r="E1" s="3120"/>
      <c r="F1" s="1733"/>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8" customFormat="1" ht="28.5" customHeight="1" thickTop="1">
      <c r="A2" s="1136" t="s">
        <v>685</v>
      </c>
      <c r="B2" s="3121"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1664</v>
      </c>
      <c r="F2" s="1737"/>
      <c r="G2" s="852"/>
      <c r="H2" s="852"/>
      <c r="I2" s="852"/>
      <c r="J2" s="852"/>
      <c r="K2" s="1738"/>
      <c r="L2" s="2480"/>
      <c r="M2" s="2481"/>
      <c r="N2" s="2481"/>
      <c r="O2" s="2481"/>
      <c r="P2" s="1739"/>
      <c r="Q2" s="1740"/>
      <c r="R2" s="1740"/>
      <c r="S2" s="1740"/>
      <c r="T2" s="1740"/>
      <c r="U2" s="1740"/>
      <c r="V2" s="1740"/>
      <c r="W2" s="1740"/>
      <c r="X2" s="1740"/>
      <c r="Y2" s="1740"/>
      <c r="Z2" s="1740"/>
      <c r="AA2" s="1740"/>
      <c r="AB2" s="1740"/>
      <c r="AC2" s="996"/>
    </row>
    <row r="3" spans="1:29" s="338" customFormat="1" ht="28.5" customHeight="1" thickBot="1">
      <c r="A3" s="195" t="s">
        <v>686</v>
      </c>
      <c r="B3" s="343">
        <f>IF(C2="——",C49,ROUND(B2*10000/D3,0))</f>
        <v>0</v>
      </c>
      <c r="C3" s="344" t="s">
        <v>1665</v>
      </c>
      <c r="D3" s="343">
        <f>IF(D1="",'数据-汇总表'!E3,SUMIF('数据-汇总表'!$C19:$C33,D1,'数据-汇总表'!$E19:$E33))</f>
        <v>245.74</v>
      </c>
      <c r="E3" s="852"/>
      <c r="F3" s="1741"/>
      <c r="G3" s="852"/>
      <c r="H3" s="852"/>
      <c r="I3" s="852"/>
      <c r="J3" s="852"/>
      <c r="K3" s="1738"/>
      <c r="L3" s="2480"/>
      <c r="M3" s="2481"/>
      <c r="N3" s="2481"/>
      <c r="O3" s="2481"/>
      <c r="P3" s="1739"/>
      <c r="Q3" s="1740"/>
      <c r="R3" s="1740"/>
      <c r="S3" s="1740"/>
      <c r="T3" s="1740"/>
      <c r="U3" s="1740"/>
      <c r="V3" s="1740"/>
      <c r="W3" s="1740"/>
      <c r="X3" s="1740"/>
      <c r="Y3" s="1740"/>
      <c r="Z3" s="1740"/>
      <c r="AA3" s="1740"/>
      <c r="AB3" s="1740"/>
      <c r="AC3" s="996"/>
    </row>
    <row r="4" spans="1:29" ht="14.4">
      <c r="A4" s="345" t="s">
        <v>1666</v>
      </c>
      <c r="B4" s="346"/>
      <c r="C4" s="3385" t="s">
        <v>1667</v>
      </c>
      <c r="D4" s="3386"/>
      <c r="E4" s="3387" t="s">
        <v>1668</v>
      </c>
      <c r="F4" s="3388"/>
      <c r="G4" s="3385" t="s">
        <v>1669</v>
      </c>
      <c r="H4" s="3386"/>
      <c r="I4" s="3385" t="s">
        <v>1670</v>
      </c>
      <c r="J4" s="3386"/>
      <c r="K4" s="1742" t="s">
        <v>1671</v>
      </c>
      <c r="L4" s="2482"/>
      <c r="M4" s="2483"/>
      <c r="N4" s="2483"/>
      <c r="O4" s="2483"/>
      <c r="P4" s="3389" t="s">
        <v>1672</v>
      </c>
      <c r="Q4" s="3390"/>
      <c r="R4" s="3395" t="s">
        <v>1668</v>
      </c>
      <c r="S4" s="3396"/>
      <c r="T4" s="3395" t="s">
        <v>1669</v>
      </c>
      <c r="U4" s="3396"/>
      <c r="V4" s="3368" t="s">
        <v>1670</v>
      </c>
      <c r="W4" s="3368"/>
      <c r="X4" s="1263"/>
      <c r="Y4" s="3395" t="s">
        <v>1672</v>
      </c>
      <c r="Z4" s="3396"/>
      <c r="AA4" s="3382" t="s">
        <v>1668</v>
      </c>
      <c r="AB4" s="3382" t="s">
        <v>1669</v>
      </c>
      <c r="AC4" s="3382" t="s">
        <v>1670</v>
      </c>
    </row>
    <row r="5" spans="1:29">
      <c r="A5" s="348"/>
      <c r="B5" s="349"/>
      <c r="C5" s="3403" t="s">
        <v>1673</v>
      </c>
      <c r="D5" s="3404"/>
      <c r="E5" s="3411" t="s">
        <v>1674</v>
      </c>
      <c r="F5" s="3412"/>
      <c r="G5" s="3403" t="s">
        <v>1675</v>
      </c>
      <c r="H5" s="3404"/>
      <c r="I5" s="3403" t="s">
        <v>1676</v>
      </c>
      <c r="J5" s="3404"/>
      <c r="K5" s="1743"/>
      <c r="L5" s="2482"/>
      <c r="M5" s="2483"/>
      <c r="N5" s="2483"/>
      <c r="O5" s="2483"/>
      <c r="P5" s="3391"/>
      <c r="Q5" s="3392"/>
      <c r="R5" s="3397"/>
      <c r="S5" s="3398"/>
      <c r="T5" s="3397"/>
      <c r="U5" s="3398"/>
      <c r="V5" s="3368"/>
      <c r="W5" s="3368"/>
      <c r="X5" s="1263"/>
      <c r="Y5" s="3397"/>
      <c r="Z5" s="3398"/>
      <c r="AA5" s="3383"/>
      <c r="AB5" s="3383"/>
      <c r="AC5" s="3383"/>
    </row>
    <row r="6" spans="1:29" ht="15" thickBot="1">
      <c r="A6" s="350"/>
      <c r="B6" s="351"/>
      <c r="C6" s="3401" t="s">
        <v>1677</v>
      </c>
      <c r="D6" s="3402"/>
      <c r="E6" s="3409" t="s">
        <v>1677</v>
      </c>
      <c r="F6" s="3410"/>
      <c r="G6" s="3401" t="s">
        <v>1677</v>
      </c>
      <c r="H6" s="3402"/>
      <c r="I6" s="3401" t="s">
        <v>1677</v>
      </c>
      <c r="J6" s="3402"/>
      <c r="K6" s="1743" t="s">
        <v>1678</v>
      </c>
      <c r="L6" s="2482"/>
      <c r="M6" s="2483"/>
      <c r="N6" s="2483"/>
      <c r="O6" s="2483"/>
      <c r="P6" s="3393"/>
      <c r="Q6" s="3394"/>
      <c r="R6" s="3397"/>
      <c r="S6" s="3398"/>
      <c r="T6" s="3399"/>
      <c r="U6" s="3400"/>
      <c r="V6" s="3368"/>
      <c r="W6" s="3368"/>
      <c r="X6" s="1263"/>
      <c r="Y6" s="3399"/>
      <c r="Z6" s="3400"/>
      <c r="AA6" s="3384"/>
      <c r="AB6" s="3384"/>
      <c r="AC6" s="3384"/>
    </row>
    <row r="7" spans="1:29" s="102" customFormat="1" ht="15" thickBot="1">
      <c r="A7" s="352" t="s">
        <v>1679</v>
      </c>
      <c r="B7" s="353"/>
      <c r="C7" s="354">
        <f>'数据-取费表'!B2</f>
        <v>45793</v>
      </c>
      <c r="D7" s="355">
        <v>100</v>
      </c>
      <c r="E7" s="356"/>
      <c r="F7" s="357">
        <f>SUMIF(58:58,YEAR(E7)&amp;"-"&amp;MONTH(E7),59:59)</f>
        <v>0</v>
      </c>
      <c r="G7" s="356"/>
      <c r="H7" s="355">
        <f>SUMIF(58:58,YEAR(G7)&amp;"-"&amp;MONTH(G7),59:59)</f>
        <v>0</v>
      </c>
      <c r="I7" s="356"/>
      <c r="J7" s="355">
        <f>SUMIF(58:58,YEAR(I7)&amp;"-"&amp;MONTH(I7),59:59)</f>
        <v>0</v>
      </c>
      <c r="K7" s="1744"/>
      <c r="L7" s="2484"/>
      <c r="M7" s="2436"/>
      <c r="N7" s="2436"/>
      <c r="O7" s="2436"/>
      <c r="P7" s="3405" t="s">
        <v>1680</v>
      </c>
      <c r="Q7" s="3407"/>
      <c r="R7" s="664" t="s">
        <v>20</v>
      </c>
      <c r="S7" s="665">
        <f t="shared" ref="S7:S15" si="0">F7</f>
        <v>0</v>
      </c>
      <c r="T7" s="664" t="s">
        <v>20</v>
      </c>
      <c r="U7" s="665">
        <f t="shared" ref="U7:U15" si="1">H7</f>
        <v>0</v>
      </c>
      <c r="V7" s="664" t="s">
        <v>20</v>
      </c>
      <c r="W7" s="665">
        <f t="shared" ref="W7:W15" si="2">J7</f>
        <v>0</v>
      </c>
      <c r="X7" s="666"/>
      <c r="Y7" s="3405" t="s">
        <v>1680</v>
      </c>
      <c r="Z7" s="3406"/>
      <c r="AA7" s="50" t="e">
        <f>D7/F7</f>
        <v>#DIV/0!</v>
      </c>
      <c r="AB7" s="50" t="e">
        <f>D7/H7</f>
        <v>#DIV/0!</v>
      </c>
      <c r="AC7" s="50" t="e">
        <f>D7/J7</f>
        <v>#DIV/0!</v>
      </c>
    </row>
    <row r="8" spans="1:29" s="102" customFormat="1" ht="15" thickBot="1">
      <c r="A8" s="352" t="s">
        <v>1681</v>
      </c>
      <c r="B8" s="353"/>
      <c r="C8" s="358"/>
      <c r="D8" s="355">
        <v>100</v>
      </c>
      <c r="E8" s="1745"/>
      <c r="F8" s="357">
        <f>SUMIF(61:61,E8,62:62)-SUMIF(61:61,C8,62:62)+100</f>
        <v>100</v>
      </c>
      <c r="G8" s="358"/>
      <c r="H8" s="355">
        <f>SUMIF(61:61,G8,62:62)-SUMIF(61:61,C8,62:62)+100</f>
        <v>100</v>
      </c>
      <c r="I8" s="1745"/>
      <c r="J8" s="355">
        <f>SUMIF(61:61,I8,62:62)-SUMIF(61:61,C8,62:62)+100</f>
        <v>100</v>
      </c>
      <c r="K8" s="1744"/>
      <c r="L8" s="2484"/>
      <c r="M8" s="2436"/>
      <c r="N8" s="2436"/>
      <c r="O8" s="2436"/>
      <c r="P8" s="3405" t="s">
        <v>1683</v>
      </c>
      <c r="Q8" s="3406"/>
      <c r="R8" s="664" t="s">
        <v>20</v>
      </c>
      <c r="S8" s="665">
        <f t="shared" si="0"/>
        <v>100</v>
      </c>
      <c r="T8" s="664" t="s">
        <v>20</v>
      </c>
      <c r="U8" s="665">
        <f t="shared" si="1"/>
        <v>100</v>
      </c>
      <c r="V8" s="664" t="s">
        <v>20</v>
      </c>
      <c r="W8" s="665">
        <f t="shared" si="2"/>
        <v>100</v>
      </c>
      <c r="X8" s="666"/>
      <c r="Y8" s="3405" t="s">
        <v>1683</v>
      </c>
      <c r="Z8" s="3406"/>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4"/>
      <c r="L9" s="2484"/>
      <c r="M9" s="2436"/>
      <c r="N9" s="2436"/>
      <c r="O9" s="2436"/>
      <c r="P9" s="3381" t="s">
        <v>1686</v>
      </c>
      <c r="Q9" s="530" t="str">
        <f t="shared" ref="Q9:Q15" si="6">B9</f>
        <v>用途</v>
      </c>
      <c r="R9" s="664" t="s">
        <v>14</v>
      </c>
      <c r="S9" s="665">
        <f t="shared" si="0"/>
        <v>100</v>
      </c>
      <c r="T9" s="664" t="s">
        <v>14</v>
      </c>
      <c r="U9" s="665">
        <f t="shared" si="1"/>
        <v>100</v>
      </c>
      <c r="V9" s="664" t="s">
        <v>14</v>
      </c>
      <c r="W9" s="665">
        <f t="shared" si="2"/>
        <v>100</v>
      </c>
      <c r="X9" s="666"/>
      <c r="Y9" s="3271"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1744"/>
      <c r="L10" s="2485"/>
      <c r="M10" s="2486"/>
      <c r="N10" s="2486"/>
      <c r="O10" s="2486"/>
      <c r="P10" s="3381"/>
      <c r="Q10" s="530" t="str">
        <f t="shared" si="6"/>
        <v>土地使用年限（年）</v>
      </c>
      <c r="R10" s="664" t="s">
        <v>14</v>
      </c>
      <c r="S10" s="665">
        <f t="shared" si="0"/>
        <v>100</v>
      </c>
      <c r="T10" s="664" t="s">
        <v>14</v>
      </c>
      <c r="U10" s="665">
        <f t="shared" si="1"/>
        <v>100</v>
      </c>
      <c r="V10" s="664" t="s">
        <v>14</v>
      </c>
      <c r="W10" s="665">
        <f t="shared" si="2"/>
        <v>100</v>
      </c>
      <c r="X10" s="666"/>
      <c r="Y10" s="327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7"/>
      <c r="M11" s="2483"/>
      <c r="N11" s="2483"/>
      <c r="O11" s="2483"/>
      <c r="P11" s="3381"/>
      <c r="Q11" s="530" t="str">
        <f t="shared" si="6"/>
        <v>容积率</v>
      </c>
      <c r="R11" s="664" t="s">
        <v>18</v>
      </c>
      <c r="S11" s="665" t="e">
        <f t="shared" si="0"/>
        <v>#N/A</v>
      </c>
      <c r="T11" s="664" t="s">
        <v>18</v>
      </c>
      <c r="U11" s="665" t="e">
        <f t="shared" si="1"/>
        <v>#N/A</v>
      </c>
      <c r="V11" s="664" t="s">
        <v>18</v>
      </c>
      <c r="W11" s="665" t="e">
        <f t="shared" si="2"/>
        <v>#N/A</v>
      </c>
      <c r="X11" s="666"/>
      <c r="Y11" s="327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4"/>
      <c r="M12" s="2436"/>
      <c r="N12" s="2436"/>
      <c r="O12" s="2436"/>
      <c r="P12" s="3381"/>
      <c r="Q12" s="530">
        <f t="shared" si="6"/>
        <v>111</v>
      </c>
      <c r="R12" s="664" t="s">
        <v>18</v>
      </c>
      <c r="S12" s="665">
        <f t="shared" si="0"/>
        <v>100</v>
      </c>
      <c r="T12" s="664" t="s">
        <v>18</v>
      </c>
      <c r="U12" s="665">
        <f t="shared" si="1"/>
        <v>100</v>
      </c>
      <c r="V12" s="664" t="s">
        <v>18</v>
      </c>
      <c r="W12" s="665">
        <f t="shared" si="2"/>
        <v>100</v>
      </c>
      <c r="X12" s="666"/>
      <c r="Y12" s="327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88"/>
      <c r="M13" s="2483"/>
      <c r="N13" s="2483"/>
      <c r="O13" s="2483"/>
      <c r="P13" s="3381"/>
      <c r="Q13" s="530">
        <f t="shared" si="6"/>
        <v>111</v>
      </c>
      <c r="R13" s="664" t="s">
        <v>18</v>
      </c>
      <c r="S13" s="665">
        <f t="shared" si="0"/>
        <v>100</v>
      </c>
      <c r="T13" s="664" t="s">
        <v>18</v>
      </c>
      <c r="U13" s="665">
        <f t="shared" si="1"/>
        <v>100</v>
      </c>
      <c r="V13" s="664" t="s">
        <v>18</v>
      </c>
      <c r="W13" s="665">
        <f t="shared" si="2"/>
        <v>100</v>
      </c>
      <c r="X13" s="666"/>
      <c r="Y13" s="3271"/>
      <c r="Z13" s="50">
        <f t="shared" si="7"/>
        <v>111</v>
      </c>
      <c r="AA13" s="50">
        <f t="shared" si="3"/>
        <v>1</v>
      </c>
      <c r="AB13" s="50">
        <f t="shared" si="4"/>
        <v>1</v>
      </c>
      <c r="AC13" s="50">
        <f t="shared" si="5"/>
        <v>1</v>
      </c>
    </row>
    <row r="14" spans="1:29" ht="15.6"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88"/>
      <c r="M14" s="2483"/>
      <c r="N14" s="2483"/>
      <c r="O14" s="2483"/>
      <c r="P14" s="3381"/>
      <c r="Q14" s="530">
        <f t="shared" si="6"/>
        <v>111</v>
      </c>
      <c r="R14" s="664" t="s">
        <v>18</v>
      </c>
      <c r="S14" s="665">
        <f t="shared" si="0"/>
        <v>100</v>
      </c>
      <c r="T14" s="664" t="s">
        <v>18</v>
      </c>
      <c r="U14" s="665">
        <f t="shared" si="1"/>
        <v>100</v>
      </c>
      <c r="V14" s="664" t="s">
        <v>18</v>
      </c>
      <c r="W14" s="665">
        <f t="shared" si="2"/>
        <v>100</v>
      </c>
      <c r="X14" s="666"/>
      <c r="Y14" s="3271"/>
      <c r="Z14" s="50">
        <f t="shared" si="7"/>
        <v>111</v>
      </c>
      <c r="AA14" s="50">
        <f t="shared" si="3"/>
        <v>1</v>
      </c>
      <c r="AB14" s="50">
        <f t="shared" si="4"/>
        <v>1</v>
      </c>
      <c r="AC14" s="50">
        <f t="shared" si="5"/>
        <v>1</v>
      </c>
    </row>
    <row r="15" spans="1:29" ht="96.6">
      <c r="A15" s="379" t="s">
        <v>1690</v>
      </c>
      <c r="B15" s="58" t="s">
        <v>1257</v>
      </c>
      <c r="C15" s="1748"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8"/>
      <c r="M15" s="2483"/>
      <c r="N15" s="2483"/>
      <c r="O15" s="2483"/>
      <c r="P15" s="3372" t="s">
        <v>1691</v>
      </c>
      <c r="Q15" s="1261" t="str">
        <f t="shared" si="6"/>
        <v>居住社区成熟度</v>
      </c>
      <c r="R15" s="667" t="s">
        <v>18</v>
      </c>
      <c r="S15" s="668">
        <f t="shared" si="0"/>
        <v>100</v>
      </c>
      <c r="T15" s="667" t="s">
        <v>18</v>
      </c>
      <c r="U15" s="668">
        <f t="shared" si="1"/>
        <v>100</v>
      </c>
      <c r="V15" s="667" t="s">
        <v>18</v>
      </c>
      <c r="W15" s="668">
        <f t="shared" si="2"/>
        <v>100</v>
      </c>
      <c r="X15" s="1263"/>
      <c r="Y15" s="3374" t="s">
        <v>1691</v>
      </c>
      <c r="Z15" s="1262" t="str">
        <f t="shared" si="7"/>
        <v>居住社区成熟度</v>
      </c>
      <c r="AA15" s="1262">
        <f t="shared" si="3"/>
        <v>1</v>
      </c>
      <c r="AB15" s="1262">
        <f t="shared" si="4"/>
        <v>1</v>
      </c>
      <c r="AC15" s="1262">
        <f t="shared" si="5"/>
        <v>1</v>
      </c>
    </row>
    <row r="16" spans="1:29" ht="15">
      <c r="A16" s="367"/>
      <c r="B16" s="385"/>
      <c r="C16" s="386"/>
      <c r="D16" s="387"/>
      <c r="E16" s="1749"/>
      <c r="F16" s="387"/>
      <c r="G16" s="1750"/>
      <c r="H16" s="389"/>
      <c r="I16" s="1750"/>
      <c r="J16" s="387"/>
      <c r="K16" s="1751"/>
      <c r="L16" s="2488"/>
      <c r="M16" s="2483"/>
      <c r="N16" s="2483"/>
      <c r="O16" s="2483"/>
      <c r="P16" s="3373"/>
      <c r="Q16" s="1261"/>
      <c r="R16" s="667"/>
      <c r="S16" s="668"/>
      <c r="T16" s="667"/>
      <c r="U16" s="668"/>
      <c r="V16" s="667"/>
      <c r="W16" s="668"/>
      <c r="X16" s="1263"/>
      <c r="Y16" s="3375"/>
      <c r="Z16" s="1262"/>
      <c r="AA16" s="1262">
        <v>1</v>
      </c>
      <c r="AB16" s="1262">
        <v>1</v>
      </c>
      <c r="AC16" s="1262">
        <v>1</v>
      </c>
    </row>
    <row r="17" spans="1:29" ht="82.8">
      <c r="A17" s="367"/>
      <c r="B17" s="390" t="s">
        <v>1259</v>
      </c>
      <c r="C17" s="1752"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8"/>
      <c r="M17" s="2483"/>
      <c r="N17" s="2483"/>
      <c r="O17" s="2483"/>
      <c r="P17" s="3373"/>
      <c r="Q17" s="1261" t="str">
        <f>B17</f>
        <v>交通便捷度</v>
      </c>
      <c r="R17" s="667" t="s">
        <v>18</v>
      </c>
      <c r="S17" s="668">
        <f>F17</f>
        <v>100</v>
      </c>
      <c r="T17" s="667" t="s">
        <v>18</v>
      </c>
      <c r="U17" s="668">
        <f>H17</f>
        <v>100</v>
      </c>
      <c r="V17" s="667" t="s">
        <v>18</v>
      </c>
      <c r="W17" s="668">
        <f>J17</f>
        <v>100</v>
      </c>
      <c r="X17" s="1263"/>
      <c r="Y17" s="3375"/>
      <c r="Z17" s="1262" t="str">
        <f>Q17</f>
        <v>交通便捷度</v>
      </c>
      <c r="AA17" s="1262">
        <f t="shared" si="3"/>
        <v>1</v>
      </c>
      <c r="AB17" s="1262">
        <f t="shared" si="4"/>
        <v>1</v>
      </c>
      <c r="AC17" s="1262">
        <f t="shared" si="5"/>
        <v>1</v>
      </c>
    </row>
    <row r="18" spans="1:29" ht="15">
      <c r="A18" s="367"/>
      <c r="B18" s="395"/>
      <c r="C18" s="1753"/>
      <c r="D18" s="389"/>
      <c r="E18" s="1754"/>
      <c r="F18" s="389"/>
      <c r="G18" s="1755"/>
      <c r="H18" s="387"/>
      <c r="I18" s="1755"/>
      <c r="J18" s="387"/>
      <c r="K18" s="1751"/>
      <c r="L18" s="2488"/>
      <c r="M18" s="2483"/>
      <c r="N18" s="2483"/>
      <c r="O18" s="2483"/>
      <c r="P18" s="3373"/>
      <c r="Q18" s="1261"/>
      <c r="R18" s="667"/>
      <c r="S18" s="668"/>
      <c r="T18" s="667"/>
      <c r="U18" s="668"/>
      <c r="V18" s="667"/>
      <c r="W18" s="668"/>
      <c r="X18" s="1263"/>
      <c r="Y18" s="3375"/>
      <c r="Z18" s="1262"/>
      <c r="AA18" s="1262">
        <v>1</v>
      </c>
      <c r="AB18" s="1262">
        <v>1</v>
      </c>
      <c r="AC18" s="1262">
        <v>1</v>
      </c>
    </row>
    <row r="19" spans="1:29" ht="41.4">
      <c r="A19" s="367"/>
      <c r="B19" s="390" t="s">
        <v>1258</v>
      </c>
      <c r="C19" s="1752"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8"/>
      <c r="M19" s="2483"/>
      <c r="N19" s="2483"/>
      <c r="O19" s="2483"/>
      <c r="P19" s="3373"/>
      <c r="Q19" s="1261" t="str">
        <f>B19</f>
        <v>公共配套设施</v>
      </c>
      <c r="R19" s="667" t="s">
        <v>18</v>
      </c>
      <c r="S19" s="668">
        <f>F19</f>
        <v>100</v>
      </c>
      <c r="T19" s="667" t="s">
        <v>18</v>
      </c>
      <c r="U19" s="668">
        <f>H19</f>
        <v>100</v>
      </c>
      <c r="V19" s="667" t="s">
        <v>18</v>
      </c>
      <c r="W19" s="668">
        <f>J19</f>
        <v>100</v>
      </c>
      <c r="X19" s="1263"/>
      <c r="Y19" s="3375"/>
      <c r="Z19" s="1262" t="str">
        <f>Q19</f>
        <v>公共配套设施</v>
      </c>
      <c r="AA19" s="1262">
        <f t="shared" si="3"/>
        <v>1</v>
      </c>
      <c r="AB19" s="1262">
        <f t="shared" si="4"/>
        <v>1</v>
      </c>
      <c r="AC19" s="1262">
        <f t="shared" si="5"/>
        <v>1</v>
      </c>
    </row>
    <row r="20" spans="1:29" ht="15">
      <c r="A20" s="367"/>
      <c r="B20" s="395"/>
      <c r="C20" s="386"/>
      <c r="D20" s="387"/>
      <c r="E20" s="1749"/>
      <c r="F20" s="387"/>
      <c r="G20" s="1750"/>
      <c r="H20" s="387"/>
      <c r="I20" s="1750"/>
      <c r="J20" s="387"/>
      <c r="K20" s="1751"/>
      <c r="L20" s="2488"/>
      <c r="M20" s="2483"/>
      <c r="N20" s="2483"/>
      <c r="O20" s="2483"/>
      <c r="P20" s="3373"/>
      <c r="Q20" s="1261"/>
      <c r="R20" s="667"/>
      <c r="S20" s="668"/>
      <c r="T20" s="667"/>
      <c r="U20" s="668"/>
      <c r="V20" s="667"/>
      <c r="W20" s="668"/>
      <c r="X20" s="1263"/>
      <c r="Y20" s="3375"/>
      <c r="Z20" s="1262"/>
      <c r="AA20" s="1262">
        <v>1</v>
      </c>
      <c r="AB20" s="1262">
        <v>1</v>
      </c>
      <c r="AC20" s="1262">
        <v>1</v>
      </c>
    </row>
    <row r="21" spans="1:29" ht="27.6">
      <c r="A21" s="367"/>
      <c r="B21" s="586" t="s">
        <v>1260</v>
      </c>
      <c r="C21" s="1752"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8"/>
      <c r="M21" s="2483"/>
      <c r="N21" s="2483"/>
      <c r="O21" s="2483"/>
      <c r="P21" s="3373"/>
      <c r="Q21" s="1261" t="str">
        <f>B21</f>
        <v>基础设施水平</v>
      </c>
      <c r="R21" s="667" t="s">
        <v>14</v>
      </c>
      <c r="S21" s="668">
        <f>F21</f>
        <v>100</v>
      </c>
      <c r="T21" s="667" t="s">
        <v>14</v>
      </c>
      <c r="U21" s="668">
        <f>H21</f>
        <v>100</v>
      </c>
      <c r="V21" s="667" t="s">
        <v>14</v>
      </c>
      <c r="W21" s="668">
        <f>J21</f>
        <v>100</v>
      </c>
      <c r="X21" s="1263"/>
      <c r="Y21" s="3375"/>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7"/>
      <c r="G22" s="1756"/>
      <c r="H22" s="387"/>
      <c r="I22" s="386"/>
      <c r="J22" s="387"/>
      <c r="K22" s="1757"/>
      <c r="L22" s="2488"/>
      <c r="M22" s="2483"/>
      <c r="N22" s="2483"/>
      <c r="O22" s="2483"/>
      <c r="P22" s="3373"/>
      <c r="Q22" s="1261"/>
      <c r="R22" s="667"/>
      <c r="S22" s="668"/>
      <c r="T22" s="667"/>
      <c r="U22" s="668"/>
      <c r="V22" s="667"/>
      <c r="W22" s="668"/>
      <c r="X22" s="1263"/>
      <c r="Y22" s="3375"/>
      <c r="Z22" s="1262"/>
      <c r="AA22" s="1262">
        <v>1</v>
      </c>
      <c r="AB22" s="1262">
        <v>1</v>
      </c>
      <c r="AC22" s="1262">
        <v>1</v>
      </c>
    </row>
    <row r="23" spans="1:29" ht="55.2">
      <c r="A23" s="367"/>
      <c r="B23" s="390" t="s">
        <v>1261</v>
      </c>
      <c r="C23" s="1752"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8"/>
      <c r="M23" s="2483"/>
      <c r="N23" s="2483"/>
      <c r="O23" s="2483"/>
      <c r="P23" s="3373"/>
      <c r="Q23" s="1261" t="str">
        <f>B23</f>
        <v>自然及人文环境</v>
      </c>
      <c r="R23" s="667" t="s">
        <v>18</v>
      </c>
      <c r="S23" s="668">
        <f>F23</f>
        <v>100</v>
      </c>
      <c r="T23" s="667" t="s">
        <v>18</v>
      </c>
      <c r="U23" s="668">
        <f>H23</f>
        <v>100</v>
      </c>
      <c r="V23" s="667" t="s">
        <v>18</v>
      </c>
      <c r="W23" s="668">
        <f>J23</f>
        <v>100</v>
      </c>
      <c r="X23" s="1263"/>
      <c r="Y23" s="3375"/>
      <c r="Z23" s="1262" t="str">
        <f>Q23</f>
        <v>自然及人文环境</v>
      </c>
      <c r="AA23" s="1262">
        <f>D23/F23</f>
        <v>1</v>
      </c>
      <c r="AB23" s="1262">
        <f>D23/H23</f>
        <v>1</v>
      </c>
      <c r="AC23" s="1262">
        <f>D23/J23</f>
        <v>1</v>
      </c>
    </row>
    <row r="24" spans="1:29" ht="15">
      <c r="A24" s="367"/>
      <c r="B24" s="395"/>
      <c r="C24" s="386"/>
      <c r="D24" s="387"/>
      <c r="E24" s="1749"/>
      <c r="F24" s="387"/>
      <c r="G24" s="1750"/>
      <c r="H24" s="387"/>
      <c r="I24" s="1750"/>
      <c r="J24" s="387"/>
      <c r="K24" s="1751"/>
      <c r="L24" s="2488"/>
      <c r="M24" s="2483"/>
      <c r="N24" s="2483"/>
      <c r="O24" s="2483"/>
      <c r="P24" s="3373"/>
      <c r="Q24" s="1261"/>
      <c r="R24" s="667"/>
      <c r="S24" s="668"/>
      <c r="T24" s="667"/>
      <c r="U24" s="668"/>
      <c r="V24" s="667"/>
      <c r="W24" s="668"/>
      <c r="X24" s="1263"/>
      <c r="Y24" s="3375"/>
      <c r="Z24" s="1262"/>
      <c r="AA24" s="1262">
        <v>1</v>
      </c>
      <c r="AB24" s="1262">
        <v>1</v>
      </c>
      <c r="AC24" s="1262">
        <v>1</v>
      </c>
    </row>
    <row r="25" spans="1:29" ht="15">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88"/>
      <c r="M25" s="2483"/>
      <c r="N25" s="2483"/>
      <c r="O25" s="2483"/>
      <c r="P25" s="3373"/>
      <c r="Q25" s="1261" t="str">
        <f t="shared" ref="Q25:Q46" si="11">B25</f>
        <v>楼层-1</v>
      </c>
      <c r="R25" s="667" t="s">
        <v>18</v>
      </c>
      <c r="S25" s="668">
        <f t="shared" ref="S25:S46" si="12">F25</f>
        <v>100</v>
      </c>
      <c r="T25" s="667" t="s">
        <v>18</v>
      </c>
      <c r="U25" s="668">
        <f t="shared" ref="U25:U46" si="13">H25</f>
        <v>100</v>
      </c>
      <c r="V25" s="667" t="s">
        <v>18</v>
      </c>
      <c r="W25" s="668">
        <f t="shared" ref="W25:W46" si="14">J25</f>
        <v>100</v>
      </c>
      <c r="X25" s="1263"/>
      <c r="Y25" s="3375"/>
      <c r="Z25" s="1262" t="str">
        <f>Q25</f>
        <v>楼层-1</v>
      </c>
      <c r="AA25" s="1262">
        <f t="shared" ref="AA25:AA46" si="15">D25/F25</f>
        <v>1</v>
      </c>
      <c r="AB25" s="1262">
        <f t="shared" ref="AB25:AB46" si="16">D25/H25</f>
        <v>1</v>
      </c>
      <c r="AC25" s="1262">
        <f t="shared" ref="AC25:AC46" si="17">D25/J25</f>
        <v>1</v>
      </c>
    </row>
    <row r="26" spans="1:29" ht="15">
      <c r="A26" s="367"/>
      <c r="B26" s="364" t="s">
        <v>1693</v>
      </c>
      <c r="C26" s="399"/>
      <c r="D26" s="374">
        <v>100</v>
      </c>
      <c r="E26" s="1758"/>
      <c r="F26" s="374">
        <f>SUMIF(88:88,E26,89:89)-SUMIF(88:88,C26,89:89)+100</f>
        <v>100</v>
      </c>
      <c r="G26" s="1759"/>
      <c r="H26" s="374">
        <f>SUMIF(88:88,G26,89:89)-SUMIF(88:88,C26,89:89)+100</f>
        <v>100</v>
      </c>
      <c r="I26" s="1759"/>
      <c r="J26" s="374">
        <f>SUMIF(88:88,I26,89:89)-SUMIF(88:88,C26,89:89)+100</f>
        <v>100</v>
      </c>
      <c r="K26" s="365"/>
      <c r="L26" s="2488"/>
      <c r="M26" s="2483"/>
      <c r="N26" s="2483"/>
      <c r="O26" s="2483"/>
      <c r="P26" s="3373"/>
      <c r="Q26" s="1261" t="str">
        <f t="shared" si="11"/>
        <v>朝向</v>
      </c>
      <c r="R26" s="667" t="s">
        <v>18</v>
      </c>
      <c r="S26" s="668">
        <f t="shared" si="12"/>
        <v>100</v>
      </c>
      <c r="T26" s="667" t="s">
        <v>18</v>
      </c>
      <c r="U26" s="668">
        <f t="shared" si="13"/>
        <v>100</v>
      </c>
      <c r="V26" s="667" t="s">
        <v>18</v>
      </c>
      <c r="W26" s="668">
        <f t="shared" si="14"/>
        <v>100</v>
      </c>
      <c r="X26" s="1263"/>
      <c r="Y26" s="3375"/>
      <c r="Z26" s="1262" t="str">
        <f>Q26</f>
        <v>朝向</v>
      </c>
      <c r="AA26" s="1262">
        <f t="shared" si="15"/>
        <v>1</v>
      </c>
      <c r="AB26" s="1262">
        <f t="shared" si="16"/>
        <v>1</v>
      </c>
      <c r="AC26" s="1262">
        <f t="shared" si="17"/>
        <v>1</v>
      </c>
    </row>
    <row r="27" spans="1:29" s="102" customFormat="1" ht="15">
      <c r="A27" s="370"/>
      <c r="B27" s="1064">
        <v>111</v>
      </c>
      <c r="C27" s="371"/>
      <c r="D27" s="401">
        <v>100</v>
      </c>
      <c r="E27" s="403"/>
      <c r="F27" s="401">
        <f>SUMIF(90:90,E27,91:91)-SUMIF(90:90,C27,91:91)+100</f>
        <v>100</v>
      </c>
      <c r="G27" s="402"/>
      <c r="H27" s="401">
        <f>SUMIF(90:90,G27,91:91)-SUMIF(90:90,C27,91:91)+100</f>
        <v>100</v>
      </c>
      <c r="I27" s="402"/>
      <c r="J27" s="401">
        <f>SUMIF(90:90,I27,91:91)-SUMIF(90:90,C27,91:91)+100</f>
        <v>100</v>
      </c>
      <c r="K27" s="1746"/>
      <c r="L27" s="2484"/>
      <c r="M27" s="2436"/>
      <c r="N27" s="2436"/>
      <c r="O27" s="2436"/>
      <c r="P27" s="3373"/>
      <c r="Q27" s="530">
        <f t="shared" si="11"/>
        <v>111</v>
      </c>
      <c r="R27" s="664" t="s">
        <v>18</v>
      </c>
      <c r="S27" s="665">
        <f t="shared" si="12"/>
        <v>100</v>
      </c>
      <c r="T27" s="664" t="s">
        <v>18</v>
      </c>
      <c r="U27" s="665">
        <f t="shared" si="13"/>
        <v>100</v>
      </c>
      <c r="V27" s="664" t="s">
        <v>18</v>
      </c>
      <c r="W27" s="665">
        <f t="shared" si="14"/>
        <v>100</v>
      </c>
      <c r="X27" s="666"/>
      <c r="Y27" s="3375"/>
      <c r="Z27" s="50">
        <f>Q27</f>
        <v>111</v>
      </c>
      <c r="AA27" s="1262">
        <f t="shared" si="15"/>
        <v>1</v>
      </c>
      <c r="AB27" s="1262">
        <f t="shared" si="16"/>
        <v>1</v>
      </c>
      <c r="AC27" s="1262">
        <f t="shared" si="17"/>
        <v>1</v>
      </c>
    </row>
    <row r="28" spans="1:29" ht="15">
      <c r="A28" s="367"/>
      <c r="B28" s="1064">
        <v>111</v>
      </c>
      <c r="C28" s="373"/>
      <c r="D28" s="374">
        <v>100</v>
      </c>
      <c r="E28" s="373"/>
      <c r="F28" s="374">
        <f>SUMIF(92:92,E28,93:93)-SUMIF(92:92,C28,93:93)+100</f>
        <v>100</v>
      </c>
      <c r="G28" s="1760"/>
      <c r="H28" s="374">
        <f>SUMIF(92:92,G28,93:93)-SUMIF(92:92,C28,93:93)+100</f>
        <v>100</v>
      </c>
      <c r="I28" s="373"/>
      <c r="J28" s="374">
        <f>SUMIF(92:92,I28,93:93)-SUMIF(92:92,C28,93:93)+100</f>
        <v>100</v>
      </c>
      <c r="K28" s="1746"/>
      <c r="L28" s="2488"/>
      <c r="M28" s="2483"/>
      <c r="N28" s="2483"/>
      <c r="O28" s="2483"/>
      <c r="P28" s="3373"/>
      <c r="Q28" s="1261">
        <f t="shared" si="11"/>
        <v>111</v>
      </c>
      <c r="R28" s="667" t="s">
        <v>18</v>
      </c>
      <c r="S28" s="668">
        <f t="shared" si="12"/>
        <v>100</v>
      </c>
      <c r="T28" s="667" t="s">
        <v>18</v>
      </c>
      <c r="U28" s="668">
        <f t="shared" si="13"/>
        <v>100</v>
      </c>
      <c r="V28" s="667" t="s">
        <v>18</v>
      </c>
      <c r="W28" s="668">
        <f t="shared" si="14"/>
        <v>100</v>
      </c>
      <c r="X28" s="1263"/>
      <c r="Y28" s="3375"/>
      <c r="Z28" s="1262">
        <f t="shared" ref="Z28:Z46" si="18">Q28</f>
        <v>111</v>
      </c>
      <c r="AA28" s="1262">
        <f t="shared" si="15"/>
        <v>1</v>
      </c>
      <c r="AB28" s="1262">
        <f t="shared" si="16"/>
        <v>1</v>
      </c>
      <c r="AC28" s="1262">
        <f t="shared" si="17"/>
        <v>1</v>
      </c>
    </row>
    <row r="29" spans="1:29" ht="15">
      <c r="A29" s="367"/>
      <c r="B29" s="1064">
        <v>111</v>
      </c>
      <c r="C29" s="373"/>
      <c r="D29" s="374">
        <v>100</v>
      </c>
      <c r="E29" s="373"/>
      <c r="F29" s="374">
        <f>SUMIF(94:94,E29,95:95)-SUMIF(94:94,C29,95:95)+100</f>
        <v>100</v>
      </c>
      <c r="G29" s="1760"/>
      <c r="H29" s="374">
        <f>SUMIF(94:94,G29,95:95)-SUMIF(94:94,C29,95:95)+100</f>
        <v>100</v>
      </c>
      <c r="I29" s="373"/>
      <c r="J29" s="374">
        <f>SUMIF(94:94,I29,95:95)-SUMIF(94:94,C29,95:95)+100</f>
        <v>100</v>
      </c>
      <c r="K29" s="1746"/>
      <c r="L29" s="2488"/>
      <c r="M29" s="2483"/>
      <c r="N29" s="2483"/>
      <c r="O29" s="2483"/>
      <c r="P29" s="3373"/>
      <c r="Q29" s="1261">
        <f t="shared" si="11"/>
        <v>111</v>
      </c>
      <c r="R29" s="667" t="s">
        <v>18</v>
      </c>
      <c r="S29" s="668">
        <f t="shared" si="12"/>
        <v>100</v>
      </c>
      <c r="T29" s="667" t="s">
        <v>18</v>
      </c>
      <c r="U29" s="668">
        <f t="shared" si="13"/>
        <v>100</v>
      </c>
      <c r="V29" s="667" t="s">
        <v>18</v>
      </c>
      <c r="W29" s="668">
        <f t="shared" si="14"/>
        <v>100</v>
      </c>
      <c r="X29" s="1263"/>
      <c r="Y29" s="3375"/>
      <c r="Z29" s="1262">
        <f t="shared" si="18"/>
        <v>111</v>
      </c>
      <c r="AA29" s="1262">
        <f t="shared" si="15"/>
        <v>1</v>
      </c>
      <c r="AB29" s="1262">
        <f t="shared" si="16"/>
        <v>1</v>
      </c>
      <c r="AC29" s="1262">
        <f t="shared" si="17"/>
        <v>1</v>
      </c>
    </row>
    <row r="30" spans="1:29" ht="15">
      <c r="A30" s="367"/>
      <c r="B30" s="1064">
        <v>111</v>
      </c>
      <c r="C30" s="373"/>
      <c r="D30" s="374">
        <v>100</v>
      </c>
      <c r="E30" s="373"/>
      <c r="F30" s="374">
        <f>SUMIF(96:96,E30,97:97)-SUMIF(96:96,C30,97:97)+100</f>
        <v>100</v>
      </c>
      <c r="G30" s="1760"/>
      <c r="H30" s="374">
        <f>SUMIF(96:96,G30,97:97)-SUMIF(96:96,C30,97:97)+100</f>
        <v>100</v>
      </c>
      <c r="I30" s="373"/>
      <c r="J30" s="374">
        <f>SUMIF(96:96,I30,97:97)-SUMIF(96:96,C30,97:97)+100</f>
        <v>100</v>
      </c>
      <c r="K30" s="1746"/>
      <c r="L30" s="2488"/>
      <c r="M30" s="2483"/>
      <c r="N30" s="2483"/>
      <c r="O30" s="2483"/>
      <c r="P30" s="3373"/>
      <c r="Q30" s="1261">
        <f t="shared" si="11"/>
        <v>111</v>
      </c>
      <c r="R30" s="667" t="s">
        <v>18</v>
      </c>
      <c r="S30" s="668">
        <f t="shared" si="12"/>
        <v>100</v>
      </c>
      <c r="T30" s="667" t="s">
        <v>18</v>
      </c>
      <c r="U30" s="668">
        <f t="shared" si="13"/>
        <v>100</v>
      </c>
      <c r="V30" s="667" t="s">
        <v>18</v>
      </c>
      <c r="W30" s="668">
        <f t="shared" si="14"/>
        <v>100</v>
      </c>
      <c r="X30" s="1263"/>
      <c r="Y30" s="3375"/>
      <c r="Z30" s="1262">
        <f t="shared" si="18"/>
        <v>111</v>
      </c>
      <c r="AA30" s="1262">
        <f t="shared" si="15"/>
        <v>1</v>
      </c>
      <c r="AB30" s="1262">
        <f t="shared" si="16"/>
        <v>1</v>
      </c>
      <c r="AC30" s="1262">
        <f t="shared" si="17"/>
        <v>1</v>
      </c>
    </row>
    <row r="31" spans="1:29" ht="15.6" thickBot="1">
      <c r="A31" s="375"/>
      <c r="B31" s="1064">
        <v>111</v>
      </c>
      <c r="C31" s="376"/>
      <c r="D31" s="377">
        <v>100</v>
      </c>
      <c r="E31" s="376"/>
      <c r="F31" s="377">
        <f>SUMIF(98:98,E31,99:99)-SUMIF(98:98,C31,99:99)+100</f>
        <v>100</v>
      </c>
      <c r="G31" s="1761"/>
      <c r="H31" s="377">
        <f>SUMIF(98:98,G31,99:99)-SUMIF(98:98,C31,99:99)+100</f>
        <v>100</v>
      </c>
      <c r="I31" s="376"/>
      <c r="J31" s="377">
        <f>SUMIF(98:98,I31,99:99)-SUMIF(98:98,C31,99:99)+100</f>
        <v>100</v>
      </c>
      <c r="K31" s="1746"/>
      <c r="L31" s="2488"/>
      <c r="M31" s="2483"/>
      <c r="N31" s="2483"/>
      <c r="O31" s="2483"/>
      <c r="P31" s="3373"/>
      <c r="Q31" s="1261">
        <f t="shared" si="11"/>
        <v>111</v>
      </c>
      <c r="R31" s="667" t="s">
        <v>18</v>
      </c>
      <c r="S31" s="668">
        <f t="shared" si="12"/>
        <v>100</v>
      </c>
      <c r="T31" s="667" t="s">
        <v>18</v>
      </c>
      <c r="U31" s="668">
        <f t="shared" si="13"/>
        <v>100</v>
      </c>
      <c r="V31" s="667" t="s">
        <v>18</v>
      </c>
      <c r="W31" s="668">
        <f t="shared" si="14"/>
        <v>100</v>
      </c>
      <c r="X31" s="1263"/>
      <c r="Y31" s="3375"/>
      <c r="Z31" s="1262">
        <f t="shared" si="18"/>
        <v>111</v>
      </c>
      <c r="AA31" s="1262">
        <f t="shared" si="15"/>
        <v>1</v>
      </c>
      <c r="AB31" s="1262">
        <f t="shared" si="16"/>
        <v>1</v>
      </c>
      <c r="AC31" s="1262">
        <f t="shared" si="17"/>
        <v>1</v>
      </c>
    </row>
    <row r="32" spans="1:29" ht="15">
      <c r="A32" s="379" t="s">
        <v>1694</v>
      </c>
      <c r="B32" s="60" t="s">
        <v>1695</v>
      </c>
      <c r="C32" s="1762"/>
      <c r="D32" s="405">
        <v>100</v>
      </c>
      <c r="E32" s="1763"/>
      <c r="F32" s="400">
        <f>SUMIF(100:100,E32,101:101)-SUMIF(100:100,C32,101:101)+100</f>
        <v>100</v>
      </c>
      <c r="G32" s="1762"/>
      <c r="H32" s="405">
        <f>SUMIF(100:100,G32,101:101)-SUMIF(100:100,C32,101:101)+100</f>
        <v>100</v>
      </c>
      <c r="I32" s="1763"/>
      <c r="J32" s="374">
        <f>SUMIF(100:100,I32,101:101)-SUMIF(100:100,C32,101:101)+100</f>
        <v>100</v>
      </c>
      <c r="K32" s="365"/>
      <c r="L32" s="2488"/>
      <c r="M32" s="2483"/>
      <c r="N32" s="2483"/>
      <c r="O32" s="2483"/>
      <c r="P32" s="3376" t="s">
        <v>1696</v>
      </c>
      <c r="Q32" s="1261" t="str">
        <f t="shared" si="11"/>
        <v>建筑类型</v>
      </c>
      <c r="R32" s="667" t="s">
        <v>18</v>
      </c>
      <c r="S32" s="668">
        <f t="shared" si="12"/>
        <v>100</v>
      </c>
      <c r="T32" s="667" t="s">
        <v>18</v>
      </c>
      <c r="U32" s="668">
        <f t="shared" si="13"/>
        <v>100</v>
      </c>
      <c r="V32" s="667" t="s">
        <v>18</v>
      </c>
      <c r="W32" s="668">
        <f t="shared" si="14"/>
        <v>100</v>
      </c>
      <c r="X32" s="1263"/>
      <c r="Y32" s="3379" t="s">
        <v>1696</v>
      </c>
      <c r="Z32" s="1262" t="str">
        <f t="shared" si="18"/>
        <v>建筑类型</v>
      </c>
      <c r="AA32" s="1262">
        <f t="shared" si="15"/>
        <v>1</v>
      </c>
      <c r="AB32" s="1262">
        <f t="shared" si="16"/>
        <v>1</v>
      </c>
      <c r="AC32" s="1262">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6"/>
      <c r="L33" s="2487"/>
      <c r="M33" s="2489"/>
      <c r="N33" s="2489"/>
      <c r="O33" s="2489"/>
      <c r="P33" s="3377"/>
      <c r="Q33" s="531" t="str">
        <f t="shared" si="11"/>
        <v>项目建筑规模</v>
      </c>
      <c r="R33" s="669" t="s">
        <v>18</v>
      </c>
      <c r="S33" s="670" t="e">
        <f t="shared" si="12"/>
        <v>#N/A</v>
      </c>
      <c r="T33" s="669" t="s">
        <v>18</v>
      </c>
      <c r="U33" s="670" t="e">
        <f t="shared" si="13"/>
        <v>#N/A</v>
      </c>
      <c r="V33" s="669" t="s">
        <v>18</v>
      </c>
      <c r="W33" s="670" t="e">
        <f t="shared" si="14"/>
        <v>#N/A</v>
      </c>
      <c r="X33" s="671"/>
      <c r="Y33" s="3379"/>
      <c r="Z33" s="672" t="str">
        <f t="shared" si="18"/>
        <v>项目建筑规模</v>
      </c>
      <c r="AA33" s="1262" t="e">
        <f t="shared" si="15"/>
        <v>#N/A</v>
      </c>
      <c r="AB33" s="1262" t="e">
        <f t="shared" si="16"/>
        <v>#N/A</v>
      </c>
      <c r="AC33" s="1262" t="e">
        <f t="shared" si="17"/>
        <v>#N/A</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88"/>
      <c r="M34" s="2483"/>
      <c r="N34" s="2483"/>
      <c r="O34" s="2483"/>
      <c r="P34" s="3377"/>
      <c r="Q34" s="1261" t="str">
        <f t="shared" si="11"/>
        <v>建筑结构</v>
      </c>
      <c r="R34" s="667" t="s">
        <v>18</v>
      </c>
      <c r="S34" s="668">
        <f t="shared" si="12"/>
        <v>100</v>
      </c>
      <c r="T34" s="667" t="s">
        <v>18</v>
      </c>
      <c r="U34" s="668">
        <f t="shared" si="13"/>
        <v>100</v>
      </c>
      <c r="V34" s="667" t="s">
        <v>18</v>
      </c>
      <c r="W34" s="668">
        <f t="shared" si="14"/>
        <v>100</v>
      </c>
      <c r="X34" s="1263"/>
      <c r="Y34" s="3379"/>
      <c r="Z34" s="1262" t="str">
        <f t="shared" si="18"/>
        <v>建筑结构</v>
      </c>
      <c r="AA34" s="1262">
        <f t="shared" si="15"/>
        <v>1</v>
      </c>
      <c r="AB34" s="1262">
        <f t="shared" si="16"/>
        <v>1</v>
      </c>
      <c r="AC34" s="1262">
        <f t="shared" si="17"/>
        <v>1</v>
      </c>
    </row>
    <row r="35" spans="1:29" ht="15">
      <c r="A35" s="409"/>
      <c r="B35" s="364" t="s">
        <v>1699</v>
      </c>
      <c r="C35" s="1758"/>
      <c r="D35" s="374">
        <v>100</v>
      </c>
      <c r="E35" s="1759"/>
      <c r="F35" s="400">
        <f>SUMIF(107:107,E35,108:108)-SUMIF(107:107,C35,108:108)+100</f>
        <v>100</v>
      </c>
      <c r="G35" s="1758"/>
      <c r="H35" s="374">
        <f>SUMIF(107:107,G35,108:108)-SUMIF(107:107,C35,108:108)+100</f>
        <v>100</v>
      </c>
      <c r="I35" s="1759"/>
      <c r="J35" s="374">
        <f>SUMIF(107:107,I35,108:108)-SUMIF(107:107,C35,108:108)+100</f>
        <v>100</v>
      </c>
      <c r="K35" s="365"/>
      <c r="L35" s="2488"/>
      <c r="M35" s="2483"/>
      <c r="N35" s="2483"/>
      <c r="O35" s="2483"/>
      <c r="P35" s="3377"/>
      <c r="Q35" s="1261" t="str">
        <f t="shared" si="11"/>
        <v>建筑品质</v>
      </c>
      <c r="R35" s="667" t="s">
        <v>18</v>
      </c>
      <c r="S35" s="668">
        <f t="shared" si="12"/>
        <v>100</v>
      </c>
      <c r="T35" s="667" t="s">
        <v>18</v>
      </c>
      <c r="U35" s="668">
        <f t="shared" si="13"/>
        <v>100</v>
      </c>
      <c r="V35" s="667" t="s">
        <v>18</v>
      </c>
      <c r="W35" s="668">
        <f t="shared" si="14"/>
        <v>100</v>
      </c>
      <c r="X35" s="1263"/>
      <c r="Y35" s="3379"/>
      <c r="Z35" s="1262" t="str">
        <f t="shared" si="18"/>
        <v>建筑品质</v>
      </c>
      <c r="AA35" s="1262">
        <f t="shared" si="15"/>
        <v>1</v>
      </c>
      <c r="AB35" s="1262">
        <f t="shared" si="16"/>
        <v>1</v>
      </c>
      <c r="AC35" s="1262">
        <f t="shared" si="17"/>
        <v>1</v>
      </c>
    </row>
    <row r="36" spans="1:29" ht="15">
      <c r="A36" s="409"/>
      <c r="B36" s="364" t="s">
        <v>1700</v>
      </c>
      <c r="C36" s="1758"/>
      <c r="D36" s="374">
        <v>100</v>
      </c>
      <c r="E36" s="1759"/>
      <c r="F36" s="400">
        <f>SUMIF(109:109,E36,110:110)-SUMIF(109:109,C36,110:110)+100</f>
        <v>100</v>
      </c>
      <c r="G36" s="1758"/>
      <c r="H36" s="374">
        <f>SUMIF(109:109,G36,110:110)-SUMIF(109:109,C36,110:110)+100</f>
        <v>100</v>
      </c>
      <c r="I36" s="1759"/>
      <c r="J36" s="374">
        <f>SUMIF(109:109,I36,110:110)-SUMIF(109:109,C36,110:110)+100</f>
        <v>100</v>
      </c>
      <c r="K36" s="365"/>
      <c r="L36" s="2488"/>
      <c r="M36" s="2483"/>
      <c r="N36" s="2483"/>
      <c r="O36" s="2483"/>
      <c r="P36" s="3377"/>
      <c r="Q36" s="1261" t="str">
        <f t="shared" si="11"/>
        <v>公共部分装修</v>
      </c>
      <c r="R36" s="667" t="s">
        <v>18</v>
      </c>
      <c r="S36" s="668">
        <f t="shared" si="12"/>
        <v>100</v>
      </c>
      <c r="T36" s="667" t="s">
        <v>18</v>
      </c>
      <c r="U36" s="668">
        <f t="shared" si="13"/>
        <v>100</v>
      </c>
      <c r="V36" s="667" t="s">
        <v>18</v>
      </c>
      <c r="W36" s="668">
        <f t="shared" si="14"/>
        <v>100</v>
      </c>
      <c r="X36" s="1263"/>
      <c r="Y36" s="3379"/>
      <c r="Z36" s="1262" t="str">
        <f t="shared" si="18"/>
        <v>公共部分装修</v>
      </c>
      <c r="AA36" s="1262">
        <f t="shared" si="15"/>
        <v>1</v>
      </c>
      <c r="AB36" s="1262">
        <f t="shared" si="16"/>
        <v>1</v>
      </c>
      <c r="AC36" s="1262">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4"/>
      <c r="M37" s="2436"/>
      <c r="N37" s="2436"/>
      <c r="O37" s="2436"/>
      <c r="P37" s="3377"/>
      <c r="Q37" s="530" t="str">
        <f t="shared" si="11"/>
        <v>成新度</v>
      </c>
      <c r="R37" s="664" t="s">
        <v>18</v>
      </c>
      <c r="S37" s="665" t="e">
        <f t="shared" si="12"/>
        <v>#N/A</v>
      </c>
      <c r="T37" s="664" t="s">
        <v>18</v>
      </c>
      <c r="U37" s="665" t="e">
        <f t="shared" si="13"/>
        <v>#N/A</v>
      </c>
      <c r="V37" s="664" t="s">
        <v>18</v>
      </c>
      <c r="W37" s="665" t="e">
        <f t="shared" si="14"/>
        <v>#N/A</v>
      </c>
      <c r="X37" s="666"/>
      <c r="Y37" s="3379"/>
      <c r="Z37" s="50" t="str">
        <f t="shared" si="18"/>
        <v>成新度</v>
      </c>
      <c r="AA37" s="50" t="e">
        <f t="shared" si="15"/>
        <v>#N/A</v>
      </c>
      <c r="AB37" s="50" t="e">
        <f t="shared" si="16"/>
        <v>#N/A</v>
      </c>
      <c r="AC37" s="50" t="e">
        <f t="shared" si="17"/>
        <v>#N/A</v>
      </c>
    </row>
    <row r="38" spans="1:29" ht="15">
      <c r="A38" s="409"/>
      <c r="B38" s="364" t="s">
        <v>1702</v>
      </c>
      <c r="C38" s="1758"/>
      <c r="D38" s="374">
        <v>100</v>
      </c>
      <c r="E38" s="1759"/>
      <c r="F38" s="400">
        <f>SUMIF(114:114,E38,115:115)-SUMIF(114:114,C38,115:115)+100</f>
        <v>100</v>
      </c>
      <c r="G38" s="1758"/>
      <c r="H38" s="374">
        <f>SUMIF(114:114,G38,115:115)-SUMIF(114:114,C38,115:115)+100</f>
        <v>100</v>
      </c>
      <c r="I38" s="1759"/>
      <c r="J38" s="374">
        <f>SUMIF(114:114,I38,115:115)-SUMIF(114:114,C38,115:115)+100</f>
        <v>100</v>
      </c>
      <c r="K38" s="365"/>
      <c r="L38" s="2488"/>
      <c r="M38" s="2483"/>
      <c r="N38" s="2483"/>
      <c r="O38" s="2483"/>
      <c r="P38" s="3377" t="s">
        <v>1696</v>
      </c>
      <c r="Q38" s="1261" t="str">
        <f t="shared" si="11"/>
        <v>物业管理</v>
      </c>
      <c r="R38" s="667" t="s">
        <v>18</v>
      </c>
      <c r="S38" s="668">
        <f t="shared" si="12"/>
        <v>100</v>
      </c>
      <c r="T38" s="667" t="s">
        <v>18</v>
      </c>
      <c r="U38" s="668">
        <f t="shared" si="13"/>
        <v>100</v>
      </c>
      <c r="V38" s="667" t="s">
        <v>18</v>
      </c>
      <c r="W38" s="668">
        <f t="shared" si="14"/>
        <v>100</v>
      </c>
      <c r="X38" s="1263"/>
      <c r="Y38" s="3379" t="s">
        <v>1696</v>
      </c>
      <c r="Z38" s="1262" t="str">
        <f t="shared" si="18"/>
        <v>物业管理</v>
      </c>
      <c r="AA38" s="1262">
        <f t="shared" si="15"/>
        <v>1</v>
      </c>
      <c r="AB38" s="1262">
        <f t="shared" si="16"/>
        <v>1</v>
      </c>
      <c r="AC38" s="1262">
        <f t="shared" si="17"/>
        <v>1</v>
      </c>
    </row>
    <row r="39" spans="1:29" ht="15">
      <c r="A39" s="409"/>
      <c r="B39" s="364" t="s">
        <v>1703</v>
      </c>
      <c r="C39" s="1758"/>
      <c r="D39" s="374">
        <v>100</v>
      </c>
      <c r="E39" s="1759"/>
      <c r="F39" s="400">
        <f>SUMIF(116:116,E39,117:117)-SUMIF(116:116,C39,117:117)+100</f>
        <v>100</v>
      </c>
      <c r="G39" s="1758"/>
      <c r="H39" s="374">
        <f>SUMIF(116:116,G39,117:117)-SUMIF(116:116,C39,117:117)+100</f>
        <v>100</v>
      </c>
      <c r="I39" s="1759"/>
      <c r="J39" s="374">
        <f>SUMIF(116:116,I39,117:117)-SUMIF(116:116,C39,117:117)+100</f>
        <v>100</v>
      </c>
      <c r="K39" s="365"/>
      <c r="L39" s="2488"/>
      <c r="M39" s="2483"/>
      <c r="N39" s="2483"/>
      <c r="O39" s="2483"/>
      <c r="P39" s="3377"/>
      <c r="Q39" s="1261" t="str">
        <f t="shared" si="11"/>
        <v>市政基础设施</v>
      </c>
      <c r="R39" s="667" t="s">
        <v>18</v>
      </c>
      <c r="S39" s="668">
        <f t="shared" si="12"/>
        <v>100</v>
      </c>
      <c r="T39" s="667" t="s">
        <v>18</v>
      </c>
      <c r="U39" s="668">
        <f t="shared" si="13"/>
        <v>100</v>
      </c>
      <c r="V39" s="667" t="s">
        <v>18</v>
      </c>
      <c r="W39" s="668">
        <f t="shared" si="14"/>
        <v>100</v>
      </c>
      <c r="X39" s="1263"/>
      <c r="Y39" s="3379"/>
      <c r="Z39" s="1262" t="str">
        <f t="shared" si="18"/>
        <v>市政基础设施</v>
      </c>
      <c r="AA39" s="1262">
        <f t="shared" si="15"/>
        <v>1</v>
      </c>
      <c r="AB39" s="1262">
        <f t="shared" si="16"/>
        <v>1</v>
      </c>
      <c r="AC39" s="1262">
        <f t="shared" si="17"/>
        <v>1</v>
      </c>
    </row>
    <row r="40" spans="1:29" ht="15">
      <c r="A40" s="409"/>
      <c r="B40" s="364" t="s">
        <v>1704</v>
      </c>
      <c r="C40" s="1758"/>
      <c r="D40" s="374">
        <v>100</v>
      </c>
      <c r="E40" s="1759"/>
      <c r="F40" s="400">
        <f>SUMIF(118:118,E40,119:119)-SUMIF(118:118,C40,119:119)+100</f>
        <v>100</v>
      </c>
      <c r="G40" s="1758"/>
      <c r="H40" s="374">
        <f>SUMIF(118:118,G40,119:119)-SUMIF(118:118,C40,119:119)+100</f>
        <v>100</v>
      </c>
      <c r="I40" s="1759"/>
      <c r="J40" s="374">
        <f>SUMIF(118:118,I40,119:119)-SUMIF(118:118,C40,119:119)+100</f>
        <v>100</v>
      </c>
      <c r="K40" s="365"/>
      <c r="L40" s="2488"/>
      <c r="M40" s="2483"/>
      <c r="N40" s="2483"/>
      <c r="O40" s="2483"/>
      <c r="P40" s="3377"/>
      <c r="Q40" s="1261" t="str">
        <f t="shared" si="11"/>
        <v>房型</v>
      </c>
      <c r="R40" s="667" t="s">
        <v>18</v>
      </c>
      <c r="S40" s="668">
        <f t="shared" si="12"/>
        <v>100</v>
      </c>
      <c r="T40" s="667" t="s">
        <v>18</v>
      </c>
      <c r="U40" s="668">
        <f t="shared" si="13"/>
        <v>100</v>
      </c>
      <c r="V40" s="667" t="s">
        <v>18</v>
      </c>
      <c r="W40" s="668">
        <f t="shared" si="14"/>
        <v>100</v>
      </c>
      <c r="X40" s="1263"/>
      <c r="Y40" s="3379"/>
      <c r="Z40" s="1262" t="str">
        <f t="shared" si="18"/>
        <v>房型</v>
      </c>
      <c r="AA40" s="1262">
        <f t="shared" si="15"/>
        <v>1</v>
      </c>
      <c r="AB40" s="1262">
        <f t="shared" si="16"/>
        <v>1</v>
      </c>
      <c r="AC40" s="1262">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87"/>
      <c r="M41" s="2489"/>
      <c r="N41" s="2489"/>
      <c r="O41" s="2489"/>
      <c r="P41" s="3377"/>
      <c r="Q41" s="531" t="str">
        <f t="shared" si="11"/>
        <v>单套/主力户型建筑面积</v>
      </c>
      <c r="R41" s="669" t="s">
        <v>18</v>
      </c>
      <c r="S41" s="670">
        <f t="shared" si="12"/>
        <v>100</v>
      </c>
      <c r="T41" s="669" t="s">
        <v>18</v>
      </c>
      <c r="U41" s="670">
        <f t="shared" si="13"/>
        <v>100</v>
      </c>
      <c r="V41" s="669" t="s">
        <v>18</v>
      </c>
      <c r="W41" s="670">
        <f t="shared" si="14"/>
        <v>100</v>
      </c>
      <c r="X41" s="671"/>
      <c r="Y41" s="3379"/>
      <c r="Z41" s="672" t="str">
        <f t="shared" si="18"/>
        <v>单套/主力户型建筑面积</v>
      </c>
      <c r="AA41" s="1262">
        <f t="shared" si="15"/>
        <v>1</v>
      </c>
      <c r="AB41" s="1262">
        <f t="shared" si="16"/>
        <v>1</v>
      </c>
      <c r="AC41" s="1262">
        <f t="shared" si="17"/>
        <v>1</v>
      </c>
    </row>
    <row r="42" spans="1:29" ht="15">
      <c r="A42" s="409"/>
      <c r="B42" s="364" t="s">
        <v>1706</v>
      </c>
      <c r="C42" s="1758"/>
      <c r="D42" s="374">
        <v>100</v>
      </c>
      <c r="E42" s="1759"/>
      <c r="F42" s="400">
        <f>SUMIF(122:122,E42,123:123)-SUMIF(122:122,C42,123:123)+100</f>
        <v>100</v>
      </c>
      <c r="G42" s="1758"/>
      <c r="H42" s="374">
        <f>SUMIF(122:122,G42,123:123)-SUMIF(122:122,C42,123:123)+100</f>
        <v>100</v>
      </c>
      <c r="I42" s="1759"/>
      <c r="J42" s="374">
        <f>SUMIF(122:122,I42,123:123)-SUMIF(122:122,C42,123:123)+100</f>
        <v>100</v>
      </c>
      <c r="K42" s="365"/>
      <c r="L42" s="2488"/>
      <c r="M42" s="2483"/>
      <c r="N42" s="2483"/>
      <c r="O42" s="2483"/>
      <c r="P42" s="3377"/>
      <c r="Q42" s="1261" t="str">
        <f t="shared" si="11"/>
        <v>内部装修</v>
      </c>
      <c r="R42" s="667" t="s">
        <v>18</v>
      </c>
      <c r="S42" s="668">
        <f t="shared" si="12"/>
        <v>100</v>
      </c>
      <c r="T42" s="667" t="s">
        <v>18</v>
      </c>
      <c r="U42" s="668">
        <f t="shared" si="13"/>
        <v>100</v>
      </c>
      <c r="V42" s="667" t="s">
        <v>18</v>
      </c>
      <c r="W42" s="668">
        <f t="shared" si="14"/>
        <v>100</v>
      </c>
      <c r="X42" s="1263"/>
      <c r="Y42" s="3379"/>
      <c r="Z42" s="1262" t="str">
        <f t="shared" si="18"/>
        <v>内部装修</v>
      </c>
      <c r="AA42" s="1262">
        <f t="shared" si="15"/>
        <v>1</v>
      </c>
      <c r="AB42" s="1262">
        <f t="shared" si="16"/>
        <v>1</v>
      </c>
      <c r="AC42" s="1262">
        <f t="shared" si="17"/>
        <v>1</v>
      </c>
    </row>
    <row r="43" spans="1:29" ht="28.8">
      <c r="A43" s="409"/>
      <c r="B43" s="364" t="s">
        <v>1707</v>
      </c>
      <c r="C43" s="1758"/>
      <c r="D43" s="374">
        <v>100</v>
      </c>
      <c r="E43" s="1759"/>
      <c r="F43" s="400">
        <f>SUMIF(124:124,E43,125:125)-SUMIF(124:124,C43,125:125)+100</f>
        <v>100</v>
      </c>
      <c r="G43" s="1758"/>
      <c r="H43" s="374">
        <f>SUMIF(124:124,G43,125:125)-SUMIF(124:124,C43,125:125)+100</f>
        <v>100</v>
      </c>
      <c r="I43" s="1759"/>
      <c r="J43" s="374">
        <f>SUMIF(124:124,I43,125:125)-SUMIF(124:124,C43,125:125)+100</f>
        <v>100</v>
      </c>
      <c r="K43" s="365"/>
      <c r="L43" s="2488"/>
      <c r="M43" s="2483"/>
      <c r="N43" s="2483"/>
      <c r="O43" s="2483"/>
      <c r="P43" s="3377"/>
      <c r="Q43" s="1261" t="str">
        <f t="shared" si="11"/>
        <v>内部装修维护情况</v>
      </c>
      <c r="R43" s="667" t="s">
        <v>18</v>
      </c>
      <c r="S43" s="668">
        <f t="shared" si="12"/>
        <v>100</v>
      </c>
      <c r="T43" s="667" t="s">
        <v>18</v>
      </c>
      <c r="U43" s="668">
        <f t="shared" si="13"/>
        <v>100</v>
      </c>
      <c r="V43" s="667" t="s">
        <v>18</v>
      </c>
      <c r="W43" s="668">
        <f t="shared" si="14"/>
        <v>100</v>
      </c>
      <c r="X43" s="1263"/>
      <c r="Y43" s="3379"/>
      <c r="Z43" s="1262" t="str">
        <f t="shared" si="18"/>
        <v>内部装修维护情况</v>
      </c>
      <c r="AA43" s="1262">
        <f t="shared" si="15"/>
        <v>1</v>
      </c>
      <c r="AB43" s="1262">
        <f t="shared" si="16"/>
        <v>1</v>
      </c>
      <c r="AC43" s="1262">
        <f t="shared" si="17"/>
        <v>1</v>
      </c>
    </row>
    <row r="44" spans="1:29" s="102" customFormat="1" ht="15">
      <c r="A44" s="410"/>
      <c r="B44" s="1064">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4"/>
      <c r="M44" s="2436"/>
      <c r="N44" s="2436"/>
      <c r="O44" s="2436"/>
      <c r="P44" s="3377"/>
      <c r="Q44" s="530">
        <f t="shared" si="11"/>
        <v>111</v>
      </c>
      <c r="R44" s="664" t="s">
        <v>18</v>
      </c>
      <c r="S44" s="665">
        <f t="shared" si="12"/>
        <v>100</v>
      </c>
      <c r="T44" s="664" t="s">
        <v>18</v>
      </c>
      <c r="U44" s="665">
        <f t="shared" si="13"/>
        <v>100</v>
      </c>
      <c r="V44" s="664" t="s">
        <v>18</v>
      </c>
      <c r="W44" s="665">
        <f t="shared" si="14"/>
        <v>100</v>
      </c>
      <c r="X44" s="666"/>
      <c r="Y44" s="3379"/>
      <c r="Z44" s="50">
        <f t="shared" si="18"/>
        <v>111</v>
      </c>
      <c r="AA44" s="50">
        <f t="shared" si="15"/>
        <v>1</v>
      </c>
      <c r="AB44" s="50">
        <f t="shared" si="16"/>
        <v>1</v>
      </c>
      <c r="AC44" s="50">
        <f t="shared" si="17"/>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88"/>
      <c r="M45" s="2483"/>
      <c r="N45" s="2483"/>
      <c r="O45" s="2483"/>
      <c r="P45" s="3377"/>
      <c r="Q45" s="1261">
        <f t="shared" si="11"/>
        <v>111</v>
      </c>
      <c r="R45" s="667" t="s">
        <v>18</v>
      </c>
      <c r="S45" s="668">
        <f t="shared" si="12"/>
        <v>100</v>
      </c>
      <c r="T45" s="667" t="s">
        <v>18</v>
      </c>
      <c r="U45" s="668">
        <f t="shared" si="13"/>
        <v>100</v>
      </c>
      <c r="V45" s="667" t="s">
        <v>18</v>
      </c>
      <c r="W45" s="668">
        <f t="shared" si="14"/>
        <v>100</v>
      </c>
      <c r="X45" s="1263"/>
      <c r="Y45" s="3379"/>
      <c r="Z45" s="1262">
        <f t="shared" si="18"/>
        <v>111</v>
      </c>
      <c r="AA45" s="1262">
        <f t="shared" si="15"/>
        <v>1</v>
      </c>
      <c r="AB45" s="1262">
        <f t="shared" si="16"/>
        <v>1</v>
      </c>
      <c r="AC45" s="1262">
        <f t="shared" si="17"/>
        <v>1</v>
      </c>
    </row>
    <row r="46" spans="1:29" ht="15.6"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88"/>
      <c r="M46" s="2483"/>
      <c r="N46" s="2483"/>
      <c r="O46" s="2483"/>
      <c r="P46" s="3378"/>
      <c r="Q46" s="1261">
        <f t="shared" si="11"/>
        <v>111</v>
      </c>
      <c r="R46" s="667" t="s">
        <v>17</v>
      </c>
      <c r="S46" s="668">
        <f t="shared" si="12"/>
        <v>100</v>
      </c>
      <c r="T46" s="667" t="s">
        <v>17</v>
      </c>
      <c r="U46" s="668">
        <f t="shared" si="13"/>
        <v>100</v>
      </c>
      <c r="V46" s="667" t="s">
        <v>17</v>
      </c>
      <c r="W46" s="668">
        <f t="shared" si="14"/>
        <v>100</v>
      </c>
      <c r="X46" s="1263"/>
      <c r="Y46" s="3380"/>
      <c r="Z46" s="1262">
        <f t="shared" si="18"/>
        <v>111</v>
      </c>
      <c r="AA46" s="1262">
        <f t="shared" si="15"/>
        <v>1</v>
      </c>
      <c r="AB46" s="1262">
        <f t="shared" si="16"/>
        <v>1</v>
      </c>
      <c r="AC46" s="1262">
        <f t="shared" si="17"/>
        <v>1</v>
      </c>
    </row>
    <row r="47" spans="1:29" ht="14.4">
      <c r="A47" s="416" t="s">
        <v>1708</v>
      </c>
      <c r="B47" s="417"/>
      <c r="C47" s="1079" t="s">
        <v>16</v>
      </c>
      <c r="D47" s="418"/>
      <c r="E47" s="419"/>
      <c r="F47" s="420"/>
      <c r="G47" s="421"/>
      <c r="H47" s="422"/>
      <c r="I47" s="419"/>
      <c r="J47" s="422"/>
      <c r="K47" s="1765"/>
      <c r="L47" s="2490"/>
      <c r="M47" s="2483"/>
      <c r="N47" s="2483"/>
      <c r="O47" s="2483"/>
      <c r="P47" s="3367" t="str">
        <f>A47</f>
        <v>成交单价（元/平方米）</v>
      </c>
      <c r="Q47" s="3367"/>
      <c r="R47" s="3368">
        <f>E47</f>
        <v>0</v>
      </c>
      <c r="S47" s="3368"/>
      <c r="T47" s="3368">
        <f>G47</f>
        <v>0</v>
      </c>
      <c r="U47" s="3368"/>
      <c r="V47" s="3368">
        <f>I47</f>
        <v>0</v>
      </c>
      <c r="W47" s="3368"/>
      <c r="X47" s="385"/>
      <c r="Y47" s="673"/>
      <c r="Z47" s="385"/>
      <c r="AA47" s="385"/>
      <c r="AB47" s="385"/>
      <c r="AC47" s="385"/>
    </row>
    <row r="48" spans="1:29" ht="15" thickBot="1">
      <c r="A48" s="423" t="s">
        <v>1709</v>
      </c>
      <c r="B48" s="424"/>
      <c r="C48" s="1080" t="e">
        <f>R49</f>
        <v>#DIV/0!</v>
      </c>
      <c r="D48" s="2138" t="s">
        <v>2133</v>
      </c>
      <c r="E48" s="1081" t="e">
        <f>R48</f>
        <v>#DIV/0!</v>
      </c>
      <c r="F48" s="2139"/>
      <c r="G48" s="1080" t="e">
        <f>T48</f>
        <v>#DIV/0!</v>
      </c>
      <c r="H48" s="2139"/>
      <c r="I48" s="1081" t="e">
        <f>V48</f>
        <v>#DIV/0!</v>
      </c>
      <c r="J48" s="2139"/>
      <c r="K48" s="2140">
        <f>F48+H48+J48</f>
        <v>0</v>
      </c>
      <c r="L48" s="2490"/>
      <c r="M48" s="2483"/>
      <c r="N48" s="2483"/>
      <c r="O48" s="2483"/>
      <c r="P48" s="3367" t="str">
        <f>A48</f>
        <v>比较价值（元/平方米）</v>
      </c>
      <c r="Q48" s="3367"/>
      <c r="R48" s="3368" t="e">
        <f>IF(F1="售价",ROUND(PRODUCT(R47,AA7:AA46),0),ROUND(PRODUCT(R47,AA7:AA46),1))</f>
        <v>#DIV/0!</v>
      </c>
      <c r="S48" s="3368"/>
      <c r="T48" s="3368" t="e">
        <f>IF(F1="售价",ROUND(PRODUCT(T47,AB7:AB46),0),ROUND(PRODUCT(T47,AB7:AB46),1))</f>
        <v>#DIV/0!</v>
      </c>
      <c r="U48" s="3368"/>
      <c r="V48" s="3368" t="e">
        <f>IF(F1="售价",ROUND(PRODUCT(V47,AC7:AC46),0),ROUND(PRODUCT(V47,AC7:AC46),1))</f>
        <v>#DIV/0!</v>
      </c>
      <c r="W48" s="3368"/>
      <c r="X48" s="385"/>
      <c r="Y48" s="385"/>
      <c r="Z48" s="385"/>
      <c r="AA48" s="385"/>
      <c r="AB48" s="385"/>
      <c r="AC48" s="385"/>
    </row>
    <row r="49" spans="1:29" ht="15" thickBot="1">
      <c r="A49" s="427" t="s">
        <v>1710</v>
      </c>
      <c r="B49" s="428"/>
      <c r="C49" s="1082" t="e">
        <f>R49</f>
        <v>#DIV/0!</v>
      </c>
      <c r="D49" s="351"/>
      <c r="E49" s="351"/>
      <c r="F49" s="351"/>
      <c r="G49" s="351"/>
      <c r="H49" s="351"/>
      <c r="I49" s="351"/>
      <c r="J49" s="351"/>
      <c r="K49" s="1766"/>
      <c r="L49" s="2490"/>
      <c r="M49" s="2483"/>
      <c r="N49" s="2483"/>
      <c r="O49" s="2483"/>
      <c r="P49" s="3369" t="str">
        <f>A49</f>
        <v>估价对象XX用房的比较价值（楼面单价，元/平方米）</v>
      </c>
      <c r="Q49" s="3370"/>
      <c r="R49" s="3371" t="e">
        <f>IF(F1="售价",ROUND(IF(D48="简单平均",AVERAGE(R48:V48),R48*F48+T48*H48+V48*J48),0),ROUND(IF(D48="简单平均",AVERAGE(R48:V48),R48*F48+T48*H48+V48*J48),1))</f>
        <v>#DIV/0!</v>
      </c>
      <c r="S49" s="3371"/>
      <c r="T49" s="3371"/>
      <c r="U49" s="3371"/>
      <c r="V49" s="3371"/>
      <c r="W49" s="3371"/>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row>
    <row r="53" spans="1:29" ht="13.5" customHeight="1">
      <c r="A53" s="2483"/>
      <c r="B53" s="2483"/>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row>
    <row r="54" spans="1:29" s="437" customFormat="1" ht="13.5" customHeight="1">
      <c r="A54" s="2493"/>
      <c r="B54" s="2493"/>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1768"/>
    </row>
    <row r="55" spans="1:29" s="437" customFormat="1">
      <c r="A55" s="2493"/>
      <c r="B55" s="2496"/>
      <c r="C55" s="2497"/>
      <c r="D55" s="2493"/>
      <c r="E55" s="2493"/>
      <c r="F55" s="2493"/>
      <c r="G55" s="2493"/>
      <c r="H55" s="2493"/>
      <c r="I55" s="2493"/>
      <c r="J55" s="2493"/>
      <c r="K55" s="2498"/>
      <c r="L55" s="2492"/>
      <c r="M55" s="2493"/>
      <c r="N55" s="2493"/>
      <c r="O55" s="2493"/>
      <c r="P55" s="1768"/>
    </row>
    <row r="56" spans="1:29">
      <c r="A56" s="2483"/>
      <c r="B56" s="2496"/>
      <c r="C56" s="2497"/>
      <c r="D56" s="2483"/>
      <c r="E56" s="2483"/>
      <c r="F56" s="2483"/>
      <c r="G56" s="2483"/>
      <c r="H56" s="2483"/>
      <c r="I56" s="2483"/>
      <c r="J56" s="2483"/>
      <c r="K56" s="2495"/>
      <c r="L56" s="2491"/>
      <c r="M56" s="2483"/>
      <c r="N56" s="2483"/>
      <c r="O56" s="2483"/>
    </row>
    <row r="57" spans="1:29" ht="22.2" thickBot="1">
      <c r="A57" s="658" t="s">
        <v>1714</v>
      </c>
      <c r="B57" s="385"/>
      <c r="C57" s="659"/>
      <c r="D57" s="659"/>
      <c r="E57" s="659"/>
      <c r="F57" s="660"/>
      <c r="G57" s="660"/>
      <c r="H57" s="659"/>
      <c r="I57" s="659"/>
      <c r="J57" s="659"/>
      <c r="K57" s="885"/>
      <c r="L57" s="886"/>
      <c r="M57" s="884"/>
      <c r="N57" s="884"/>
      <c r="O57" s="884"/>
      <c r="P57" s="1769"/>
      <c r="Q57" s="439"/>
    </row>
    <row r="58" spans="1:29" s="442" customFormat="1" ht="14.4">
      <c r="A58" s="440" t="s">
        <v>1715</v>
      </c>
      <c r="B58" s="441"/>
      <c r="C58" s="1103" t="str">
        <f>YEAR(C7)&amp;"-"&amp;MONTH(C7)</f>
        <v>2025-5</v>
      </c>
      <c r="D58" s="1102">
        <f>EDATE(C58,-1)</f>
        <v>45748</v>
      </c>
      <c r="E58" s="1102">
        <f>EDATE(D58,-1)</f>
        <v>45717</v>
      </c>
      <c r="F58" s="1102">
        <f t="shared" ref="F58:O58" si="19">EDATE(E58,-1)</f>
        <v>45689</v>
      </c>
      <c r="G58" s="1102">
        <f t="shared" si="19"/>
        <v>45658</v>
      </c>
      <c r="H58" s="1102">
        <f t="shared" si="19"/>
        <v>45627</v>
      </c>
      <c r="I58" s="1102">
        <f t="shared" si="19"/>
        <v>45597</v>
      </c>
      <c r="J58" s="1102">
        <f t="shared" si="19"/>
        <v>45566</v>
      </c>
      <c r="K58" s="1102">
        <f t="shared" si="19"/>
        <v>45536</v>
      </c>
      <c r="L58" s="1102">
        <f t="shared" si="19"/>
        <v>45505</v>
      </c>
      <c r="M58" s="1102">
        <f t="shared" si="19"/>
        <v>45474</v>
      </c>
      <c r="N58" s="1102">
        <f t="shared" si="19"/>
        <v>45444</v>
      </c>
      <c r="O58" s="1102">
        <f t="shared" si="19"/>
        <v>45413</v>
      </c>
      <c r="P58" s="1098"/>
    </row>
    <row r="59" spans="1:29" s="102" customFormat="1">
      <c r="A59" s="443"/>
      <c r="B59" s="1770"/>
      <c r="C59" s="1100">
        <v>100</v>
      </c>
      <c r="D59" s="445"/>
      <c r="E59" s="446"/>
      <c r="F59" s="446"/>
      <c r="G59" s="446"/>
      <c r="H59" s="446"/>
      <c r="I59" s="446"/>
      <c r="J59" s="446"/>
      <c r="K59" s="446"/>
      <c r="L59" s="446"/>
      <c r="M59" s="447"/>
      <c r="N59" s="446"/>
      <c r="O59" s="447"/>
      <c r="P59" s="1771"/>
    </row>
    <row r="60" spans="1:29" s="102" customFormat="1" ht="15" thickBot="1">
      <c r="A60" s="449" t="s">
        <v>1716</v>
      </c>
      <c r="B60" s="450"/>
      <c r="C60" s="451"/>
      <c r="D60" s="452"/>
      <c r="E60" s="452"/>
      <c r="F60" s="452"/>
      <c r="G60" s="452"/>
      <c r="H60" s="452"/>
      <c r="I60" s="452"/>
      <c r="J60" s="452"/>
      <c r="K60" s="452"/>
      <c r="L60" s="452"/>
      <c r="M60" s="453"/>
      <c r="N60" s="452"/>
      <c r="O60" s="453"/>
      <c r="P60" s="1771"/>
      <c r="Q60" s="439"/>
    </row>
    <row r="61" spans="1:29" s="102" customFormat="1" ht="14.4">
      <c r="A61" s="455" t="s">
        <v>1717</v>
      </c>
      <c r="B61" s="444"/>
      <c r="C61" s="456" t="s">
        <v>1718</v>
      </c>
      <c r="D61" s="31"/>
      <c r="E61" s="31"/>
      <c r="F61" s="31"/>
      <c r="G61" s="31"/>
      <c r="H61" s="31"/>
      <c r="I61" s="31"/>
      <c r="J61" s="31"/>
      <c r="K61" s="31"/>
      <c r="L61" s="457"/>
      <c r="M61" s="458"/>
      <c r="N61" s="876"/>
      <c r="O61" s="876"/>
      <c r="P61" s="1772"/>
      <c r="Q61" s="439"/>
    </row>
    <row r="62" spans="1:29" s="102" customFormat="1" ht="14.4" thickBot="1">
      <c r="A62" s="455"/>
      <c r="B62" s="444"/>
      <c r="C62" s="445">
        <v>100</v>
      </c>
      <c r="D62" s="446"/>
      <c r="E62" s="446"/>
      <c r="F62" s="446"/>
      <c r="G62" s="446"/>
      <c r="H62" s="446"/>
      <c r="I62" s="446"/>
      <c r="J62" s="446"/>
      <c r="K62" s="446"/>
      <c r="L62" s="446"/>
      <c r="M62" s="448"/>
      <c r="N62" s="876"/>
      <c r="O62" s="876"/>
      <c r="P62" s="1771"/>
      <c r="Q62" s="439"/>
    </row>
    <row r="63" spans="1:29" ht="14.4">
      <c r="A63" s="379" t="s">
        <v>1719</v>
      </c>
      <c r="B63" s="460" t="s">
        <v>1685</v>
      </c>
      <c r="C63" s="461">
        <f>C9</f>
        <v>0</v>
      </c>
      <c r="D63" s="462"/>
      <c r="E63" s="462"/>
      <c r="F63" s="462"/>
      <c r="G63" s="462"/>
      <c r="H63" s="462"/>
      <c r="I63" s="462"/>
      <c r="J63" s="462"/>
      <c r="K63" s="463"/>
      <c r="L63" s="464"/>
      <c r="M63" s="465"/>
      <c r="N63" s="877"/>
      <c r="O63" s="877"/>
      <c r="P63" s="1773"/>
      <c r="Q63" s="439"/>
    </row>
    <row r="64" spans="1:29" ht="14.4" thickBot="1">
      <c r="A64" s="367"/>
      <c r="B64" s="466"/>
      <c r="C64" s="467">
        <v>100</v>
      </c>
      <c r="D64" s="467"/>
      <c r="E64" s="467"/>
      <c r="F64" s="467"/>
      <c r="G64" s="467"/>
      <c r="H64" s="467"/>
      <c r="I64" s="467"/>
      <c r="J64" s="467"/>
      <c r="K64" s="467"/>
      <c r="L64" s="467"/>
      <c r="M64" s="468"/>
      <c r="N64" s="878"/>
      <c r="O64" s="878"/>
      <c r="P64" s="1773"/>
      <c r="Q64" s="439"/>
    </row>
    <row r="65" spans="1:17" ht="29.4" thickTop="1">
      <c r="A65" s="367"/>
      <c r="B65" s="469" t="s">
        <v>1688</v>
      </c>
      <c r="C65" s="513"/>
      <c r="D65" s="513"/>
      <c r="E65" s="513"/>
      <c r="F65" s="513"/>
      <c r="G65" s="513"/>
      <c r="H65" s="513"/>
      <c r="I65" s="513"/>
      <c r="J65" s="513"/>
      <c r="K65" s="513"/>
      <c r="L65" s="513"/>
      <c r="M65" s="513"/>
      <c r="N65" s="878"/>
      <c r="O65" s="878"/>
      <c r="P65" s="1773"/>
      <c r="Q65" s="439"/>
    </row>
    <row r="66" spans="1:17" ht="14.4" thickBot="1">
      <c r="A66" s="367"/>
      <c r="B66" s="474"/>
      <c r="C66" s="467"/>
      <c r="D66" s="467"/>
      <c r="E66" s="467"/>
      <c r="F66" s="467"/>
      <c r="G66" s="467"/>
      <c r="H66" s="467"/>
      <c r="I66" s="467"/>
      <c r="J66" s="467"/>
      <c r="K66" s="467"/>
      <c r="L66" s="467"/>
      <c r="M66" s="468"/>
      <c r="N66" s="878"/>
      <c r="O66" s="878"/>
      <c r="P66" s="1773"/>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8"/>
      <c r="O67" s="878"/>
      <c r="P67" s="1773"/>
      <c r="Q67" s="439"/>
    </row>
    <row r="68" spans="1:17">
      <c r="A68" s="367"/>
      <c r="B68" s="479"/>
      <c r="C68" s="480"/>
      <c r="D68" s="480"/>
      <c r="E68" s="480"/>
      <c r="F68" s="480"/>
      <c r="G68" s="480"/>
      <c r="H68" s="480"/>
      <c r="I68" s="480"/>
      <c r="J68" s="480"/>
      <c r="K68" s="481"/>
      <c r="L68" s="482"/>
      <c r="M68" s="483"/>
      <c r="N68" s="877"/>
      <c r="O68" s="877"/>
      <c r="P68" s="1773"/>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8"/>
      <c r="O69" s="878"/>
      <c r="P69" s="1773"/>
      <c r="Q69" s="439"/>
    </row>
    <row r="70" spans="1:17" s="408" customFormat="1" ht="14.4" thickTop="1">
      <c r="A70" s="484"/>
      <c r="B70" s="469">
        <f>B12</f>
        <v>111</v>
      </c>
      <c r="C70" s="485"/>
      <c r="D70" s="485"/>
      <c r="E70" s="485"/>
      <c r="F70" s="485"/>
      <c r="G70" s="485"/>
      <c r="H70" s="486"/>
      <c r="I70" s="486"/>
      <c r="J70" s="486"/>
      <c r="K70" s="486"/>
      <c r="L70" s="487"/>
      <c r="M70" s="488"/>
      <c r="N70" s="879"/>
      <c r="O70" s="879"/>
      <c r="P70" s="1774"/>
      <c r="Q70" s="490"/>
    </row>
    <row r="71" spans="1:17" s="408" customFormat="1" ht="14.4" thickBot="1">
      <c r="A71" s="484"/>
      <c r="B71" s="474"/>
      <c r="C71" s="491"/>
      <c r="D71" s="467"/>
      <c r="E71" s="467"/>
      <c r="F71" s="467"/>
      <c r="G71" s="467"/>
      <c r="H71" s="467"/>
      <c r="I71" s="467"/>
      <c r="J71" s="467"/>
      <c r="K71" s="467"/>
      <c r="L71" s="467"/>
      <c r="M71" s="468"/>
      <c r="N71" s="878"/>
      <c r="O71" s="878"/>
      <c r="P71" s="1774"/>
      <c r="Q71" s="490"/>
    </row>
    <row r="72" spans="1:17" s="408" customFormat="1" ht="14.4" thickTop="1">
      <c r="A72" s="484"/>
      <c r="B72" s="469">
        <f>B13</f>
        <v>111</v>
      </c>
      <c r="C72" s="485"/>
      <c r="D72" s="485"/>
      <c r="E72" s="485"/>
      <c r="F72" s="485"/>
      <c r="G72" s="485"/>
      <c r="H72" s="486"/>
      <c r="I72" s="486"/>
      <c r="J72" s="486"/>
      <c r="K72" s="486"/>
      <c r="L72" s="487"/>
      <c r="M72" s="488"/>
      <c r="N72" s="879"/>
      <c r="O72" s="879"/>
      <c r="P72" s="1775"/>
      <c r="Q72" s="492"/>
    </row>
    <row r="73" spans="1:17" s="408" customFormat="1" ht="14.4" thickBot="1">
      <c r="A73" s="484"/>
      <c r="B73" s="474"/>
      <c r="C73" s="491"/>
      <c r="D73" s="491"/>
      <c r="E73" s="491"/>
      <c r="F73" s="491"/>
      <c r="G73" s="491"/>
      <c r="H73" s="493"/>
      <c r="I73" s="493"/>
      <c r="J73" s="493"/>
      <c r="K73" s="493"/>
      <c r="L73" s="493"/>
      <c r="M73" s="494"/>
      <c r="N73" s="879"/>
      <c r="O73" s="879"/>
      <c r="P73" s="1774"/>
      <c r="Q73" s="490"/>
    </row>
    <row r="74" spans="1:17" s="408" customFormat="1" ht="14.4" thickTop="1">
      <c r="A74" s="484"/>
      <c r="B74" s="477">
        <f>B14</f>
        <v>111</v>
      </c>
      <c r="C74" s="485"/>
      <c r="D74" s="485"/>
      <c r="E74" s="485"/>
      <c r="F74" s="485"/>
      <c r="G74" s="31"/>
      <c r="H74" s="495"/>
      <c r="I74" s="495"/>
      <c r="J74" s="495"/>
      <c r="K74" s="495"/>
      <c r="L74" s="496"/>
      <c r="M74" s="497"/>
      <c r="N74" s="879"/>
      <c r="O74" s="879"/>
      <c r="P74" s="1776"/>
      <c r="Q74" s="490"/>
    </row>
    <row r="75" spans="1:17" s="408" customFormat="1" ht="14.4" thickBot="1">
      <c r="A75" s="499"/>
      <c r="B75" s="500"/>
      <c r="C75" s="501"/>
      <c r="D75" s="501"/>
      <c r="E75" s="501"/>
      <c r="F75" s="501"/>
      <c r="G75" s="501"/>
      <c r="H75" s="502"/>
      <c r="I75" s="502"/>
      <c r="J75" s="502"/>
      <c r="K75" s="502"/>
      <c r="L75" s="502"/>
      <c r="M75" s="503"/>
      <c r="N75" s="879"/>
      <c r="O75" s="879"/>
      <c r="P75" s="1774"/>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7"/>
      <c r="O76" s="877"/>
      <c r="P76" s="1777"/>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8"/>
      <c r="O77" s="878"/>
      <c r="P77" s="1773"/>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7"/>
      <c r="O78" s="877"/>
      <c r="P78" s="1773"/>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8"/>
      <c r="O79" s="878"/>
      <c r="P79" s="1773"/>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7"/>
      <c r="O80" s="877"/>
      <c r="P80" s="1773"/>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8"/>
      <c r="O81" s="878"/>
      <c r="P81" s="1773"/>
      <c r="Q81" s="439"/>
    </row>
    <row r="82" spans="1:17" ht="15" thickTop="1">
      <c r="A82" s="367"/>
      <c r="B82" s="477" t="s">
        <v>1260</v>
      </c>
      <c r="C82" s="470" t="s">
        <v>1728</v>
      </c>
      <c r="D82" s="470" t="s">
        <v>1729</v>
      </c>
      <c r="E82" s="470" t="s">
        <v>1730</v>
      </c>
      <c r="F82" s="470" t="s">
        <v>1731</v>
      </c>
      <c r="G82" s="470" t="s">
        <v>1732</v>
      </c>
      <c r="H82" s="470"/>
      <c r="I82" s="470"/>
      <c r="J82" s="470"/>
      <c r="K82" s="470"/>
      <c r="L82" s="470"/>
      <c r="M82" s="1061"/>
      <c r="N82" s="878"/>
      <c r="O82" s="878"/>
      <c r="P82" s="1773"/>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8"/>
      <c r="O83" s="878"/>
      <c r="P83" s="1773"/>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7"/>
      <c r="O84" s="877"/>
      <c r="P84" s="1773"/>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8"/>
      <c r="O85" s="878"/>
      <c r="P85" s="1773"/>
      <c r="Q85" s="439"/>
    </row>
    <row r="86" spans="1:17" s="102" customFormat="1" ht="15" thickTop="1">
      <c r="A86" s="370"/>
      <c r="B86" s="469" t="s">
        <v>1734</v>
      </c>
      <c r="C86" s="485"/>
      <c r="D86" s="485"/>
      <c r="E86" s="485"/>
      <c r="F86" s="485"/>
      <c r="G86" s="485"/>
      <c r="H86" s="485"/>
      <c r="I86" s="485"/>
      <c r="J86" s="485"/>
      <c r="K86" s="485"/>
      <c r="L86" s="510"/>
      <c r="M86" s="511"/>
      <c r="N86" s="876"/>
      <c r="O86" s="876"/>
      <c r="P86" s="1773"/>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8"/>
      <c r="O87" s="878"/>
      <c r="P87" s="1773"/>
      <c r="Q87" s="439"/>
    </row>
    <row r="88" spans="1:17" s="102" customFormat="1" ht="15" thickTop="1">
      <c r="A88" s="370"/>
      <c r="B88" s="469" t="s">
        <v>1735</v>
      </c>
      <c r="C88" s="485"/>
      <c r="D88" s="485"/>
      <c r="E88" s="485"/>
      <c r="F88" s="1778"/>
      <c r="G88" s="485"/>
      <c r="H88" s="485"/>
      <c r="I88" s="485"/>
      <c r="J88" s="485"/>
      <c r="K88" s="485"/>
      <c r="L88" s="485"/>
      <c r="M88" s="511"/>
      <c r="N88" s="876"/>
      <c r="O88" s="876"/>
      <c r="P88" s="1773"/>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8"/>
      <c r="O89" s="878"/>
      <c r="P89" s="1773"/>
      <c r="Q89" s="439"/>
    </row>
    <row r="90" spans="1:17" s="408" customFormat="1" ht="14.4" thickTop="1">
      <c r="A90" s="484"/>
      <c r="B90" s="469">
        <f>B27</f>
        <v>111</v>
      </c>
      <c r="C90" s="485"/>
      <c r="D90" s="485"/>
      <c r="E90" s="485"/>
      <c r="F90" s="485"/>
      <c r="G90" s="485"/>
      <c r="H90" s="486"/>
      <c r="I90" s="486"/>
      <c r="J90" s="486"/>
      <c r="K90" s="486"/>
      <c r="L90" s="487"/>
      <c r="M90" s="488"/>
      <c r="N90" s="879"/>
      <c r="O90" s="879"/>
      <c r="P90" s="1774"/>
      <c r="Q90" s="490"/>
    </row>
    <row r="91" spans="1:17" s="408" customFormat="1" ht="14.4" thickBot="1">
      <c r="A91" s="484"/>
      <c r="B91" s="474"/>
      <c r="C91" s="491"/>
      <c r="D91" s="491"/>
      <c r="E91" s="491"/>
      <c r="F91" s="491"/>
      <c r="G91" s="491"/>
      <c r="H91" s="493"/>
      <c r="I91" s="493"/>
      <c r="J91" s="493"/>
      <c r="K91" s="493"/>
      <c r="L91" s="493"/>
      <c r="M91" s="494"/>
      <c r="N91" s="879"/>
      <c r="O91" s="879"/>
      <c r="P91" s="1774"/>
      <c r="Q91" s="490"/>
    </row>
    <row r="92" spans="1:17" ht="14.4" thickTop="1">
      <c r="A92" s="367"/>
      <c r="B92" s="469">
        <f>B28</f>
        <v>111</v>
      </c>
      <c r="C92" s="485"/>
      <c r="D92" s="485"/>
      <c r="E92" s="485"/>
      <c r="F92" s="485"/>
      <c r="G92" s="513"/>
      <c r="H92" s="513"/>
      <c r="I92" s="513"/>
      <c r="J92" s="513"/>
      <c r="K92" s="514"/>
      <c r="L92" s="515"/>
      <c r="M92" s="516"/>
      <c r="N92" s="877"/>
      <c r="O92" s="877"/>
      <c r="P92" s="1773"/>
      <c r="Q92" s="439"/>
    </row>
    <row r="93" spans="1:17" ht="14.4" thickBot="1">
      <c r="A93" s="367"/>
      <c r="B93" s="474"/>
      <c r="C93" s="491"/>
      <c r="D93" s="467"/>
      <c r="E93" s="467"/>
      <c r="F93" s="467"/>
      <c r="G93" s="467"/>
      <c r="H93" s="467"/>
      <c r="I93" s="467"/>
      <c r="J93" s="467"/>
      <c r="K93" s="467"/>
      <c r="L93" s="467"/>
      <c r="M93" s="468"/>
      <c r="N93" s="878"/>
      <c r="O93" s="878"/>
      <c r="P93" s="1773"/>
      <c r="Q93" s="439"/>
    </row>
    <row r="94" spans="1:17" ht="14.4" thickTop="1">
      <c r="A94" s="367"/>
      <c r="B94" s="469">
        <f>B29</f>
        <v>111</v>
      </c>
      <c r="C94" s="485"/>
      <c r="D94" s="485"/>
      <c r="E94" s="485"/>
      <c r="F94" s="485"/>
      <c r="G94" s="513"/>
      <c r="H94" s="513"/>
      <c r="I94" s="513"/>
      <c r="J94" s="513"/>
      <c r="K94" s="514"/>
      <c r="L94" s="515"/>
      <c r="M94" s="516"/>
      <c r="N94" s="877"/>
      <c r="O94" s="877"/>
      <c r="P94" s="1773"/>
      <c r="Q94" s="439"/>
    </row>
    <row r="95" spans="1:17" ht="14.4" thickBot="1">
      <c r="A95" s="367"/>
      <c r="B95" s="474"/>
      <c r="C95" s="491"/>
      <c r="D95" s="491"/>
      <c r="E95" s="491"/>
      <c r="F95" s="491"/>
      <c r="G95" s="467"/>
      <c r="H95" s="467"/>
      <c r="I95" s="467"/>
      <c r="J95" s="467"/>
      <c r="K95" s="467"/>
      <c r="L95" s="467"/>
      <c r="M95" s="468"/>
      <c r="N95" s="878"/>
      <c r="O95" s="878"/>
      <c r="P95" s="1773"/>
      <c r="Q95" s="439"/>
    </row>
    <row r="96" spans="1:17" ht="14.4" thickTop="1">
      <c r="A96" s="367"/>
      <c r="B96" s="469">
        <f>B30</f>
        <v>111</v>
      </c>
      <c r="C96" s="485"/>
      <c r="D96" s="485"/>
      <c r="E96" s="485"/>
      <c r="F96" s="485"/>
      <c r="G96" s="513"/>
      <c r="H96" s="513"/>
      <c r="I96" s="513"/>
      <c r="J96" s="513"/>
      <c r="K96" s="514"/>
      <c r="L96" s="515"/>
      <c r="M96" s="516"/>
      <c r="N96" s="877"/>
      <c r="O96" s="877"/>
      <c r="P96" s="1773"/>
      <c r="Q96" s="439"/>
    </row>
    <row r="97" spans="1:17" ht="14.4" thickBot="1">
      <c r="A97" s="367"/>
      <c r="B97" s="474"/>
      <c r="C97" s="501"/>
      <c r="D97" s="501"/>
      <c r="E97" s="501"/>
      <c r="F97" s="501"/>
      <c r="G97" s="467"/>
      <c r="H97" s="467"/>
      <c r="I97" s="467"/>
      <c r="J97" s="467"/>
      <c r="K97" s="467"/>
      <c r="L97" s="467"/>
      <c r="M97" s="468"/>
      <c r="N97" s="878"/>
      <c r="O97" s="878"/>
      <c r="P97" s="1773"/>
      <c r="Q97" s="439"/>
    </row>
    <row r="98" spans="1:17" ht="14.4" thickTop="1">
      <c r="A98" s="367"/>
      <c r="B98" s="477">
        <f>B31</f>
        <v>111</v>
      </c>
      <c r="C98" s="517"/>
      <c r="D98" s="517"/>
      <c r="E98" s="517"/>
      <c r="F98" s="517"/>
      <c r="G98" s="517"/>
      <c r="H98" s="517"/>
      <c r="I98" s="517"/>
      <c r="J98" s="517"/>
      <c r="K98" s="518"/>
      <c r="L98" s="519"/>
      <c r="M98" s="520"/>
      <c r="N98" s="877"/>
      <c r="O98" s="877"/>
      <c r="P98" s="1773"/>
      <c r="Q98" s="439"/>
    </row>
    <row r="99" spans="1:17" ht="14.4" thickBot="1">
      <c r="A99" s="375"/>
      <c r="B99" s="500"/>
      <c r="C99" s="521"/>
      <c r="D99" s="521"/>
      <c r="E99" s="521"/>
      <c r="F99" s="521"/>
      <c r="G99" s="521"/>
      <c r="H99" s="521"/>
      <c r="I99" s="521"/>
      <c r="J99" s="521"/>
      <c r="K99" s="521"/>
      <c r="L99" s="521"/>
      <c r="M99" s="522"/>
      <c r="N99" s="878"/>
      <c r="O99" s="878"/>
      <c r="P99" s="1773"/>
      <c r="Q99" s="439"/>
    </row>
    <row r="100" spans="1:17" ht="14.4">
      <c r="A100" s="379" t="s">
        <v>1694</v>
      </c>
      <c r="B100" s="460" t="s">
        <v>1736</v>
      </c>
      <c r="C100" s="462"/>
      <c r="D100" s="462"/>
      <c r="E100" s="462"/>
      <c r="F100" s="462"/>
      <c r="G100" s="462"/>
      <c r="H100" s="462"/>
      <c r="I100" s="462"/>
      <c r="J100" s="462"/>
      <c r="K100" s="463"/>
      <c r="L100" s="464"/>
      <c r="M100" s="465"/>
      <c r="N100" s="877"/>
      <c r="O100" s="877"/>
      <c r="P100" s="1773"/>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8"/>
      <c r="O101" s="878"/>
      <c r="P101" s="1773"/>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6"/>
      <c r="O102" s="876"/>
      <c r="P102" s="1773"/>
      <c r="Q102" s="439"/>
    </row>
    <row r="103" spans="1:17" s="408" customFormat="1">
      <c r="A103" s="406"/>
      <c r="B103" s="523"/>
      <c r="C103" s="6"/>
      <c r="D103" s="6"/>
      <c r="E103" s="6"/>
      <c r="F103" s="6"/>
      <c r="G103" s="6"/>
      <c r="H103" s="6"/>
      <c r="I103" s="6"/>
      <c r="J103" s="524"/>
      <c r="K103" s="524"/>
      <c r="L103" s="525"/>
      <c r="M103" s="526"/>
      <c r="N103" s="879"/>
      <c r="O103" s="879"/>
      <c r="P103" s="1774"/>
      <c r="Q103" s="490"/>
    </row>
    <row r="104" spans="1:17" s="408" customFormat="1" ht="14.4" thickBot="1">
      <c r="A104" s="484"/>
      <c r="B104" s="474"/>
      <c r="C104" s="491"/>
      <c r="D104" s="467"/>
      <c r="E104" s="467"/>
      <c r="F104" s="467"/>
      <c r="G104" s="467"/>
      <c r="H104" s="467"/>
      <c r="I104" s="467"/>
      <c r="J104" s="467"/>
      <c r="K104" s="467"/>
      <c r="L104" s="467"/>
      <c r="M104" s="467"/>
      <c r="N104" s="878"/>
      <c r="O104" s="878"/>
      <c r="P104" s="1774"/>
      <c r="Q104" s="490"/>
    </row>
    <row r="105" spans="1:17" ht="15" thickTop="1">
      <c r="A105" s="409"/>
      <c r="B105" s="469" t="s">
        <v>1738</v>
      </c>
      <c r="C105" s="485"/>
      <c r="D105" s="485"/>
      <c r="E105" s="513"/>
      <c r="F105" s="513"/>
      <c r="G105" s="513"/>
      <c r="H105" s="513"/>
      <c r="I105" s="513"/>
      <c r="J105" s="513"/>
      <c r="K105" s="514"/>
      <c r="L105" s="515"/>
      <c r="M105" s="516"/>
      <c r="N105" s="877"/>
      <c r="O105" s="877"/>
      <c r="P105" s="1773"/>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8"/>
      <c r="O106" s="878"/>
      <c r="P106" s="1773"/>
      <c r="Q106" s="439"/>
    </row>
    <row r="107" spans="1:17" ht="15" thickTop="1">
      <c r="A107" s="409"/>
      <c r="B107" s="469" t="s">
        <v>1739</v>
      </c>
      <c r="C107" s="513"/>
      <c r="D107" s="513"/>
      <c r="E107" s="513"/>
      <c r="F107" s="513"/>
      <c r="G107" s="513"/>
      <c r="H107" s="513"/>
      <c r="I107" s="513"/>
      <c r="J107" s="513"/>
      <c r="K107" s="514"/>
      <c r="L107" s="515"/>
      <c r="M107" s="516"/>
      <c r="N107" s="877"/>
      <c r="O107" s="877"/>
      <c r="P107" s="1773"/>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8"/>
      <c r="O108" s="878"/>
      <c r="P108" s="1773"/>
      <c r="Q108" s="439"/>
    </row>
    <row r="109" spans="1:17" ht="15" thickTop="1">
      <c r="A109" s="409"/>
      <c r="B109" s="469" t="s">
        <v>1740</v>
      </c>
      <c r="C109" s="485"/>
      <c r="D109" s="485"/>
      <c r="E109" s="485"/>
      <c r="F109" s="513"/>
      <c r="G109" s="513"/>
      <c r="H109" s="513"/>
      <c r="I109" s="513"/>
      <c r="J109" s="513"/>
      <c r="K109" s="514"/>
      <c r="L109" s="515"/>
      <c r="M109" s="516"/>
      <c r="N109" s="877"/>
      <c r="O109" s="877"/>
      <c r="P109" s="1773"/>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8"/>
      <c r="O110" s="878"/>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9"/>
      <c r="O111" s="879"/>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9"/>
      <c r="O112" s="879"/>
      <c r="P112" s="1774"/>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9"/>
      <c r="O113" s="879"/>
      <c r="P113" s="1774"/>
      <c r="Q113" s="490"/>
    </row>
    <row r="114" spans="1:17" ht="15" thickTop="1">
      <c r="A114" s="409"/>
      <c r="B114" s="469" t="s">
        <v>1741</v>
      </c>
      <c r="C114" s="485"/>
      <c r="D114" s="485"/>
      <c r="E114" s="513"/>
      <c r="F114" s="513"/>
      <c r="G114" s="513"/>
      <c r="H114" s="513"/>
      <c r="I114" s="513"/>
      <c r="J114" s="513"/>
      <c r="K114" s="514"/>
      <c r="L114" s="515"/>
      <c r="M114" s="516"/>
      <c r="N114" s="877"/>
      <c r="O114" s="877"/>
      <c r="P114" s="1773"/>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8"/>
      <c r="O115" s="878"/>
      <c r="P115" s="1773"/>
      <c r="Q115" s="439"/>
    </row>
    <row r="116" spans="1:17" ht="15" thickTop="1">
      <c r="A116" s="409"/>
      <c r="B116" s="469" t="s">
        <v>1742</v>
      </c>
      <c r="C116" s="485"/>
      <c r="D116" s="485"/>
      <c r="E116" s="485"/>
      <c r="F116" s="485"/>
      <c r="G116" s="485"/>
      <c r="H116" s="513"/>
      <c r="I116" s="513"/>
      <c r="J116" s="513"/>
      <c r="K116" s="514"/>
      <c r="L116" s="515"/>
      <c r="M116" s="516"/>
      <c r="N116" s="877"/>
      <c r="O116" s="877"/>
      <c r="P116" s="1773"/>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8"/>
      <c r="O117" s="878"/>
      <c r="P117" s="1773"/>
      <c r="Q117" s="439"/>
    </row>
    <row r="118" spans="1:17" ht="15" thickTop="1">
      <c r="A118" s="409"/>
      <c r="B118" s="469" t="s">
        <v>1743</v>
      </c>
      <c r="C118" s="513"/>
      <c r="D118" s="513"/>
      <c r="E118" s="513"/>
      <c r="F118" s="513"/>
      <c r="G118" s="513"/>
      <c r="H118" s="513"/>
      <c r="I118" s="513"/>
      <c r="J118" s="513"/>
      <c r="K118" s="514"/>
      <c r="L118" s="515"/>
      <c r="M118" s="516"/>
      <c r="N118" s="877"/>
      <c r="O118" s="877"/>
      <c r="P118" s="1773"/>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8"/>
      <c r="O119" s="878"/>
      <c r="P119" s="1773"/>
      <c r="Q119" s="439"/>
    </row>
    <row r="120" spans="1:17" s="408" customFormat="1" ht="29.4" thickTop="1">
      <c r="A120" s="406"/>
      <c r="B120" s="469" t="s">
        <v>1705</v>
      </c>
      <c r="C120" s="485"/>
      <c r="D120" s="485"/>
      <c r="E120" s="485"/>
      <c r="F120" s="485"/>
      <c r="G120" s="485"/>
      <c r="H120" s="485"/>
      <c r="I120" s="485"/>
      <c r="J120" s="485"/>
      <c r="K120" s="485"/>
      <c r="L120" s="510"/>
      <c r="M120" s="511"/>
      <c r="N120" s="879"/>
      <c r="O120" s="879"/>
      <c r="P120" s="1774"/>
      <c r="Q120" s="490"/>
    </row>
    <row r="121" spans="1:17" s="408" customFormat="1" ht="14.4" thickBot="1">
      <c r="A121" s="484"/>
      <c r="B121" s="466"/>
      <c r="C121" s="491"/>
      <c r="D121" s="467"/>
      <c r="E121" s="467"/>
      <c r="F121" s="467"/>
      <c r="G121" s="467"/>
      <c r="H121" s="467"/>
      <c r="I121" s="467"/>
      <c r="J121" s="467"/>
      <c r="K121" s="467"/>
      <c r="L121" s="467"/>
      <c r="M121" s="467"/>
      <c r="N121" s="879"/>
      <c r="O121" s="879"/>
      <c r="P121" s="1774"/>
      <c r="Q121" s="490"/>
    </row>
    <row r="122" spans="1:17" ht="15" thickTop="1">
      <c r="A122" s="409"/>
      <c r="B122" s="469" t="s">
        <v>1744</v>
      </c>
      <c r="C122" s="485"/>
      <c r="D122" s="485"/>
      <c r="E122" s="485"/>
      <c r="F122" s="513"/>
      <c r="G122" s="513"/>
      <c r="H122" s="513"/>
      <c r="I122" s="513"/>
      <c r="J122" s="513"/>
      <c r="K122" s="514"/>
      <c r="L122" s="515"/>
      <c r="M122" s="516"/>
      <c r="N122" s="877"/>
      <c r="O122" s="877"/>
      <c r="P122" s="1773"/>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8"/>
      <c r="O123" s="878"/>
      <c r="P123" s="1773"/>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7"/>
      <c r="O124" s="877"/>
      <c r="P124" s="1774"/>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8"/>
      <c r="O125" s="878"/>
      <c r="P125" s="1773"/>
      <c r="Q125" s="439"/>
    </row>
    <row r="126" spans="1:17" s="408" customFormat="1" ht="14.4" thickTop="1">
      <c r="A126" s="406"/>
      <c r="B126" s="469">
        <f>B44</f>
        <v>111</v>
      </c>
      <c r="C126" s="485"/>
      <c r="D126" s="485"/>
      <c r="E126" s="485"/>
      <c r="F126" s="485"/>
      <c r="G126" s="485"/>
      <c r="H126" s="486"/>
      <c r="I126" s="486"/>
      <c r="J126" s="486"/>
      <c r="K126" s="486"/>
      <c r="L126" s="487"/>
      <c r="M126" s="488"/>
      <c r="N126" s="879"/>
      <c r="O126" s="879"/>
      <c r="P126" s="1774"/>
      <c r="Q126" s="490"/>
    </row>
    <row r="127" spans="1:17" s="408" customFormat="1" ht="14.4" thickBot="1">
      <c r="A127" s="484"/>
      <c r="B127" s="474"/>
      <c r="C127" s="491"/>
      <c r="D127" s="467"/>
      <c r="E127" s="467"/>
      <c r="F127" s="467"/>
      <c r="G127" s="491"/>
      <c r="H127" s="493"/>
      <c r="I127" s="493"/>
      <c r="J127" s="493"/>
      <c r="K127" s="493"/>
      <c r="L127" s="493"/>
      <c r="M127" s="494"/>
      <c r="N127" s="879"/>
      <c r="O127" s="879"/>
      <c r="P127" s="1774"/>
      <c r="Q127" s="490"/>
    </row>
    <row r="128" spans="1:17" ht="14.4" thickTop="1">
      <c r="A128" s="409"/>
      <c r="B128" s="469">
        <f>B45</f>
        <v>111</v>
      </c>
      <c r="C128" s="485"/>
      <c r="D128" s="485"/>
      <c r="E128" s="485"/>
      <c r="F128" s="485"/>
      <c r="G128" s="513"/>
      <c r="H128" s="513"/>
      <c r="I128" s="513"/>
      <c r="J128" s="513"/>
      <c r="K128" s="514"/>
      <c r="L128" s="515"/>
      <c r="M128" s="516"/>
      <c r="N128" s="877"/>
      <c r="O128" s="877"/>
      <c r="P128" s="1773"/>
      <c r="Q128" s="439"/>
    </row>
    <row r="129" spans="1:17" ht="14.4" thickBot="1">
      <c r="A129" s="367"/>
      <c r="B129" s="474"/>
      <c r="C129" s="491"/>
      <c r="D129" s="491"/>
      <c r="E129" s="491"/>
      <c r="F129" s="491"/>
      <c r="G129" s="467"/>
      <c r="H129" s="467"/>
      <c r="I129" s="467"/>
      <c r="J129" s="467"/>
      <c r="K129" s="467"/>
      <c r="L129" s="467"/>
      <c r="M129" s="468"/>
      <c r="N129" s="878"/>
      <c r="O129" s="878"/>
      <c r="P129" s="1773"/>
      <c r="Q129" s="439"/>
    </row>
    <row r="130" spans="1:17" ht="14.4" thickTop="1">
      <c r="A130" s="409"/>
      <c r="B130" s="477">
        <f>B46</f>
        <v>111</v>
      </c>
      <c r="C130" s="485"/>
      <c r="D130" s="485"/>
      <c r="E130" s="485"/>
      <c r="F130" s="485"/>
      <c r="G130" s="517"/>
      <c r="H130" s="517"/>
      <c r="I130" s="517"/>
      <c r="J130" s="517"/>
      <c r="K130" s="31"/>
      <c r="L130" s="457"/>
      <c r="M130" s="520"/>
      <c r="N130" s="877"/>
      <c r="O130" s="877"/>
      <c r="P130" s="1773"/>
      <c r="Q130" s="439"/>
    </row>
    <row r="131" spans="1:17" ht="14.4" thickBot="1">
      <c r="A131" s="375"/>
      <c r="B131" s="500"/>
      <c r="C131" s="501"/>
      <c r="D131" s="501"/>
      <c r="E131" s="501"/>
      <c r="F131" s="501"/>
      <c r="G131" s="521"/>
      <c r="H131" s="521"/>
      <c r="I131" s="521"/>
      <c r="J131" s="521"/>
      <c r="K131" s="521"/>
      <c r="L131" s="521"/>
      <c r="M131" s="522"/>
      <c r="N131" s="878"/>
      <c r="O131" s="878"/>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6.2"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ht="14.4">
      <c r="B147" s="1779" t="s">
        <v>1764</v>
      </c>
    </row>
    <row r="148" spans="2:11" ht="14.4">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1"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806" t="s">
        <v>1810</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IF(E1="项目模式",IF(C2="——",ROUND(C50*D3/10000,0),ROUND(C50*D3/10000,0)-D2),IF(E1="单套模式",IF(C2="——",ROUND(C50*D3/10000,4),ROUND(C50*D3/10000,4)-D2)))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245.74</v>
      </c>
      <c r="E3" s="1803"/>
      <c r="F3" s="854"/>
      <c r="G3" s="853"/>
      <c r="H3" s="853"/>
      <c r="I3" s="853"/>
      <c r="J3" s="853"/>
      <c r="K3" s="855"/>
      <c r="L3" s="2499"/>
      <c r="M3" s="2500"/>
      <c r="N3" s="2500"/>
      <c r="O3" s="2500"/>
      <c r="P3" s="341"/>
      <c r="Q3" s="341"/>
      <c r="R3" s="341"/>
      <c r="S3" s="341"/>
      <c r="T3" s="341"/>
      <c r="U3" s="341"/>
      <c r="V3" s="341"/>
      <c r="W3" s="341"/>
      <c r="X3" s="341"/>
      <c r="Y3" s="341"/>
      <c r="Z3" s="341"/>
      <c r="AA3" s="341"/>
      <c r="AB3" s="341"/>
      <c r="AC3" s="663"/>
    </row>
    <row r="4" spans="1:29" ht="14.4">
      <c r="A4" s="345" t="s">
        <v>1769</v>
      </c>
      <c r="B4" s="346"/>
      <c r="C4" s="3385" t="s">
        <v>1770</v>
      </c>
      <c r="D4" s="3386"/>
      <c r="E4" s="3387" t="s">
        <v>1771</v>
      </c>
      <c r="F4" s="3388"/>
      <c r="G4" s="3385" t="s">
        <v>1772</v>
      </c>
      <c r="H4" s="3386"/>
      <c r="I4" s="3385" t="s">
        <v>1773</v>
      </c>
      <c r="J4" s="3386"/>
      <c r="K4" s="537" t="s">
        <v>1774</v>
      </c>
      <c r="L4" s="2482"/>
      <c r="M4" s="2483"/>
      <c r="N4" s="2483"/>
      <c r="O4" s="2483"/>
      <c r="P4" s="3452" t="s">
        <v>1775</v>
      </c>
      <c r="Q4" s="3453"/>
      <c r="R4" s="3456" t="s">
        <v>1771</v>
      </c>
      <c r="S4" s="3457"/>
      <c r="T4" s="3456" t="s">
        <v>1772</v>
      </c>
      <c r="U4" s="3457"/>
      <c r="V4" s="3458" t="s">
        <v>1773</v>
      </c>
      <c r="W4" s="3458"/>
      <c r="X4" s="1807"/>
      <c r="Y4" s="3456" t="s">
        <v>1775</v>
      </c>
      <c r="Z4" s="3457"/>
      <c r="AA4" s="3460" t="s">
        <v>1771</v>
      </c>
      <c r="AB4" s="3460" t="s">
        <v>1772</v>
      </c>
      <c r="AC4" s="3449" t="s">
        <v>1773</v>
      </c>
    </row>
    <row r="5" spans="1:29">
      <c r="A5" s="348"/>
      <c r="B5" s="349"/>
      <c r="C5" s="3403" t="s">
        <v>1673</v>
      </c>
      <c r="D5" s="3404"/>
      <c r="E5" s="3411" t="s">
        <v>1674</v>
      </c>
      <c r="F5" s="3412"/>
      <c r="G5" s="3403" t="s">
        <v>1675</v>
      </c>
      <c r="H5" s="3404"/>
      <c r="I5" s="3403" t="s">
        <v>1676</v>
      </c>
      <c r="J5" s="3404"/>
      <c r="K5" s="537"/>
      <c r="L5" s="2482"/>
      <c r="M5" s="2483"/>
      <c r="N5" s="2483"/>
      <c r="O5" s="2483"/>
      <c r="P5" s="3454"/>
      <c r="Q5" s="3392"/>
      <c r="R5" s="3397"/>
      <c r="S5" s="3398"/>
      <c r="T5" s="3397"/>
      <c r="U5" s="3398"/>
      <c r="V5" s="3368"/>
      <c r="W5" s="3368"/>
      <c r="X5" s="1263"/>
      <c r="Y5" s="3397"/>
      <c r="Z5" s="3398"/>
      <c r="AA5" s="3383"/>
      <c r="AB5" s="3383"/>
      <c r="AC5" s="3450"/>
    </row>
    <row r="6" spans="1:29" ht="15" thickBot="1">
      <c r="A6" s="350"/>
      <c r="B6" s="351"/>
      <c r="C6" s="3401" t="s">
        <v>1677</v>
      </c>
      <c r="D6" s="3402"/>
      <c r="E6" s="3409" t="s">
        <v>1677</v>
      </c>
      <c r="F6" s="3410"/>
      <c r="G6" s="3401" t="s">
        <v>1677</v>
      </c>
      <c r="H6" s="3402"/>
      <c r="I6" s="3401" t="s">
        <v>1677</v>
      </c>
      <c r="J6" s="3402"/>
      <c r="K6" s="537" t="s">
        <v>1678</v>
      </c>
      <c r="L6" s="2482"/>
      <c r="M6" s="2483"/>
      <c r="N6" s="2483"/>
      <c r="O6" s="2483"/>
      <c r="P6" s="3455"/>
      <c r="Q6" s="3394"/>
      <c r="R6" s="3397"/>
      <c r="S6" s="3398"/>
      <c r="T6" s="3399"/>
      <c r="U6" s="3400"/>
      <c r="V6" s="3368"/>
      <c r="W6" s="3368"/>
      <c r="X6" s="1263"/>
      <c r="Y6" s="3399"/>
      <c r="Z6" s="3400"/>
      <c r="AA6" s="3384"/>
      <c r="AB6" s="3384"/>
      <c r="AC6" s="3451"/>
    </row>
    <row r="7" spans="1:29" s="102" customFormat="1" ht="15" thickBot="1">
      <c r="A7" s="352" t="s">
        <v>1679</v>
      </c>
      <c r="B7" s="353"/>
      <c r="C7" s="354">
        <f>'数据-取费表'!B2</f>
        <v>45793</v>
      </c>
      <c r="D7" s="355">
        <v>100</v>
      </c>
      <c r="E7" s="356"/>
      <c r="F7" s="357">
        <f>SUMIF(59:59,YEAR(E7)&amp;"-"&amp;MONTH(E7),60:60)</f>
        <v>0</v>
      </c>
      <c r="G7" s="356"/>
      <c r="H7" s="355">
        <f>SUMIF(59:59,YEAR(G7)&amp;"-"&amp;MONTH(G7),60:60)</f>
        <v>0</v>
      </c>
      <c r="I7" s="356"/>
      <c r="J7" s="355">
        <f>SUMIF(59:59,YEAR(I7)&amp;"-"&amp;MONTH(I7),60:60)</f>
        <v>0</v>
      </c>
      <c r="K7" s="38"/>
      <c r="L7" s="2484"/>
      <c r="M7" s="2436"/>
      <c r="N7" s="2436"/>
      <c r="O7" s="2436"/>
      <c r="P7" s="3459" t="s">
        <v>1680</v>
      </c>
      <c r="Q7" s="3407"/>
      <c r="R7" s="664" t="s">
        <v>14</v>
      </c>
      <c r="S7" s="665">
        <f t="shared" ref="S7:S15" si="0">F7</f>
        <v>0</v>
      </c>
      <c r="T7" s="664" t="s">
        <v>14</v>
      </c>
      <c r="U7" s="665">
        <f t="shared" ref="U7:U15" si="1">H7</f>
        <v>0</v>
      </c>
      <c r="V7" s="664" t="s">
        <v>14</v>
      </c>
      <c r="W7" s="665">
        <f t="shared" ref="W7:W15" si="2">J7</f>
        <v>0</v>
      </c>
      <c r="X7" s="666"/>
      <c r="Y7" s="3405" t="s">
        <v>1680</v>
      </c>
      <c r="Z7" s="3406"/>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4"/>
      <c r="M8" s="2436"/>
      <c r="N8" s="2436"/>
      <c r="O8" s="2436"/>
      <c r="P8" s="3459" t="s">
        <v>1683</v>
      </c>
      <c r="Q8" s="3406"/>
      <c r="R8" s="664" t="s">
        <v>14</v>
      </c>
      <c r="S8" s="665">
        <f t="shared" si="0"/>
        <v>100</v>
      </c>
      <c r="T8" s="664" t="s">
        <v>14</v>
      </c>
      <c r="U8" s="665">
        <f t="shared" si="1"/>
        <v>100</v>
      </c>
      <c r="V8" s="664" t="s">
        <v>14</v>
      </c>
      <c r="W8" s="665">
        <f t="shared" si="2"/>
        <v>100</v>
      </c>
      <c r="X8" s="666"/>
      <c r="Y8" s="3405" t="s">
        <v>1683</v>
      </c>
      <c r="Z8" s="3406"/>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4"/>
      <c r="M9" s="2436"/>
      <c r="N9" s="2436"/>
      <c r="O9" s="2436"/>
      <c r="P9" s="3381" t="s">
        <v>1686</v>
      </c>
      <c r="Q9" s="530" t="str">
        <f t="shared" ref="Q9:Q15" si="6">B9</f>
        <v>用途</v>
      </c>
      <c r="R9" s="664" t="s">
        <v>14</v>
      </c>
      <c r="S9" s="665">
        <f t="shared" si="0"/>
        <v>100</v>
      </c>
      <c r="T9" s="664" t="s">
        <v>14</v>
      </c>
      <c r="U9" s="665">
        <f t="shared" si="1"/>
        <v>100</v>
      </c>
      <c r="V9" s="664" t="s">
        <v>14</v>
      </c>
      <c r="W9" s="665">
        <f t="shared" si="2"/>
        <v>100</v>
      </c>
      <c r="X9" s="666"/>
      <c r="Y9" s="3271" t="s">
        <v>1687</v>
      </c>
      <c r="Z9" s="50" t="str">
        <f t="shared" ref="Z9:Z15" si="7">Q9</f>
        <v>用途</v>
      </c>
      <c r="AA9" s="50">
        <f t="shared" si="3"/>
        <v>1</v>
      </c>
      <c r="AB9" s="50">
        <f t="shared" si="4"/>
        <v>1</v>
      </c>
      <c r="AC9" s="802">
        <f t="shared" si="5"/>
        <v>1</v>
      </c>
    </row>
    <row r="10" spans="1:29" s="366" customFormat="1" ht="28.8">
      <c r="A10" s="363"/>
      <c r="B10" s="364" t="s">
        <v>1688</v>
      </c>
      <c r="C10" s="3128"/>
      <c r="D10" s="119">
        <v>100</v>
      </c>
      <c r="E10" s="3128"/>
      <c r="F10" s="119">
        <f>SUMIF(66:66,E10,67:67)-SUMIF(66:66,C10,67:67)+100</f>
        <v>100</v>
      </c>
      <c r="G10" s="3129"/>
      <c r="H10" s="119">
        <f>SUMIF(66:66,G10,67:67)-SUMIF(66:66,C10,67:67)+100</f>
        <v>100</v>
      </c>
      <c r="I10" s="3128"/>
      <c r="J10" s="119">
        <f>SUMIF(66:66,I10,67:67)-SUMIF(66:66,C10,67:67)+100</f>
        <v>100</v>
      </c>
      <c r="K10" s="38"/>
      <c r="L10" s="2485"/>
      <c r="M10" s="2486"/>
      <c r="N10" s="2486"/>
      <c r="O10" s="2486"/>
      <c r="P10" s="3381"/>
      <c r="Q10" s="530" t="str">
        <f t="shared" si="6"/>
        <v>土地使用年限（年）</v>
      </c>
      <c r="R10" s="664" t="s">
        <v>14</v>
      </c>
      <c r="S10" s="665">
        <f t="shared" si="0"/>
        <v>100</v>
      </c>
      <c r="T10" s="664" t="s">
        <v>14</v>
      </c>
      <c r="U10" s="665">
        <f t="shared" si="1"/>
        <v>100</v>
      </c>
      <c r="V10" s="664" t="s">
        <v>14</v>
      </c>
      <c r="W10" s="665">
        <f t="shared" si="2"/>
        <v>100</v>
      </c>
      <c r="X10" s="666"/>
      <c r="Y10" s="327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381"/>
      <c r="Q11" s="530" t="str">
        <f t="shared" si="6"/>
        <v>容积率</v>
      </c>
      <c r="R11" s="664" t="s">
        <v>14</v>
      </c>
      <c r="S11" s="665">
        <f t="shared" si="0"/>
        <v>100</v>
      </c>
      <c r="T11" s="664" t="s">
        <v>14</v>
      </c>
      <c r="U11" s="665">
        <f t="shared" si="1"/>
        <v>100</v>
      </c>
      <c r="V11" s="664" t="s">
        <v>14</v>
      </c>
      <c r="W11" s="665">
        <f t="shared" si="2"/>
        <v>100</v>
      </c>
      <c r="X11" s="666"/>
      <c r="Y11" s="327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4"/>
      <c r="M12" s="2436"/>
      <c r="N12" s="2436"/>
      <c r="O12" s="2436"/>
      <c r="P12" s="3381"/>
      <c r="Q12" s="530">
        <f t="shared" si="6"/>
        <v>111</v>
      </c>
      <c r="R12" s="664" t="s">
        <v>14</v>
      </c>
      <c r="S12" s="665">
        <f t="shared" si="0"/>
        <v>100</v>
      </c>
      <c r="T12" s="664" t="s">
        <v>14</v>
      </c>
      <c r="U12" s="665">
        <f t="shared" si="1"/>
        <v>100</v>
      </c>
      <c r="V12" s="664" t="s">
        <v>14</v>
      </c>
      <c r="W12" s="665">
        <f t="shared" si="2"/>
        <v>100</v>
      </c>
      <c r="X12" s="666"/>
      <c r="Y12" s="327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88"/>
      <c r="M13" s="2483"/>
      <c r="N13" s="2483"/>
      <c r="O13" s="2483"/>
      <c r="P13" s="3381"/>
      <c r="Q13" s="530">
        <f t="shared" si="6"/>
        <v>111</v>
      </c>
      <c r="R13" s="664" t="s">
        <v>14</v>
      </c>
      <c r="S13" s="665">
        <f t="shared" si="0"/>
        <v>100</v>
      </c>
      <c r="T13" s="664" t="s">
        <v>14</v>
      </c>
      <c r="U13" s="665">
        <f t="shared" si="1"/>
        <v>100</v>
      </c>
      <c r="V13" s="664" t="s">
        <v>14</v>
      </c>
      <c r="W13" s="665">
        <f t="shared" si="2"/>
        <v>100</v>
      </c>
      <c r="X13" s="666"/>
      <c r="Y13" s="3271"/>
      <c r="Z13" s="50">
        <f t="shared" si="7"/>
        <v>111</v>
      </c>
      <c r="AA13" s="50">
        <f t="shared" si="3"/>
        <v>1</v>
      </c>
      <c r="AB13" s="50">
        <f t="shared" si="4"/>
        <v>1</v>
      </c>
      <c r="AC13" s="802">
        <f t="shared" si="5"/>
        <v>1</v>
      </c>
    </row>
    <row r="14" spans="1:29" ht="15.6" thickBot="1">
      <c r="A14" s="375"/>
      <c r="B14" s="1747">
        <v>111</v>
      </c>
      <c r="C14" s="376"/>
      <c r="D14" s="377">
        <v>100</v>
      </c>
      <c r="E14" s="553"/>
      <c r="F14" s="377">
        <f>SUMIF(75:75,E14,76:76)-SUMIF(75:75,C14,76:76)+100</f>
        <v>100</v>
      </c>
      <c r="G14" s="1808"/>
      <c r="H14" s="377">
        <f>SUMIF(75:75,G14,76:76)-SUMIF(75:75,C14,76:76)+100</f>
        <v>100</v>
      </c>
      <c r="I14" s="371"/>
      <c r="J14" s="377">
        <f>SUMIF(75:75,I14,76:76)-SUMIF(75:75,C14,76:76)+100</f>
        <v>100</v>
      </c>
      <c r="K14" s="539"/>
      <c r="L14" s="2488"/>
      <c r="M14" s="2483"/>
      <c r="N14" s="2483"/>
      <c r="O14" s="2483"/>
      <c r="P14" s="3381"/>
      <c r="Q14" s="530">
        <f t="shared" si="6"/>
        <v>111</v>
      </c>
      <c r="R14" s="664" t="s">
        <v>14</v>
      </c>
      <c r="S14" s="665">
        <f t="shared" si="0"/>
        <v>100</v>
      </c>
      <c r="T14" s="664" t="s">
        <v>14</v>
      </c>
      <c r="U14" s="665">
        <f t="shared" si="1"/>
        <v>100</v>
      </c>
      <c r="V14" s="664" t="s">
        <v>14</v>
      </c>
      <c r="W14" s="665">
        <f t="shared" si="2"/>
        <v>100</v>
      </c>
      <c r="X14" s="666"/>
      <c r="Y14" s="3271"/>
      <c r="Z14" s="50">
        <f t="shared" si="7"/>
        <v>111</v>
      </c>
      <c r="AA14" s="50">
        <f t="shared" si="3"/>
        <v>1</v>
      </c>
      <c r="AB14" s="50">
        <f t="shared" si="4"/>
        <v>1</v>
      </c>
      <c r="AC14" s="802">
        <f t="shared" si="5"/>
        <v>1</v>
      </c>
    </row>
    <row r="15" spans="1:29" ht="69">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8"/>
      <c r="M15" s="2483"/>
      <c r="N15" s="2483"/>
      <c r="O15" s="2483"/>
      <c r="P15" s="3372" t="s">
        <v>1691</v>
      </c>
      <c r="Q15" s="1261" t="str">
        <f t="shared" si="6"/>
        <v>办公集聚程度</v>
      </c>
      <c r="R15" s="667" t="s">
        <v>14</v>
      </c>
      <c r="S15" s="668">
        <f t="shared" si="0"/>
        <v>100</v>
      </c>
      <c r="T15" s="667" t="s">
        <v>14</v>
      </c>
      <c r="U15" s="668">
        <f t="shared" si="1"/>
        <v>100</v>
      </c>
      <c r="V15" s="667" t="s">
        <v>14</v>
      </c>
      <c r="W15" s="668">
        <f t="shared" si="2"/>
        <v>100</v>
      </c>
      <c r="X15" s="1263"/>
      <c r="Y15" s="3374" t="s">
        <v>1691</v>
      </c>
      <c r="Z15" s="1262" t="str">
        <f t="shared" si="7"/>
        <v>办公集聚程度</v>
      </c>
      <c r="AA15" s="1262">
        <f t="shared" si="3"/>
        <v>1</v>
      </c>
      <c r="AB15" s="1262">
        <f t="shared" si="4"/>
        <v>1</v>
      </c>
      <c r="AC15" s="1810">
        <f t="shared" si="5"/>
        <v>1</v>
      </c>
    </row>
    <row r="16" spans="1:29" ht="15">
      <c r="A16" s="367"/>
      <c r="B16" s="555"/>
      <c r="C16" s="1756"/>
      <c r="D16" s="387"/>
      <c r="E16" s="386"/>
      <c r="F16" s="387"/>
      <c r="G16" s="1756"/>
      <c r="H16" s="389"/>
      <c r="I16" s="386"/>
      <c r="J16" s="387"/>
      <c r="K16" s="541"/>
      <c r="L16" s="2488"/>
      <c r="M16" s="2483"/>
      <c r="N16" s="2483"/>
      <c r="O16" s="2483"/>
      <c r="P16" s="3373"/>
      <c r="Q16" s="1261"/>
      <c r="R16" s="667"/>
      <c r="S16" s="668"/>
      <c r="T16" s="667"/>
      <c r="U16" s="668"/>
      <c r="V16" s="667"/>
      <c r="W16" s="668"/>
      <c r="X16" s="1263"/>
      <c r="Y16" s="3375"/>
      <c r="Z16" s="1262"/>
      <c r="AA16" s="1262">
        <v>1</v>
      </c>
      <c r="AB16" s="1262">
        <v>1</v>
      </c>
      <c r="AC16" s="1810">
        <v>1</v>
      </c>
    </row>
    <row r="17" spans="1:29" ht="82.8">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8"/>
      <c r="M17" s="2483"/>
      <c r="N17" s="2483"/>
      <c r="O17" s="2483"/>
      <c r="P17" s="3373"/>
      <c r="Q17" s="1261" t="str">
        <f>B17</f>
        <v>交通便捷度</v>
      </c>
      <c r="R17" s="667" t="s">
        <v>14</v>
      </c>
      <c r="S17" s="668">
        <f>F17</f>
        <v>100</v>
      </c>
      <c r="T17" s="667" t="s">
        <v>14</v>
      </c>
      <c r="U17" s="668">
        <f>H17</f>
        <v>100</v>
      </c>
      <c r="V17" s="667" t="s">
        <v>14</v>
      </c>
      <c r="W17" s="668">
        <f>J17</f>
        <v>100</v>
      </c>
      <c r="X17" s="1263"/>
      <c r="Y17" s="3375"/>
      <c r="Z17" s="1262" t="str">
        <f>Q17</f>
        <v>交通便捷度</v>
      </c>
      <c r="AA17" s="1262">
        <f t="shared" si="3"/>
        <v>1</v>
      </c>
      <c r="AB17" s="1262">
        <f t="shared" si="4"/>
        <v>1</v>
      </c>
      <c r="AC17" s="1810">
        <f t="shared" si="5"/>
        <v>1</v>
      </c>
    </row>
    <row r="18" spans="1:29" ht="15">
      <c r="A18" s="367"/>
      <c r="B18" s="401"/>
      <c r="C18" s="1812"/>
      <c r="D18" s="389"/>
      <c r="E18" s="1754"/>
      <c r="F18" s="389"/>
      <c r="G18" s="1755"/>
      <c r="H18" s="387"/>
      <c r="I18" s="1755"/>
      <c r="J18" s="387"/>
      <c r="K18" s="541"/>
      <c r="L18" s="2488"/>
      <c r="M18" s="2483"/>
      <c r="N18" s="2483"/>
      <c r="O18" s="2483"/>
      <c r="P18" s="3373"/>
      <c r="Q18" s="1261"/>
      <c r="R18" s="667"/>
      <c r="S18" s="668"/>
      <c r="T18" s="667"/>
      <c r="U18" s="668"/>
      <c r="V18" s="667"/>
      <c r="W18" s="668"/>
      <c r="X18" s="1263"/>
      <c r="Y18" s="3375"/>
      <c r="Z18" s="1262"/>
      <c r="AA18" s="1262">
        <v>1</v>
      </c>
      <c r="AB18" s="1262">
        <v>1</v>
      </c>
      <c r="AC18" s="1810">
        <v>1</v>
      </c>
    </row>
    <row r="19" spans="1:29" ht="41.4">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88"/>
      <c r="M19" s="2483"/>
      <c r="N19" s="2483"/>
      <c r="O19" s="2483"/>
      <c r="P19" s="3373"/>
      <c r="Q19" s="1261" t="str">
        <f>B19</f>
        <v>公共配套设施</v>
      </c>
      <c r="R19" s="667" t="s">
        <v>14</v>
      </c>
      <c r="S19" s="668">
        <f>F19</f>
        <v>100</v>
      </c>
      <c r="T19" s="667" t="s">
        <v>14</v>
      </c>
      <c r="U19" s="668">
        <f>H19</f>
        <v>100</v>
      </c>
      <c r="V19" s="667" t="s">
        <v>14</v>
      </c>
      <c r="W19" s="668">
        <f>J19</f>
        <v>100</v>
      </c>
      <c r="X19" s="1263"/>
      <c r="Y19" s="3375"/>
      <c r="Z19" s="1262" t="str">
        <f>Q19</f>
        <v>公共配套设施</v>
      </c>
      <c r="AA19" s="1262">
        <f t="shared" si="3"/>
        <v>1</v>
      </c>
      <c r="AB19" s="1262">
        <f t="shared" si="4"/>
        <v>1</v>
      </c>
      <c r="AC19" s="1810">
        <f t="shared" si="5"/>
        <v>1</v>
      </c>
    </row>
    <row r="20" spans="1:29" ht="15">
      <c r="A20" s="367"/>
      <c r="B20" s="401"/>
      <c r="C20" s="1756"/>
      <c r="D20" s="387"/>
      <c r="E20" s="1749"/>
      <c r="F20" s="387"/>
      <c r="G20" s="1750"/>
      <c r="H20" s="387"/>
      <c r="I20" s="1750"/>
      <c r="J20" s="387"/>
      <c r="K20" s="541"/>
      <c r="L20" s="2488"/>
      <c r="M20" s="2483"/>
      <c r="N20" s="2483"/>
      <c r="O20" s="2483"/>
      <c r="P20" s="3373"/>
      <c r="Q20" s="1261"/>
      <c r="R20" s="667"/>
      <c r="S20" s="668"/>
      <c r="T20" s="667"/>
      <c r="U20" s="668"/>
      <c r="V20" s="667"/>
      <c r="W20" s="668"/>
      <c r="X20" s="1263"/>
      <c r="Y20" s="3375"/>
      <c r="Z20" s="1262"/>
      <c r="AA20" s="1262">
        <v>1</v>
      </c>
      <c r="AB20" s="1262">
        <v>1</v>
      </c>
      <c r="AC20" s="1810">
        <v>1</v>
      </c>
    </row>
    <row r="21" spans="1:29" ht="27.6">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8"/>
      <c r="M21" s="2483"/>
      <c r="N21" s="2483"/>
      <c r="O21" s="2483"/>
      <c r="P21" s="3373"/>
      <c r="Q21" s="1261" t="str">
        <f>B21</f>
        <v>基础设施水平</v>
      </c>
      <c r="R21" s="667" t="s">
        <v>14</v>
      </c>
      <c r="S21" s="668">
        <f>F21</f>
        <v>100</v>
      </c>
      <c r="T21" s="667" t="s">
        <v>14</v>
      </c>
      <c r="U21" s="668">
        <f>H21</f>
        <v>100</v>
      </c>
      <c r="V21" s="667" t="s">
        <v>14</v>
      </c>
      <c r="W21" s="668">
        <f>J21</f>
        <v>100</v>
      </c>
      <c r="X21" s="1263"/>
      <c r="Y21" s="3375"/>
      <c r="Z21" s="1262" t="str">
        <f>Q21</f>
        <v>基础设施水平</v>
      </c>
      <c r="AA21" s="1262">
        <f t="shared" ref="AA21" si="8">D21/F21</f>
        <v>1</v>
      </c>
      <c r="AB21" s="1262">
        <f t="shared" ref="AB21" si="9">D21/H21</f>
        <v>1</v>
      </c>
      <c r="AC21" s="1810">
        <f t="shared" ref="AC21" si="10">D21/J21</f>
        <v>1</v>
      </c>
    </row>
    <row r="22" spans="1:29" ht="15">
      <c r="A22" s="367"/>
      <c r="B22" s="557"/>
      <c r="C22" s="1812"/>
      <c r="D22" s="387"/>
      <c r="E22" s="386"/>
      <c r="F22" s="387"/>
      <c r="G22" s="1756"/>
      <c r="H22" s="387"/>
      <c r="I22" s="1756"/>
      <c r="J22" s="387"/>
      <c r="K22" s="1062"/>
      <c r="L22" s="2488"/>
      <c r="M22" s="2483"/>
      <c r="N22" s="2483"/>
      <c r="O22" s="2483"/>
      <c r="P22" s="3373"/>
      <c r="Q22" s="1261"/>
      <c r="R22" s="667"/>
      <c r="S22" s="668"/>
      <c r="T22" s="667"/>
      <c r="U22" s="668"/>
      <c r="V22" s="667"/>
      <c r="W22" s="668"/>
      <c r="X22" s="1263"/>
      <c r="Y22" s="3375"/>
      <c r="Z22" s="1262"/>
      <c r="AA22" s="1262">
        <v>1</v>
      </c>
      <c r="AB22" s="1262">
        <v>1</v>
      </c>
      <c r="AC22" s="1810">
        <v>1</v>
      </c>
    </row>
    <row r="23" spans="1:29" ht="55.2">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8"/>
      <c r="M23" s="2483"/>
      <c r="N23" s="2483"/>
      <c r="O23" s="2483"/>
      <c r="P23" s="3373"/>
      <c r="Q23" s="1261" t="str">
        <f>B23</f>
        <v>环境质量</v>
      </c>
      <c r="R23" s="667" t="s">
        <v>14</v>
      </c>
      <c r="S23" s="668">
        <f>F23</f>
        <v>100</v>
      </c>
      <c r="T23" s="667" t="s">
        <v>14</v>
      </c>
      <c r="U23" s="668">
        <f>H23</f>
        <v>100</v>
      </c>
      <c r="V23" s="667" t="s">
        <v>14</v>
      </c>
      <c r="W23" s="668">
        <f>J23</f>
        <v>100</v>
      </c>
      <c r="X23" s="1263"/>
      <c r="Y23" s="3375"/>
      <c r="Z23" s="1262" t="str">
        <f>Q23</f>
        <v>环境质量</v>
      </c>
      <c r="AA23" s="1262">
        <f t="shared" si="3"/>
        <v>1</v>
      </c>
      <c r="AB23" s="1262">
        <f t="shared" si="4"/>
        <v>1</v>
      </c>
      <c r="AC23" s="1810">
        <f t="shared" si="5"/>
        <v>1</v>
      </c>
    </row>
    <row r="24" spans="1:29" ht="15">
      <c r="A24" s="367"/>
      <c r="B24" s="557"/>
      <c r="C24" s="1756"/>
      <c r="D24" s="387"/>
      <c r="E24" s="1749"/>
      <c r="F24" s="387"/>
      <c r="G24" s="1750"/>
      <c r="H24" s="387"/>
      <c r="I24" s="1750"/>
      <c r="J24" s="387"/>
      <c r="K24" s="541"/>
      <c r="L24" s="2488"/>
      <c r="M24" s="2483"/>
      <c r="N24" s="2483"/>
      <c r="O24" s="2483"/>
      <c r="P24" s="3373"/>
      <c r="Q24" s="1261"/>
      <c r="R24" s="667"/>
      <c r="S24" s="668"/>
      <c r="T24" s="667"/>
      <c r="U24" s="668"/>
      <c r="V24" s="667"/>
      <c r="W24" s="668"/>
      <c r="X24" s="1263"/>
      <c r="Y24" s="3375"/>
      <c r="Z24" s="1262"/>
      <c r="AA24" s="1262">
        <v>1</v>
      </c>
      <c r="AB24" s="1262">
        <v>1</v>
      </c>
      <c r="AC24" s="1810">
        <v>1</v>
      </c>
    </row>
    <row r="25" spans="1:29" ht="28.8">
      <c r="A25" s="348"/>
      <c r="B25" s="556" t="s">
        <v>1815</v>
      </c>
      <c r="C25" s="1760"/>
      <c r="D25" s="374">
        <v>100</v>
      </c>
      <c r="E25" s="373"/>
      <c r="F25" s="374">
        <f>SUMIF(87:87,E26,88:88)-SUMIF(87:87,C26,88:88)+100</f>
        <v>100</v>
      </c>
      <c r="G25" s="1760"/>
      <c r="H25" s="374">
        <f>SUMIF(87:87,G26,88:88)-SUMIF(87:87,C26,88:88)+100</f>
        <v>100</v>
      </c>
      <c r="I25" s="373"/>
      <c r="J25" s="374">
        <f>SUMIF(87:87,I26,88:88)-SUMIF(87:87,C26,88:88)+100</f>
        <v>100</v>
      </c>
      <c r="K25" s="540"/>
      <c r="L25" s="2488"/>
      <c r="M25" s="2483"/>
      <c r="N25" s="2483"/>
      <c r="O25" s="2483"/>
      <c r="P25" s="3373"/>
      <c r="Q25" s="1261" t="str">
        <f>B25</f>
        <v>毗邻道路的类型与等级</v>
      </c>
      <c r="R25" s="667" t="s">
        <v>14</v>
      </c>
      <c r="S25" s="668">
        <f>F25</f>
        <v>100</v>
      </c>
      <c r="T25" s="667" t="s">
        <v>14</v>
      </c>
      <c r="U25" s="668">
        <f>H25</f>
        <v>100</v>
      </c>
      <c r="V25" s="667" t="s">
        <v>14</v>
      </c>
      <c r="W25" s="668">
        <f>J25</f>
        <v>100</v>
      </c>
      <c r="X25" s="1263"/>
      <c r="Y25" s="3375"/>
      <c r="Z25" s="1262" t="str">
        <f>Q25</f>
        <v>毗邻道路的类型与等级</v>
      </c>
      <c r="AA25" s="1262">
        <f t="shared" si="3"/>
        <v>1</v>
      </c>
      <c r="AB25" s="1262">
        <f t="shared" si="4"/>
        <v>1</v>
      </c>
      <c r="AC25" s="1810">
        <f t="shared" si="5"/>
        <v>1</v>
      </c>
    </row>
    <row r="26" spans="1:29" ht="15">
      <c r="A26" s="348"/>
      <c r="B26" s="401"/>
      <c r="C26" s="558"/>
      <c r="D26" s="374"/>
      <c r="E26" s="542"/>
      <c r="F26" s="374"/>
      <c r="G26" s="558"/>
      <c r="H26" s="374"/>
      <c r="I26" s="542"/>
      <c r="J26" s="374"/>
      <c r="K26" s="541"/>
      <c r="L26" s="2488"/>
      <c r="M26" s="2483"/>
      <c r="N26" s="2483"/>
      <c r="O26" s="2483"/>
      <c r="P26" s="3373"/>
      <c r="Q26" s="1261"/>
      <c r="R26" s="667"/>
      <c r="S26" s="668"/>
      <c r="T26" s="667"/>
      <c r="U26" s="668"/>
      <c r="V26" s="667"/>
      <c r="W26" s="668"/>
      <c r="X26" s="1263"/>
      <c r="Y26" s="3375"/>
      <c r="Z26" s="1262"/>
      <c r="AA26" s="1262">
        <v>1</v>
      </c>
      <c r="AB26" s="1262">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8"/>
      <c r="M27" s="2483"/>
      <c r="N27" s="2483"/>
      <c r="O27" s="2483"/>
      <c r="P27" s="3373"/>
      <c r="Q27" s="1261" t="str">
        <f t="shared" ref="Q27:Q47" si="11">B27</f>
        <v>楼层</v>
      </c>
      <c r="R27" s="667" t="s">
        <v>14</v>
      </c>
      <c r="S27" s="668">
        <f>F27</f>
        <v>100</v>
      </c>
      <c r="T27" s="667" t="s">
        <v>14</v>
      </c>
      <c r="U27" s="668">
        <f>H27</f>
        <v>100</v>
      </c>
      <c r="V27" s="667" t="s">
        <v>14</v>
      </c>
      <c r="W27" s="668">
        <f>J27</f>
        <v>100</v>
      </c>
      <c r="X27" s="1263"/>
      <c r="Y27" s="3375"/>
      <c r="Z27" s="1262" t="str">
        <f>Q27</f>
        <v>楼层</v>
      </c>
      <c r="AA27" s="1262">
        <f t="shared" si="3"/>
        <v>1</v>
      </c>
      <c r="AB27" s="1262">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4"/>
      <c r="M28" s="2436"/>
      <c r="N28" s="2436"/>
      <c r="O28" s="2436"/>
      <c r="P28" s="3373"/>
      <c r="Q28" s="530" t="str">
        <f t="shared" si="11"/>
        <v>朝向</v>
      </c>
      <c r="R28" s="664" t="s">
        <v>14</v>
      </c>
      <c r="S28" s="665">
        <f>F28</f>
        <v>100</v>
      </c>
      <c r="T28" s="664" t="s">
        <v>14</v>
      </c>
      <c r="U28" s="665">
        <f>H28</f>
        <v>100</v>
      </c>
      <c r="V28" s="664" t="s">
        <v>14</v>
      </c>
      <c r="W28" s="665">
        <f>J28</f>
        <v>100</v>
      </c>
      <c r="X28" s="666"/>
      <c r="Y28" s="3375"/>
      <c r="Z28" s="50" t="str">
        <f>Q28</f>
        <v>朝向</v>
      </c>
      <c r="AA28" s="1262">
        <f>D28/F28</f>
        <v>1</v>
      </c>
      <c r="AB28" s="1262">
        <f>D28/H28</f>
        <v>1</v>
      </c>
      <c r="AC28" s="1810">
        <f>D28/J28</f>
        <v>1</v>
      </c>
    </row>
    <row r="29" spans="1:29" ht="15">
      <c r="A29" s="367"/>
      <c r="B29" s="1097">
        <v>111</v>
      </c>
      <c r="C29" s="1760"/>
      <c r="D29" s="374">
        <v>100</v>
      </c>
      <c r="E29" s="371"/>
      <c r="F29" s="374">
        <f>SUMIF(93:93,E29,94:94)-SUMIF(93:93,C29,94:94)+100</f>
        <v>100</v>
      </c>
      <c r="G29" s="1808"/>
      <c r="H29" s="374">
        <f>SUMIF(93:93,G29,94:94)-SUMIF(93:93,C29,94:94)+100</f>
        <v>100</v>
      </c>
      <c r="I29" s="371"/>
      <c r="J29" s="374">
        <f>SUMIF(93:93,I29,94:94)-SUMIF(93:93,C29,94:94)+100</f>
        <v>100</v>
      </c>
      <c r="K29" s="539"/>
      <c r="L29" s="2488"/>
      <c r="M29" s="2483"/>
      <c r="N29" s="2483"/>
      <c r="O29" s="2483"/>
      <c r="P29" s="3373"/>
      <c r="Q29" s="1261">
        <f t="shared" si="11"/>
        <v>111</v>
      </c>
      <c r="R29" s="667" t="s">
        <v>14</v>
      </c>
      <c r="S29" s="668">
        <f t="shared" ref="S29:S47" si="12">F29</f>
        <v>100</v>
      </c>
      <c r="T29" s="667" t="s">
        <v>14</v>
      </c>
      <c r="U29" s="668">
        <f t="shared" ref="U29:U47" si="13">H29</f>
        <v>100</v>
      </c>
      <c r="V29" s="667" t="s">
        <v>14</v>
      </c>
      <c r="W29" s="668">
        <f t="shared" ref="W29:W47" si="14">J29</f>
        <v>100</v>
      </c>
      <c r="X29" s="1263"/>
      <c r="Y29" s="3375"/>
      <c r="Z29" s="1262">
        <f t="shared" ref="Z29:Z47" si="15">Q29</f>
        <v>111</v>
      </c>
      <c r="AA29" s="1262">
        <f t="shared" si="3"/>
        <v>1</v>
      </c>
      <c r="AB29" s="1262">
        <f t="shared" si="4"/>
        <v>1</v>
      </c>
      <c r="AC29" s="1810">
        <f t="shared" si="5"/>
        <v>1</v>
      </c>
    </row>
    <row r="30" spans="1:29" ht="15">
      <c r="A30" s="367"/>
      <c r="B30" s="1097">
        <v>111</v>
      </c>
      <c r="C30" s="1760"/>
      <c r="D30" s="374">
        <v>100</v>
      </c>
      <c r="E30" s="371"/>
      <c r="F30" s="374">
        <f>SUMIF(95:95,E30,96:96)-SUMIF(95:95,C30,96:96)+100</f>
        <v>100</v>
      </c>
      <c r="G30" s="1808"/>
      <c r="H30" s="374">
        <f>SUMIF(95:95,G30,96:96)-SUMIF(95:95,C30,96:96)+100</f>
        <v>100</v>
      </c>
      <c r="I30" s="371"/>
      <c r="J30" s="374">
        <f>SUMIF(95:95,I30,96:96)-SUMIF(95:95,C30,96:96)+100</f>
        <v>100</v>
      </c>
      <c r="K30" s="539"/>
      <c r="L30" s="2488"/>
      <c r="M30" s="2483"/>
      <c r="N30" s="2483"/>
      <c r="O30" s="2483"/>
      <c r="P30" s="3373"/>
      <c r="Q30" s="1261">
        <f t="shared" si="11"/>
        <v>111</v>
      </c>
      <c r="R30" s="667" t="s">
        <v>14</v>
      </c>
      <c r="S30" s="668">
        <f t="shared" si="12"/>
        <v>100</v>
      </c>
      <c r="T30" s="667" t="s">
        <v>14</v>
      </c>
      <c r="U30" s="668">
        <f t="shared" si="13"/>
        <v>100</v>
      </c>
      <c r="V30" s="667" t="s">
        <v>14</v>
      </c>
      <c r="W30" s="668">
        <f t="shared" si="14"/>
        <v>100</v>
      </c>
      <c r="X30" s="1263"/>
      <c r="Y30" s="3375"/>
      <c r="Z30" s="1262">
        <f t="shared" si="15"/>
        <v>111</v>
      </c>
      <c r="AA30" s="1262">
        <f t="shared" si="3"/>
        <v>1</v>
      </c>
      <c r="AB30" s="1262">
        <f t="shared" si="4"/>
        <v>1</v>
      </c>
      <c r="AC30" s="1810">
        <f t="shared" si="5"/>
        <v>1</v>
      </c>
    </row>
    <row r="31" spans="1:29" ht="15">
      <c r="A31" s="367"/>
      <c r="B31" s="1097">
        <v>111</v>
      </c>
      <c r="C31" s="1760"/>
      <c r="D31" s="374">
        <v>100</v>
      </c>
      <c r="E31" s="371"/>
      <c r="F31" s="374">
        <f>SUMIF(97:97,E31,98:98)-SUMIF(97:97,C31,98:98)+100</f>
        <v>100</v>
      </c>
      <c r="G31" s="1808"/>
      <c r="H31" s="374">
        <f>SUMIF(97:97,G31,98:98)-SUMIF(97:97,C31,98:98)+100</f>
        <v>100</v>
      </c>
      <c r="I31" s="371"/>
      <c r="J31" s="374">
        <f>SUMIF(97:97,I31,98:98)-SUMIF(97:97,C31,98:98)+100</f>
        <v>100</v>
      </c>
      <c r="K31" s="539"/>
      <c r="L31" s="2488"/>
      <c r="M31" s="2483"/>
      <c r="N31" s="2483"/>
      <c r="O31" s="2483"/>
      <c r="P31" s="3373"/>
      <c r="Q31" s="1261">
        <f t="shared" si="11"/>
        <v>111</v>
      </c>
      <c r="R31" s="667" t="s">
        <v>14</v>
      </c>
      <c r="S31" s="668">
        <f t="shared" si="12"/>
        <v>100</v>
      </c>
      <c r="T31" s="667" t="s">
        <v>14</v>
      </c>
      <c r="U31" s="668">
        <f t="shared" si="13"/>
        <v>100</v>
      </c>
      <c r="V31" s="667" t="s">
        <v>14</v>
      </c>
      <c r="W31" s="668">
        <f t="shared" si="14"/>
        <v>100</v>
      </c>
      <c r="X31" s="1263"/>
      <c r="Y31" s="3375"/>
      <c r="Z31" s="1262">
        <f t="shared" si="15"/>
        <v>111</v>
      </c>
      <c r="AA31" s="1262">
        <f t="shared" si="3"/>
        <v>1</v>
      </c>
      <c r="AB31" s="1262">
        <f t="shared" si="4"/>
        <v>1</v>
      </c>
      <c r="AC31" s="1810">
        <f t="shared" si="5"/>
        <v>1</v>
      </c>
    </row>
    <row r="32" spans="1:29" ht="15.6" thickBot="1">
      <c r="A32" s="375"/>
      <c r="B32" s="559">
        <v>111</v>
      </c>
      <c r="C32" s="1761"/>
      <c r="D32" s="377">
        <v>100</v>
      </c>
      <c r="E32" s="553"/>
      <c r="F32" s="377">
        <f>SUMIF(99:99,E32,100:100)-SUMIF(99:99,C32,100:100)+100</f>
        <v>100</v>
      </c>
      <c r="G32" s="1808"/>
      <c r="H32" s="377">
        <f>SUMIF(99:99,G32,100:100)-SUMIF(99:99,C32,100:100)+100</f>
        <v>100</v>
      </c>
      <c r="I32" s="371"/>
      <c r="J32" s="377">
        <f>SUMIF(99:99,I32,100:100)-SUMIF(99:99,C32,100:100)+100</f>
        <v>100</v>
      </c>
      <c r="K32" s="539"/>
      <c r="L32" s="2488"/>
      <c r="M32" s="2483"/>
      <c r="N32" s="2483"/>
      <c r="O32" s="2483"/>
      <c r="P32" s="3373"/>
      <c r="Q32" s="1261">
        <f t="shared" si="11"/>
        <v>111</v>
      </c>
      <c r="R32" s="667" t="s">
        <v>14</v>
      </c>
      <c r="S32" s="668">
        <f t="shared" si="12"/>
        <v>100</v>
      </c>
      <c r="T32" s="667" t="s">
        <v>14</v>
      </c>
      <c r="U32" s="668">
        <f t="shared" si="13"/>
        <v>100</v>
      </c>
      <c r="V32" s="667" t="s">
        <v>14</v>
      </c>
      <c r="W32" s="668">
        <f t="shared" si="14"/>
        <v>100</v>
      </c>
      <c r="X32" s="1263"/>
      <c r="Y32" s="3375"/>
      <c r="Z32" s="1262">
        <f t="shared" si="15"/>
        <v>111</v>
      </c>
      <c r="AA32" s="1262">
        <f t="shared" si="3"/>
        <v>1</v>
      </c>
      <c r="AB32" s="1262">
        <f t="shared" si="4"/>
        <v>1</v>
      </c>
      <c r="AC32" s="1810">
        <f t="shared" si="5"/>
        <v>1</v>
      </c>
    </row>
    <row r="33" spans="1:29" ht="15">
      <c r="A33" s="379" t="s">
        <v>1694</v>
      </c>
      <c r="B33" s="60" t="s">
        <v>1817</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88"/>
      <c r="M33" s="2483"/>
      <c r="N33" s="2483"/>
      <c r="O33" s="2483"/>
      <c r="P33" s="3376" t="s">
        <v>1696</v>
      </c>
      <c r="Q33" s="1261" t="str">
        <f t="shared" si="11"/>
        <v>建筑类型</v>
      </c>
      <c r="R33" s="667" t="s">
        <v>14</v>
      </c>
      <c r="S33" s="668">
        <f t="shared" si="12"/>
        <v>100</v>
      </c>
      <c r="T33" s="667" t="s">
        <v>14</v>
      </c>
      <c r="U33" s="668">
        <f t="shared" si="13"/>
        <v>100</v>
      </c>
      <c r="V33" s="667" t="s">
        <v>14</v>
      </c>
      <c r="W33" s="668">
        <f t="shared" si="14"/>
        <v>100</v>
      </c>
      <c r="X33" s="1263"/>
      <c r="Y33" s="3379" t="s">
        <v>1696</v>
      </c>
      <c r="Z33" s="1262" t="str">
        <f t="shared" si="15"/>
        <v>建筑类型</v>
      </c>
      <c r="AA33" s="1262">
        <f t="shared" si="3"/>
        <v>1</v>
      </c>
      <c r="AB33" s="1262">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7"/>
      <c r="M34" s="2489"/>
      <c r="N34" s="2489"/>
      <c r="O34" s="2489"/>
      <c r="P34" s="3377"/>
      <c r="Q34" s="531" t="str">
        <f t="shared" si="11"/>
        <v>项目建筑规模</v>
      </c>
      <c r="R34" s="669" t="s">
        <v>14</v>
      </c>
      <c r="S34" s="670" t="e">
        <f t="shared" si="12"/>
        <v>#N/A</v>
      </c>
      <c r="T34" s="669" t="s">
        <v>14</v>
      </c>
      <c r="U34" s="670" t="e">
        <f t="shared" si="13"/>
        <v>#N/A</v>
      </c>
      <c r="V34" s="669" t="s">
        <v>14</v>
      </c>
      <c r="W34" s="670" t="e">
        <f t="shared" si="14"/>
        <v>#N/A</v>
      </c>
      <c r="X34" s="671"/>
      <c r="Y34" s="3379"/>
      <c r="Z34" s="672" t="str">
        <f t="shared" si="15"/>
        <v>项目建筑规模</v>
      </c>
      <c r="AA34" s="1262" t="e">
        <f t="shared" si="3"/>
        <v>#N/A</v>
      </c>
      <c r="AB34" s="1262"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8"/>
      <c r="M35" s="2483"/>
      <c r="N35" s="2483"/>
      <c r="O35" s="2483"/>
      <c r="P35" s="3377"/>
      <c r="Q35" s="1261" t="str">
        <f t="shared" si="11"/>
        <v>建筑结构</v>
      </c>
      <c r="R35" s="667" t="s">
        <v>14</v>
      </c>
      <c r="S35" s="668">
        <f t="shared" si="12"/>
        <v>100</v>
      </c>
      <c r="T35" s="667" t="s">
        <v>14</v>
      </c>
      <c r="U35" s="668">
        <f t="shared" si="13"/>
        <v>100</v>
      </c>
      <c r="V35" s="667" t="s">
        <v>14</v>
      </c>
      <c r="W35" s="668">
        <f t="shared" si="14"/>
        <v>100</v>
      </c>
      <c r="X35" s="1263"/>
      <c r="Y35" s="3379"/>
      <c r="Z35" s="1262" t="str">
        <f t="shared" si="15"/>
        <v>建筑结构</v>
      </c>
      <c r="AA35" s="1262">
        <f t="shared" si="3"/>
        <v>1</v>
      </c>
      <c r="AB35" s="1262">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8"/>
      <c r="M36" s="2483"/>
      <c r="N36" s="2483"/>
      <c r="O36" s="2483"/>
      <c r="P36" s="3377"/>
      <c r="Q36" s="1261" t="str">
        <f t="shared" si="11"/>
        <v>公共部分装修</v>
      </c>
      <c r="R36" s="667" t="s">
        <v>14</v>
      </c>
      <c r="S36" s="668">
        <f t="shared" si="12"/>
        <v>100</v>
      </c>
      <c r="T36" s="667" t="s">
        <v>14</v>
      </c>
      <c r="U36" s="668">
        <f t="shared" si="13"/>
        <v>100</v>
      </c>
      <c r="V36" s="667" t="s">
        <v>14</v>
      </c>
      <c r="W36" s="668">
        <f t="shared" si="14"/>
        <v>100</v>
      </c>
      <c r="X36" s="1263"/>
      <c r="Y36" s="3379"/>
      <c r="Z36" s="1262" t="str">
        <f t="shared" si="15"/>
        <v>公共部分装修</v>
      </c>
      <c r="AA36" s="1262">
        <f t="shared" si="3"/>
        <v>1</v>
      </c>
      <c r="AB36" s="1262">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8"/>
      <c r="M37" s="2483"/>
      <c r="N37" s="2483"/>
      <c r="O37" s="2483"/>
      <c r="P37" s="3377"/>
      <c r="Q37" s="1261" t="str">
        <f t="shared" si="11"/>
        <v>成新度</v>
      </c>
      <c r="R37" s="667" t="s">
        <v>14</v>
      </c>
      <c r="S37" s="668" t="e">
        <f t="shared" si="12"/>
        <v>#N/A</v>
      </c>
      <c r="T37" s="667" t="s">
        <v>14</v>
      </c>
      <c r="U37" s="668" t="e">
        <f t="shared" si="13"/>
        <v>#N/A</v>
      </c>
      <c r="V37" s="667" t="s">
        <v>14</v>
      </c>
      <c r="W37" s="668" t="e">
        <f t="shared" si="14"/>
        <v>#N/A</v>
      </c>
      <c r="X37" s="1263"/>
      <c r="Y37" s="3379"/>
      <c r="Z37" s="1262" t="str">
        <f t="shared" si="15"/>
        <v>成新度</v>
      </c>
      <c r="AA37" s="1262" t="e">
        <f t="shared" si="3"/>
        <v>#N/A</v>
      </c>
      <c r="AB37" s="1262"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6"/>
      <c r="N38" s="2436"/>
      <c r="O38" s="2436"/>
      <c r="P38" s="3377"/>
      <c r="Q38" s="530" t="str">
        <f t="shared" si="11"/>
        <v>写字楼等级</v>
      </c>
      <c r="R38" s="664" t="s">
        <v>14</v>
      </c>
      <c r="S38" s="665">
        <f t="shared" si="12"/>
        <v>100</v>
      </c>
      <c r="T38" s="664" t="s">
        <v>14</v>
      </c>
      <c r="U38" s="665">
        <f t="shared" si="13"/>
        <v>100</v>
      </c>
      <c r="V38" s="664" t="s">
        <v>14</v>
      </c>
      <c r="W38" s="665">
        <f t="shared" si="14"/>
        <v>100</v>
      </c>
      <c r="X38" s="666"/>
      <c r="Y38" s="337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8"/>
      <c r="M39" s="2483"/>
      <c r="N39" s="2483"/>
      <c r="O39" s="2483"/>
      <c r="P39" s="3377" t="s">
        <v>1696</v>
      </c>
      <c r="Q39" s="1261" t="str">
        <f t="shared" si="11"/>
        <v>物业管理</v>
      </c>
      <c r="R39" s="667" t="s">
        <v>14</v>
      </c>
      <c r="S39" s="668">
        <f t="shared" si="12"/>
        <v>100</v>
      </c>
      <c r="T39" s="667" t="s">
        <v>14</v>
      </c>
      <c r="U39" s="668">
        <f t="shared" si="13"/>
        <v>100</v>
      </c>
      <c r="V39" s="667" t="s">
        <v>14</v>
      </c>
      <c r="W39" s="668">
        <f t="shared" si="14"/>
        <v>100</v>
      </c>
      <c r="X39" s="1263"/>
      <c r="Y39" s="3379" t="s">
        <v>1696</v>
      </c>
      <c r="Z39" s="1262" t="str">
        <f t="shared" si="15"/>
        <v>物业管理</v>
      </c>
      <c r="AA39" s="1262">
        <f t="shared" si="3"/>
        <v>1</v>
      </c>
      <c r="AB39" s="1262">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8"/>
      <c r="M40" s="2483"/>
      <c r="N40" s="2483"/>
      <c r="O40" s="2483"/>
      <c r="P40" s="3377"/>
      <c r="Q40" s="1261" t="str">
        <f t="shared" si="11"/>
        <v>市政基础设施</v>
      </c>
      <c r="R40" s="667" t="s">
        <v>14</v>
      </c>
      <c r="S40" s="668">
        <f t="shared" si="12"/>
        <v>100</v>
      </c>
      <c r="T40" s="667" t="s">
        <v>14</v>
      </c>
      <c r="U40" s="668">
        <f t="shared" si="13"/>
        <v>100</v>
      </c>
      <c r="V40" s="667" t="s">
        <v>14</v>
      </c>
      <c r="W40" s="668">
        <f t="shared" si="14"/>
        <v>100</v>
      </c>
      <c r="X40" s="1263"/>
      <c r="Y40" s="3379"/>
      <c r="Z40" s="1262" t="str">
        <f t="shared" si="15"/>
        <v>市政基础设施</v>
      </c>
      <c r="AA40" s="1262">
        <f t="shared" si="3"/>
        <v>1</v>
      </c>
      <c r="AB40" s="1262">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8"/>
      <c r="M41" s="2483"/>
      <c r="N41" s="2483"/>
      <c r="O41" s="2483"/>
      <c r="P41" s="3377"/>
      <c r="Q41" s="1261" t="str">
        <f t="shared" si="11"/>
        <v>层高</v>
      </c>
      <c r="R41" s="667" t="s">
        <v>14</v>
      </c>
      <c r="S41" s="668">
        <f t="shared" si="12"/>
        <v>100</v>
      </c>
      <c r="T41" s="667" t="s">
        <v>14</v>
      </c>
      <c r="U41" s="668">
        <f t="shared" si="13"/>
        <v>100</v>
      </c>
      <c r="V41" s="667" t="s">
        <v>14</v>
      </c>
      <c r="W41" s="668">
        <f t="shared" si="14"/>
        <v>100</v>
      </c>
      <c r="X41" s="1263"/>
      <c r="Y41" s="3379"/>
      <c r="Z41" s="1262" t="str">
        <f t="shared" si="15"/>
        <v>层高</v>
      </c>
      <c r="AA41" s="1262">
        <f t="shared" si="3"/>
        <v>1</v>
      </c>
      <c r="AB41" s="1262">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377"/>
      <c r="Q42" s="531" t="str">
        <f t="shared" si="11"/>
        <v>单套建筑面积</v>
      </c>
      <c r="R42" s="669" t="s">
        <v>14</v>
      </c>
      <c r="S42" s="670">
        <f t="shared" si="12"/>
        <v>100</v>
      </c>
      <c r="T42" s="669" t="s">
        <v>14</v>
      </c>
      <c r="U42" s="670">
        <f t="shared" si="13"/>
        <v>100</v>
      </c>
      <c r="V42" s="669" t="s">
        <v>14</v>
      </c>
      <c r="W42" s="670">
        <f t="shared" si="14"/>
        <v>100</v>
      </c>
      <c r="X42" s="671"/>
      <c r="Y42" s="3379"/>
      <c r="Z42" s="672" t="str">
        <f t="shared" si="15"/>
        <v>单套建筑面积</v>
      </c>
      <c r="AA42" s="1262">
        <f t="shared" si="3"/>
        <v>1</v>
      </c>
      <c r="AB42" s="1262">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8"/>
      <c r="M43" s="2483"/>
      <c r="N43" s="2483"/>
      <c r="O43" s="2483"/>
      <c r="P43" s="3377"/>
      <c r="Q43" s="1261" t="str">
        <f t="shared" si="11"/>
        <v>内部装修</v>
      </c>
      <c r="R43" s="667" t="s">
        <v>14</v>
      </c>
      <c r="S43" s="668">
        <f t="shared" si="12"/>
        <v>100</v>
      </c>
      <c r="T43" s="667" t="s">
        <v>14</v>
      </c>
      <c r="U43" s="668">
        <f t="shared" si="13"/>
        <v>100</v>
      </c>
      <c r="V43" s="667" t="s">
        <v>14</v>
      </c>
      <c r="W43" s="668">
        <f t="shared" si="14"/>
        <v>100</v>
      </c>
      <c r="X43" s="1263"/>
      <c r="Y43" s="3379"/>
      <c r="Z43" s="1262" t="str">
        <f t="shared" si="15"/>
        <v>内部装修</v>
      </c>
      <c r="AA43" s="1262">
        <f t="shared" si="3"/>
        <v>1</v>
      </c>
      <c r="AB43" s="1262">
        <f t="shared" si="4"/>
        <v>1</v>
      </c>
      <c r="AC43" s="1810">
        <f t="shared" si="5"/>
        <v>1</v>
      </c>
    </row>
    <row r="44" spans="1:29" ht="28.8">
      <c r="A44" s="409"/>
      <c r="B44" s="364" t="s">
        <v>1707</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88"/>
      <c r="M44" s="2483"/>
      <c r="N44" s="2483"/>
      <c r="O44" s="2483"/>
      <c r="P44" s="3377"/>
      <c r="Q44" s="1261" t="str">
        <f t="shared" si="11"/>
        <v>内部装修维护情况</v>
      </c>
      <c r="R44" s="667" t="s">
        <v>14</v>
      </c>
      <c r="S44" s="668">
        <f t="shared" si="12"/>
        <v>100</v>
      </c>
      <c r="T44" s="667" t="s">
        <v>14</v>
      </c>
      <c r="U44" s="668">
        <f t="shared" si="13"/>
        <v>100</v>
      </c>
      <c r="V44" s="667" t="s">
        <v>14</v>
      </c>
      <c r="W44" s="668">
        <f t="shared" si="14"/>
        <v>100</v>
      </c>
      <c r="X44" s="1263"/>
      <c r="Y44" s="3379"/>
      <c r="Z44" s="1262" t="str">
        <f t="shared" si="15"/>
        <v>内部装修维护情况</v>
      </c>
      <c r="AA44" s="1262">
        <f t="shared" si="3"/>
        <v>1</v>
      </c>
      <c r="AB44" s="1262">
        <f t="shared" si="4"/>
        <v>1</v>
      </c>
      <c r="AC44" s="1810">
        <f t="shared" si="5"/>
        <v>1</v>
      </c>
    </row>
    <row r="45" spans="1:29" s="102" customFormat="1" ht="15">
      <c r="A45" s="410"/>
      <c r="B45" s="1064">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6"/>
      <c r="N45" s="2436"/>
      <c r="O45" s="2436"/>
      <c r="P45" s="3377"/>
      <c r="Q45" s="530">
        <f t="shared" si="11"/>
        <v>111</v>
      </c>
      <c r="R45" s="664" t="s">
        <v>14</v>
      </c>
      <c r="S45" s="665">
        <f t="shared" si="12"/>
        <v>100</v>
      </c>
      <c r="T45" s="664" t="s">
        <v>14</v>
      </c>
      <c r="U45" s="665">
        <f t="shared" si="13"/>
        <v>100</v>
      </c>
      <c r="V45" s="664" t="s">
        <v>14</v>
      </c>
      <c r="W45" s="665">
        <f t="shared" si="14"/>
        <v>100</v>
      </c>
      <c r="X45" s="666"/>
      <c r="Y45" s="3379"/>
      <c r="Z45" s="50">
        <f t="shared" si="15"/>
        <v>111</v>
      </c>
      <c r="AA45" s="50">
        <f t="shared" si="3"/>
        <v>1</v>
      </c>
      <c r="AB45" s="50">
        <f t="shared" si="4"/>
        <v>1</v>
      </c>
      <c r="AC45" s="802">
        <f t="shared" si="5"/>
        <v>1</v>
      </c>
    </row>
    <row r="46" spans="1:29" ht="15">
      <c r="A46" s="409"/>
      <c r="B46" s="1064">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377"/>
      <c r="Q46" s="1261">
        <f t="shared" si="11"/>
        <v>111</v>
      </c>
      <c r="R46" s="667" t="s">
        <v>14</v>
      </c>
      <c r="S46" s="668">
        <f t="shared" si="12"/>
        <v>100</v>
      </c>
      <c r="T46" s="667" t="s">
        <v>14</v>
      </c>
      <c r="U46" s="668">
        <f t="shared" si="13"/>
        <v>100</v>
      </c>
      <c r="V46" s="667" t="s">
        <v>14</v>
      </c>
      <c r="W46" s="668">
        <f t="shared" si="14"/>
        <v>100</v>
      </c>
      <c r="X46" s="1263"/>
      <c r="Y46" s="3379"/>
      <c r="Z46" s="1262">
        <f t="shared" si="15"/>
        <v>111</v>
      </c>
      <c r="AA46" s="1262">
        <f t="shared" si="3"/>
        <v>1</v>
      </c>
      <c r="AB46" s="1262">
        <f t="shared" si="4"/>
        <v>1</v>
      </c>
      <c r="AC46" s="1810">
        <f t="shared" si="5"/>
        <v>1</v>
      </c>
    </row>
    <row r="47" spans="1:29" ht="15.6"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378"/>
      <c r="Q47" s="1261">
        <f t="shared" si="11"/>
        <v>111</v>
      </c>
      <c r="R47" s="667" t="s">
        <v>14</v>
      </c>
      <c r="S47" s="668">
        <f t="shared" si="12"/>
        <v>100</v>
      </c>
      <c r="T47" s="667" t="s">
        <v>14</v>
      </c>
      <c r="U47" s="668">
        <f t="shared" si="13"/>
        <v>100</v>
      </c>
      <c r="V47" s="667" t="s">
        <v>14</v>
      </c>
      <c r="W47" s="668">
        <f t="shared" si="14"/>
        <v>100</v>
      </c>
      <c r="X47" s="1263"/>
      <c r="Y47" s="3380"/>
      <c r="Z47" s="1262">
        <f t="shared" si="15"/>
        <v>111</v>
      </c>
      <c r="AA47" s="1262">
        <f t="shared" si="3"/>
        <v>1</v>
      </c>
      <c r="AB47" s="1262">
        <f t="shared" si="4"/>
        <v>1</v>
      </c>
      <c r="AC47" s="1810">
        <f t="shared" si="5"/>
        <v>1</v>
      </c>
    </row>
    <row r="48" spans="1:29" ht="14.4">
      <c r="A48" s="416" t="s">
        <v>1708</v>
      </c>
      <c r="B48" s="417"/>
      <c r="C48" s="1079" t="s">
        <v>0</v>
      </c>
      <c r="D48" s="418"/>
      <c r="E48" s="419"/>
      <c r="F48" s="420"/>
      <c r="G48" s="421"/>
      <c r="H48" s="422"/>
      <c r="I48" s="419"/>
      <c r="J48" s="422"/>
      <c r="K48" s="674"/>
      <c r="L48" s="2490"/>
      <c r="M48" s="2483"/>
      <c r="N48" s="2483"/>
      <c r="O48" s="2483"/>
      <c r="P48" s="3381" t="str">
        <f>A48</f>
        <v>成交单价（元/平方米）</v>
      </c>
      <c r="Q48" s="3367"/>
      <c r="R48" s="3368">
        <f>E48</f>
        <v>0</v>
      </c>
      <c r="S48" s="3368"/>
      <c r="T48" s="3368">
        <f>G48</f>
        <v>0</v>
      </c>
      <c r="U48" s="3368"/>
      <c r="V48" s="3368">
        <f>I48</f>
        <v>0</v>
      </c>
      <c r="W48" s="3368"/>
      <c r="X48" s="385"/>
      <c r="Y48" s="673"/>
      <c r="Z48" s="385"/>
      <c r="AA48" s="385"/>
      <c r="AB48" s="385"/>
      <c r="AC48" s="555"/>
    </row>
    <row r="49" spans="1:29" ht="15" thickBot="1">
      <c r="A49" s="423" t="s">
        <v>1793</v>
      </c>
      <c r="B49" s="424"/>
      <c r="C49" s="1080" t="e">
        <f>R50</f>
        <v>#DIV/0!</v>
      </c>
      <c r="D49" s="2138" t="s">
        <v>2133</v>
      </c>
      <c r="E49" s="1081" t="e">
        <f>R49</f>
        <v>#DIV/0!</v>
      </c>
      <c r="F49" s="2139"/>
      <c r="G49" s="1080" t="e">
        <f>T49</f>
        <v>#DIV/0!</v>
      </c>
      <c r="H49" s="2139"/>
      <c r="I49" s="1081" t="e">
        <f>V49</f>
        <v>#DIV/0!</v>
      </c>
      <c r="J49" s="2139"/>
      <c r="K49" s="2141">
        <f>F49+H49+J49</f>
        <v>0</v>
      </c>
      <c r="L49" s="2490"/>
      <c r="M49" s="2483"/>
      <c r="N49" s="2483"/>
      <c r="O49" s="2483"/>
      <c r="P49" s="3381" t="str">
        <f>A49</f>
        <v>比较价值（元/平方米）</v>
      </c>
      <c r="Q49" s="3367"/>
      <c r="R49" s="3368" t="e">
        <f>IF(F1="售价",ROUND(PRODUCT(R48,AA7:AA47),0),ROUND(PRODUCT(R48,AA7:AA47),1))</f>
        <v>#DIV/0!</v>
      </c>
      <c r="S49" s="3368"/>
      <c r="T49" s="3368" t="e">
        <f>IF(F1="售价",ROUND(PRODUCT(T48,AB7:AB47),0),ROUND(PRODUCT(T48,AB7:AB47),1))</f>
        <v>#DIV/0!</v>
      </c>
      <c r="U49" s="3368"/>
      <c r="V49" s="3368" t="e">
        <f>IF(F1="售价",ROUND(PRODUCT(V48,AC7:AC47),0),ROUND(PRODUCT(V48,AC7:AC47),1))</f>
        <v>#DIV/0!</v>
      </c>
      <c r="W49" s="3368"/>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0"/>
      <c r="M50" s="2483"/>
      <c r="N50" s="2483"/>
      <c r="O50" s="2483"/>
      <c r="P50" s="3446" t="str">
        <f>A50</f>
        <v>估价对象XX用房的比较价值（楼面单价，元/平方米）</v>
      </c>
      <c r="Q50" s="3447"/>
      <c r="R50" s="3448" t="e">
        <f>IF(F1="售价",ROUND(IF(D49="简单平均",AVERAGE(R49:V49),R49*F49+T49*H49+V49*J49),0),ROUND(IF(D49="简单平均",AVERAGE(R49:V49),R49*F49+T49*H49+V49*J49),1))</f>
        <v>#DIV/0!</v>
      </c>
      <c r="S50" s="3448"/>
      <c r="T50" s="3448"/>
      <c r="U50" s="3448"/>
      <c r="V50" s="3448"/>
      <c r="W50" s="3448"/>
      <c r="X50" s="1796"/>
      <c r="Y50" s="1796"/>
      <c r="Z50" s="1796"/>
      <c r="AA50" s="1796"/>
      <c r="AB50" s="1796"/>
      <c r="AC50" s="1797"/>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2.2" thickBot="1">
      <c r="A58" s="658" t="s">
        <v>1798</v>
      </c>
      <c r="B58" s="385"/>
      <c r="C58" s="659"/>
      <c r="D58" s="659"/>
      <c r="E58" s="659"/>
      <c r="F58" s="660"/>
      <c r="G58" s="660"/>
      <c r="H58" s="659"/>
      <c r="I58" s="659"/>
      <c r="J58" s="659"/>
      <c r="K58" s="661"/>
      <c r="L58" s="886"/>
      <c r="M58" s="884"/>
      <c r="N58" s="2533"/>
      <c r="O58" s="2533"/>
      <c r="P58" s="2522"/>
      <c r="Q58" s="2504"/>
      <c r="R58" s="2483"/>
      <c r="S58" s="2483"/>
      <c r="T58" s="2483"/>
      <c r="U58" s="2483"/>
      <c r="V58" s="2483"/>
      <c r="W58" s="2483"/>
      <c r="X58" s="2483"/>
      <c r="Y58" s="2483"/>
      <c r="Z58" s="2483"/>
      <c r="AA58" s="2483"/>
      <c r="AB58" s="2483"/>
      <c r="AC58" s="2483"/>
    </row>
    <row r="59" spans="1:29" s="442" customFormat="1" ht="14.4">
      <c r="A59" s="440" t="s">
        <v>1679</v>
      </c>
      <c r="B59" s="441"/>
      <c r="C59" s="1101" t="str">
        <f>YEAR(C7)&amp;"-"&amp;MONTH(C7)</f>
        <v>2025-5</v>
      </c>
      <c r="D59" s="1102">
        <f>EDATE(C59,-1)</f>
        <v>45748</v>
      </c>
      <c r="E59" s="1102">
        <f>EDATE(D59,-1)</f>
        <v>45717</v>
      </c>
      <c r="F59" s="1102">
        <f t="shared" ref="F59:O59" si="16">EDATE(E59,-1)</f>
        <v>45689</v>
      </c>
      <c r="G59" s="1102">
        <f t="shared" si="16"/>
        <v>45658</v>
      </c>
      <c r="H59" s="1102">
        <f t="shared" si="16"/>
        <v>45627</v>
      </c>
      <c r="I59" s="1102">
        <f t="shared" si="16"/>
        <v>45597</v>
      </c>
      <c r="J59" s="1102">
        <f t="shared" si="16"/>
        <v>45566</v>
      </c>
      <c r="K59" s="1102">
        <f t="shared" si="16"/>
        <v>45536</v>
      </c>
      <c r="L59" s="1102">
        <f t="shared" si="16"/>
        <v>45505</v>
      </c>
      <c r="M59" s="1102">
        <f t="shared" si="16"/>
        <v>45474</v>
      </c>
      <c r="N59" s="1102">
        <f t="shared" si="16"/>
        <v>45444</v>
      </c>
      <c r="O59" s="1102">
        <f t="shared" si="16"/>
        <v>45413</v>
      </c>
      <c r="P59" s="2523"/>
      <c r="Q59" s="2506"/>
      <c r="R59" s="2506"/>
      <c r="S59" s="2506"/>
      <c r="T59" s="2506"/>
      <c r="U59" s="2506"/>
      <c r="V59" s="2506"/>
      <c r="W59" s="2506"/>
      <c r="X59" s="2506"/>
      <c r="Y59" s="2506"/>
      <c r="Z59" s="2506"/>
      <c r="AA59" s="2506"/>
      <c r="AB59" s="2506"/>
      <c r="AC59" s="2506"/>
    </row>
    <row r="60" spans="1:29" s="102" customFormat="1">
      <c r="A60" s="443"/>
      <c r="B60" s="444"/>
      <c r="C60" s="1100">
        <v>100</v>
      </c>
      <c r="D60" s="446"/>
      <c r="E60" s="446"/>
      <c r="F60" s="446"/>
      <c r="G60" s="446"/>
      <c r="H60" s="446"/>
      <c r="I60" s="446"/>
      <c r="J60" s="446"/>
      <c r="K60" s="446"/>
      <c r="L60" s="446"/>
      <c r="M60" s="447"/>
      <c r="N60" s="446"/>
      <c r="O60" s="447"/>
      <c r="P60" s="2524"/>
      <c r="Q60" s="2436"/>
      <c r="R60" s="2436"/>
      <c r="S60" s="2436"/>
      <c r="T60" s="2436"/>
      <c r="U60" s="2436"/>
      <c r="V60" s="2436"/>
      <c r="W60" s="2436"/>
      <c r="X60" s="2436"/>
      <c r="Y60" s="2436"/>
      <c r="Z60" s="2436"/>
      <c r="AA60" s="2436"/>
      <c r="AB60" s="2436"/>
      <c r="AC60" s="2436"/>
    </row>
    <row r="61" spans="1:29" s="102" customFormat="1" ht="15" thickBot="1">
      <c r="A61" s="449" t="s">
        <v>1716</v>
      </c>
      <c r="B61" s="450"/>
      <c r="C61" s="451"/>
      <c r="D61" s="452"/>
      <c r="E61" s="452"/>
      <c r="F61" s="452"/>
      <c r="G61" s="452"/>
      <c r="H61" s="452"/>
      <c r="I61" s="452"/>
      <c r="J61" s="452"/>
      <c r="K61" s="452"/>
      <c r="L61" s="452"/>
      <c r="M61" s="453"/>
      <c r="N61" s="452"/>
      <c r="O61" s="453"/>
      <c r="P61" s="2524"/>
      <c r="Q61" s="2504"/>
      <c r="R61" s="2436"/>
      <c r="S61" s="2436"/>
      <c r="T61" s="2436"/>
      <c r="U61" s="2436"/>
      <c r="V61" s="2436"/>
      <c r="W61" s="2436"/>
      <c r="X61" s="2436"/>
      <c r="Y61" s="2436"/>
      <c r="Z61" s="2436"/>
      <c r="AA61" s="2436"/>
      <c r="AB61" s="2436"/>
      <c r="AC61" s="2436"/>
    </row>
    <row r="62" spans="1:29" s="102" customFormat="1" ht="14.4">
      <c r="A62" s="455" t="s">
        <v>1681</v>
      </c>
      <c r="B62" s="444"/>
      <c r="C62" s="456" t="s">
        <v>1776</v>
      </c>
      <c r="D62" s="31"/>
      <c r="E62" s="31"/>
      <c r="F62" s="31"/>
      <c r="G62" s="31"/>
      <c r="H62" s="31"/>
      <c r="I62" s="31"/>
      <c r="J62" s="31"/>
      <c r="K62" s="31"/>
      <c r="L62" s="457"/>
      <c r="M62" s="458"/>
      <c r="N62" s="2516"/>
      <c r="O62" s="2516"/>
      <c r="P62" s="2525"/>
      <c r="Q62" s="2504"/>
      <c r="R62" s="2436"/>
      <c r="S62" s="2436"/>
      <c r="T62" s="2436"/>
      <c r="U62" s="2436"/>
      <c r="V62" s="2436"/>
      <c r="W62" s="2436"/>
      <c r="X62" s="2436"/>
      <c r="Y62" s="2436"/>
      <c r="Z62" s="2436"/>
      <c r="AA62" s="2436"/>
      <c r="AB62" s="2436"/>
      <c r="AC62" s="2436"/>
    </row>
    <row r="63" spans="1:29" s="102" customFormat="1" ht="14.4" thickBot="1">
      <c r="A63" s="455"/>
      <c r="B63" s="444"/>
      <c r="C63" s="445">
        <v>100</v>
      </c>
      <c r="D63" s="446"/>
      <c r="E63" s="446"/>
      <c r="F63" s="446"/>
      <c r="G63" s="446"/>
      <c r="H63" s="446"/>
      <c r="I63" s="446"/>
      <c r="J63" s="446"/>
      <c r="K63" s="446"/>
      <c r="L63" s="446"/>
      <c r="M63" s="448"/>
      <c r="N63" s="2516"/>
      <c r="O63" s="2516"/>
      <c r="P63" s="2524"/>
      <c r="Q63" s="2504"/>
      <c r="R63" s="2436"/>
      <c r="S63" s="2436"/>
      <c r="T63" s="2436"/>
      <c r="U63" s="2436"/>
      <c r="V63" s="2436"/>
      <c r="W63" s="2436"/>
      <c r="X63" s="2436"/>
      <c r="Y63" s="2436"/>
      <c r="Z63" s="2436"/>
      <c r="AA63" s="2436"/>
      <c r="AB63" s="2436"/>
      <c r="AC63" s="2436"/>
    </row>
    <row r="64" spans="1:29" ht="14.4">
      <c r="A64" s="379" t="s">
        <v>1719</v>
      </c>
      <c r="B64" s="460" t="s">
        <v>1685</v>
      </c>
      <c r="C64" s="461">
        <f>C9</f>
        <v>0</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4.4"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9.4" thickTop="1">
      <c r="A66" s="367"/>
      <c r="B66" s="469" t="s">
        <v>1688</v>
      </c>
      <c r="C66" s="513"/>
      <c r="D66" s="513"/>
      <c r="E66" s="513"/>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4.4" thickBot="1">
      <c r="A67" s="367"/>
      <c r="B67" s="474"/>
      <c r="C67" s="467"/>
      <c r="D67" s="467"/>
      <c r="E67" s="467"/>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8"/>
      <c r="O70" s="2518"/>
      <c r="P70" s="2526"/>
      <c r="Q70" s="2504"/>
      <c r="R70" s="2483"/>
      <c r="S70" s="2483"/>
      <c r="T70" s="2483"/>
      <c r="U70" s="2483"/>
      <c r="V70" s="2483"/>
      <c r="W70" s="2483"/>
      <c r="X70" s="2483"/>
      <c r="Y70" s="2483"/>
      <c r="Z70" s="2483"/>
      <c r="AA70" s="2483"/>
      <c r="AB70" s="2483"/>
      <c r="AC70" s="2483"/>
    </row>
    <row r="71" spans="1:29" s="408" customFormat="1" ht="14.4"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4.4"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4.4"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4.4"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4.4"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4.4"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ht="14.4">
      <c r="A77" s="379" t="s">
        <v>1690</v>
      </c>
      <c r="B77" s="460" t="s">
        <v>1821</v>
      </c>
      <c r="C77" s="504" t="s">
        <v>1721</v>
      </c>
      <c r="D77" s="504" t="s">
        <v>1722</v>
      </c>
      <c r="E77" s="504" t="s">
        <v>1723</v>
      </c>
      <c r="F77" s="504" t="s">
        <v>1724</v>
      </c>
      <c r="G77" s="504" t="s">
        <v>1725</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 thickTop="1">
      <c r="A79" s="367"/>
      <c r="B79" s="469" t="s">
        <v>1726</v>
      </c>
      <c r="C79" s="509" t="s">
        <v>1721</v>
      </c>
      <c r="D79" s="509" t="s">
        <v>1722</v>
      </c>
      <c r="E79" s="509" t="s">
        <v>1723</v>
      </c>
      <c r="F79" s="509" t="s">
        <v>1724</v>
      </c>
      <c r="G79" s="509" t="s">
        <v>1725</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 thickTop="1">
      <c r="A81" s="367"/>
      <c r="B81" s="469" t="s">
        <v>1727</v>
      </c>
      <c r="C81" s="509" t="s">
        <v>1721</v>
      </c>
      <c r="D81" s="509" t="s">
        <v>1722</v>
      </c>
      <c r="E81" s="509" t="s">
        <v>1723</v>
      </c>
      <c r="F81" s="509" t="s">
        <v>1724</v>
      </c>
      <c r="G81" s="509" t="s">
        <v>1725</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 thickTop="1">
      <c r="A83" s="367"/>
      <c r="B83" s="477" t="s">
        <v>1813</v>
      </c>
      <c r="C83" s="581" t="s">
        <v>1799</v>
      </c>
      <c r="D83" s="581" t="s">
        <v>1800</v>
      </c>
      <c r="E83" s="581" t="s">
        <v>1801</v>
      </c>
      <c r="F83" s="581" t="s">
        <v>1802</v>
      </c>
      <c r="G83" s="581" t="s">
        <v>1803</v>
      </c>
      <c r="H83" s="470"/>
      <c r="I83" s="470"/>
      <c r="J83" s="470"/>
      <c r="K83" s="470"/>
      <c r="L83" s="470"/>
      <c r="M83" s="1061"/>
      <c r="N83" s="2518"/>
      <c r="O83" s="2518"/>
      <c r="P83" s="2526"/>
      <c r="Q83" s="2504"/>
      <c r="R83" s="2483"/>
      <c r="S83" s="2483"/>
      <c r="T83" s="2483"/>
      <c r="U83" s="2483"/>
      <c r="V83" s="2483"/>
      <c r="W83" s="2483"/>
      <c r="X83" s="2483"/>
      <c r="Y83" s="2483"/>
      <c r="Z83" s="2483"/>
      <c r="AA83" s="2483"/>
      <c r="AB83" s="2483"/>
      <c r="AC83" s="2483"/>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 thickTop="1">
      <c r="A85" s="367"/>
      <c r="B85" s="469" t="s">
        <v>1822</v>
      </c>
      <c r="C85" s="509" t="s">
        <v>1721</v>
      </c>
      <c r="D85" s="509" t="s">
        <v>1722</v>
      </c>
      <c r="E85" s="509" t="s">
        <v>1723</v>
      </c>
      <c r="F85" s="509" t="s">
        <v>1724</v>
      </c>
      <c r="G85" s="509" t="s">
        <v>1725</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9.4" thickTop="1">
      <c r="A87" s="370"/>
      <c r="B87" s="469" t="s">
        <v>1823</v>
      </c>
      <c r="C87" s="485"/>
      <c r="D87" s="485"/>
      <c r="E87" s="485"/>
      <c r="F87" s="485"/>
      <c r="G87" s="485"/>
      <c r="H87" s="485"/>
      <c r="I87" s="485"/>
      <c r="J87" s="485"/>
      <c r="K87" s="485"/>
      <c r="L87" s="510"/>
      <c r="M87" s="511"/>
      <c r="N87" s="2516"/>
      <c r="O87" s="2516"/>
      <c r="P87" s="2526"/>
      <c r="Q87" s="2504"/>
      <c r="R87" s="2436"/>
      <c r="S87" s="2436"/>
      <c r="T87" s="2436"/>
      <c r="U87" s="2436"/>
      <c r="V87" s="2436"/>
      <c r="W87" s="2436"/>
      <c r="X87" s="2436"/>
      <c r="Y87" s="2436"/>
      <c r="Z87" s="2436"/>
      <c r="AA87" s="2436"/>
      <c r="AB87" s="2436"/>
      <c r="AC87" s="2436"/>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8"/>
      <c r="O88" s="2518"/>
      <c r="P88" s="2526"/>
      <c r="Q88" s="2504"/>
      <c r="R88" s="2436"/>
      <c r="S88" s="2436"/>
      <c r="T88" s="2436"/>
      <c r="U88" s="2436"/>
      <c r="V88" s="2436"/>
      <c r="W88" s="2436"/>
      <c r="X88" s="2436"/>
      <c r="Y88" s="2436"/>
      <c r="Z88" s="2436"/>
      <c r="AA88" s="2436"/>
      <c r="AB88" s="2436"/>
      <c r="AC88" s="2436"/>
    </row>
    <row r="89" spans="1:29" s="102" customFormat="1" ht="14.4" thickTop="1">
      <c r="A89" s="370"/>
      <c r="B89" s="469" t="str">
        <f>B27</f>
        <v>楼层</v>
      </c>
      <c r="C89" s="485"/>
      <c r="D89" s="485"/>
      <c r="E89" s="485"/>
      <c r="F89" s="1778"/>
      <c r="G89" s="485"/>
      <c r="H89" s="485"/>
      <c r="I89" s="485"/>
      <c r="J89" s="485"/>
      <c r="K89" s="485"/>
      <c r="L89" s="485"/>
      <c r="M89" s="511"/>
      <c r="N89" s="2516"/>
      <c r="O89" s="2516"/>
      <c r="P89" s="2526"/>
      <c r="Q89" s="2504"/>
      <c r="R89" s="2436"/>
      <c r="S89" s="2436"/>
      <c r="T89" s="2436"/>
      <c r="U89" s="2436"/>
      <c r="V89" s="2436"/>
      <c r="W89" s="2436"/>
      <c r="X89" s="2436"/>
      <c r="Y89" s="2436"/>
      <c r="Z89" s="2436"/>
      <c r="AA89" s="2436"/>
      <c r="AB89" s="2436"/>
      <c r="AC89" s="2436"/>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8"/>
      <c r="O90" s="2518"/>
      <c r="P90" s="2526"/>
      <c r="Q90" s="2504"/>
      <c r="R90" s="2436"/>
      <c r="S90" s="2436"/>
      <c r="T90" s="2436"/>
      <c r="U90" s="2436"/>
      <c r="V90" s="2436"/>
      <c r="W90" s="2436"/>
      <c r="X90" s="2436"/>
      <c r="Y90" s="2436"/>
      <c r="Z90" s="2436"/>
      <c r="AA90" s="2436"/>
      <c r="AB90" s="2436"/>
      <c r="AC90" s="2436"/>
    </row>
    <row r="91" spans="1:29" s="408" customFormat="1" ht="14.4"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9"/>
      <c r="O92" s="2519"/>
      <c r="P92" s="2527"/>
      <c r="Q92" s="2511"/>
      <c r="R92" s="2489"/>
      <c r="S92" s="2489"/>
      <c r="T92" s="2489"/>
      <c r="U92" s="2489"/>
      <c r="V92" s="2489"/>
      <c r="W92" s="2489"/>
      <c r="X92" s="2489"/>
      <c r="Y92" s="2489"/>
      <c r="Z92" s="2489"/>
      <c r="AA92" s="2489"/>
      <c r="AB92" s="2489"/>
      <c r="AC92" s="2489"/>
    </row>
    <row r="93" spans="1:29" ht="14.4"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4.4"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4.4"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4.4"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4.4"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4.4"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ht="14.4">
      <c r="A101" s="379" t="s">
        <v>1694</v>
      </c>
      <c r="B101" s="460" t="s">
        <v>1736</v>
      </c>
      <c r="C101" s="462"/>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8"/>
      <c r="O102" s="2518"/>
      <c r="P102" s="2526"/>
      <c r="Q102" s="2504"/>
      <c r="R102" s="2483"/>
      <c r="S102" s="2483"/>
      <c r="T102" s="2483"/>
      <c r="U102" s="2483"/>
      <c r="V102" s="2483"/>
      <c r="W102" s="2483"/>
      <c r="X102" s="2483"/>
      <c r="Y102" s="2483"/>
      <c r="Z102" s="2483"/>
      <c r="AA102" s="2483"/>
      <c r="AB102" s="2483"/>
      <c r="AC102" s="2483"/>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c r="D104" s="6"/>
      <c r="E104" s="6"/>
      <c r="F104" s="6"/>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4.4" thickBot="1">
      <c r="A105" s="484"/>
      <c r="B105" s="474"/>
      <c r="C105" s="491"/>
      <c r="D105" s="467"/>
      <c r="E105" s="467"/>
      <c r="F105" s="467"/>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1738</v>
      </c>
      <c r="C106" s="485"/>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1740</v>
      </c>
      <c r="C108" s="485"/>
      <c r="D108" s="485"/>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1824</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1741</v>
      </c>
      <c r="C115" s="485"/>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1742</v>
      </c>
      <c r="C117" s="485"/>
      <c r="D117" s="485"/>
      <c r="E117" s="485"/>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1825</v>
      </c>
      <c r="C119" s="513"/>
      <c r="D119" s="513"/>
      <c r="E119" s="513"/>
      <c r="F119" s="513"/>
      <c r="G119" s="513"/>
      <c r="H119" s="513"/>
      <c r="I119" s="513"/>
      <c r="J119" s="513"/>
      <c r="K119" s="513"/>
      <c r="L119" s="1814"/>
      <c r="M119" s="1815"/>
      <c r="N119" s="2518"/>
      <c r="O119" s="2518"/>
      <c r="P119" s="2531"/>
      <c r="Q119" s="2532"/>
      <c r="R119" s="2483"/>
      <c r="S119" s="2483"/>
      <c r="T119" s="2483"/>
      <c r="U119" s="2483"/>
      <c r="V119" s="2483"/>
      <c r="W119" s="2483"/>
      <c r="X119" s="2483"/>
      <c r="Y119" s="2483"/>
      <c r="Z119" s="2483"/>
      <c r="AA119" s="2483"/>
      <c r="AB119" s="2483"/>
      <c r="AC119" s="2483"/>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1808</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4.4"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1744</v>
      </c>
      <c r="C123" s="485"/>
      <c r="D123" s="485"/>
      <c r="E123" s="485"/>
      <c r="F123" s="513"/>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8"/>
      <c r="O124" s="2518"/>
      <c r="P124" s="2526"/>
      <c r="Q124" s="2504"/>
      <c r="R124" s="2483"/>
      <c r="S124" s="2483"/>
      <c r="T124" s="2483"/>
      <c r="U124" s="2483"/>
      <c r="V124" s="2483"/>
      <c r="W124" s="2483"/>
      <c r="X124" s="2483"/>
      <c r="Y124" s="2483"/>
      <c r="Z124" s="2483"/>
      <c r="AA124" s="2483"/>
      <c r="AB124" s="2483"/>
      <c r="AC124" s="2483"/>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4.4"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4.4"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4.4"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4.4"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4.4"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4.4"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806" t="s">
        <v>1826</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IF(E1="项目模式",IF(C2="——",ROUND(C43*D3/10000,0),ROUND(C43*D3/10000,0)-D2),IF(E1="单套模式",IF(C2="——",ROUND(C43*D3/10000,4),ROUND(C43*D3/10000,4)-D2)))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3"/>
      <c r="L2" s="856"/>
      <c r="M2" s="857"/>
      <c r="N2" s="857"/>
      <c r="O2" s="857"/>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245.74</v>
      </c>
      <c r="E3" s="853"/>
      <c r="F3" s="854"/>
      <c r="G3" s="853"/>
      <c r="H3" s="853"/>
      <c r="I3" s="853"/>
      <c r="J3" s="853"/>
      <c r="K3" s="855"/>
      <c r="L3" s="856"/>
      <c r="M3" s="857"/>
      <c r="N3" s="857"/>
      <c r="O3" s="857"/>
      <c r="P3" s="341"/>
      <c r="Q3" s="341"/>
      <c r="R3" s="341"/>
      <c r="S3" s="341"/>
      <c r="T3" s="341"/>
      <c r="U3" s="341"/>
      <c r="V3" s="341"/>
      <c r="W3" s="341"/>
      <c r="X3" s="341"/>
      <c r="Y3" s="341"/>
      <c r="Z3" s="341"/>
      <c r="AA3" s="341"/>
      <c r="AB3" s="676"/>
      <c r="AC3" s="663"/>
    </row>
    <row r="4" spans="1:29" ht="14.4">
      <c r="A4" s="345" t="s">
        <v>1769</v>
      </c>
      <c r="B4" s="346"/>
      <c r="C4" s="3385" t="s">
        <v>1770</v>
      </c>
      <c r="D4" s="3386"/>
      <c r="E4" s="3387" t="s">
        <v>1771</v>
      </c>
      <c r="F4" s="3388"/>
      <c r="G4" s="3385" t="s">
        <v>1772</v>
      </c>
      <c r="H4" s="3386"/>
      <c r="I4" s="3385" t="s">
        <v>1773</v>
      </c>
      <c r="J4" s="3386"/>
      <c r="K4" s="537" t="s">
        <v>1774</v>
      </c>
      <c r="L4" s="858"/>
      <c r="M4" s="859"/>
      <c r="N4" s="859"/>
      <c r="O4" s="859"/>
      <c r="P4" s="3389" t="s">
        <v>1775</v>
      </c>
      <c r="Q4" s="3390"/>
      <c r="R4" s="3395" t="s">
        <v>1771</v>
      </c>
      <c r="S4" s="3396"/>
      <c r="T4" s="3395" t="s">
        <v>1772</v>
      </c>
      <c r="U4" s="3396"/>
      <c r="V4" s="3368" t="s">
        <v>1773</v>
      </c>
      <c r="W4" s="3368"/>
      <c r="X4" s="1263"/>
      <c r="Y4" s="3395" t="s">
        <v>1775</v>
      </c>
      <c r="Z4" s="3396"/>
      <c r="AA4" s="3382" t="s">
        <v>1771</v>
      </c>
      <c r="AB4" s="3383" t="s">
        <v>1772</v>
      </c>
      <c r="AC4" s="3382" t="s">
        <v>1773</v>
      </c>
    </row>
    <row r="5" spans="1:29">
      <c r="A5" s="348"/>
      <c r="B5" s="349"/>
      <c r="C5" s="3403" t="s">
        <v>1673</v>
      </c>
      <c r="D5" s="3404"/>
      <c r="E5" s="3411" t="s">
        <v>1674</v>
      </c>
      <c r="F5" s="3412"/>
      <c r="G5" s="3403" t="s">
        <v>1675</v>
      </c>
      <c r="H5" s="3404"/>
      <c r="I5" s="3403" t="s">
        <v>1676</v>
      </c>
      <c r="J5" s="3404"/>
      <c r="K5" s="537"/>
      <c r="L5" s="858"/>
      <c r="M5" s="859"/>
      <c r="N5" s="859"/>
      <c r="O5" s="859"/>
      <c r="P5" s="3391"/>
      <c r="Q5" s="3392"/>
      <c r="R5" s="3397"/>
      <c r="S5" s="3398"/>
      <c r="T5" s="3397"/>
      <c r="U5" s="3398"/>
      <c r="V5" s="3368"/>
      <c r="W5" s="3368"/>
      <c r="X5" s="1263"/>
      <c r="Y5" s="3397"/>
      <c r="Z5" s="3398"/>
      <c r="AA5" s="3383"/>
      <c r="AB5" s="3383"/>
      <c r="AC5" s="3383"/>
    </row>
    <row r="6" spans="1:29" ht="15" thickBot="1">
      <c r="A6" s="350"/>
      <c r="B6" s="351"/>
      <c r="C6" s="3401" t="s">
        <v>1677</v>
      </c>
      <c r="D6" s="3402"/>
      <c r="E6" s="3409" t="s">
        <v>1677</v>
      </c>
      <c r="F6" s="3410"/>
      <c r="G6" s="3401" t="s">
        <v>1677</v>
      </c>
      <c r="H6" s="3402"/>
      <c r="I6" s="3401" t="s">
        <v>1677</v>
      </c>
      <c r="J6" s="3402"/>
      <c r="K6" s="537" t="s">
        <v>1678</v>
      </c>
      <c r="L6" s="858"/>
      <c r="M6" s="859"/>
      <c r="N6" s="859"/>
      <c r="O6" s="859"/>
      <c r="P6" s="3393"/>
      <c r="Q6" s="3394"/>
      <c r="R6" s="3397"/>
      <c r="S6" s="3398"/>
      <c r="T6" s="3399"/>
      <c r="U6" s="3400"/>
      <c r="V6" s="3368"/>
      <c r="W6" s="3368"/>
      <c r="X6" s="1263"/>
      <c r="Y6" s="3399"/>
      <c r="Z6" s="3400"/>
      <c r="AA6" s="3384"/>
      <c r="AB6" s="3384"/>
      <c r="AC6" s="3384"/>
    </row>
    <row r="7" spans="1:29" s="102" customFormat="1" ht="15" thickBot="1">
      <c r="A7" s="352" t="s">
        <v>1679</v>
      </c>
      <c r="B7" s="353"/>
      <c r="C7" s="354">
        <f>'数据-取费表'!B2</f>
        <v>45793</v>
      </c>
      <c r="D7" s="355">
        <v>100</v>
      </c>
      <c r="E7" s="356"/>
      <c r="F7" s="357">
        <f>SUMIF(52:52,YEAR(E7)&amp;"-"&amp;MONTH(E7),53:53)</f>
        <v>0</v>
      </c>
      <c r="G7" s="356"/>
      <c r="H7" s="355">
        <f>SUMIF(52:52,YEAR(G7)&amp;"-"&amp;MONTH(G7),53:53)</f>
        <v>0</v>
      </c>
      <c r="I7" s="356"/>
      <c r="J7" s="355">
        <f>SUMIF(52:52,YEAR(I7)&amp;"-"&amp;MONTH(I7),53:53)</f>
        <v>0</v>
      </c>
      <c r="K7" s="38"/>
      <c r="L7" s="860"/>
      <c r="M7" s="861"/>
      <c r="N7" s="861"/>
      <c r="O7" s="861"/>
      <c r="P7" s="3405" t="s">
        <v>1680</v>
      </c>
      <c r="Q7" s="3407"/>
      <c r="R7" s="664" t="s">
        <v>14</v>
      </c>
      <c r="S7" s="665">
        <f t="shared" ref="S7:S15" si="0">F7</f>
        <v>0</v>
      </c>
      <c r="T7" s="664" t="s">
        <v>14</v>
      </c>
      <c r="U7" s="665">
        <f t="shared" ref="U7:U15" si="1">H7</f>
        <v>0</v>
      </c>
      <c r="V7" s="664" t="s">
        <v>14</v>
      </c>
      <c r="W7" s="665">
        <f t="shared" ref="W7:W15" si="2">J7</f>
        <v>0</v>
      </c>
      <c r="X7" s="666"/>
      <c r="Y7" s="3405" t="s">
        <v>1680</v>
      </c>
      <c r="Z7" s="3406"/>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0"/>
      <c r="M8" s="861"/>
      <c r="N8" s="861"/>
      <c r="O8" s="861"/>
      <c r="P8" s="3405" t="s">
        <v>1683</v>
      </c>
      <c r="Q8" s="3406"/>
      <c r="R8" s="664" t="s">
        <v>14</v>
      </c>
      <c r="S8" s="665">
        <f t="shared" si="0"/>
        <v>100</v>
      </c>
      <c r="T8" s="664" t="s">
        <v>14</v>
      </c>
      <c r="U8" s="665">
        <f t="shared" si="1"/>
        <v>100</v>
      </c>
      <c r="V8" s="664" t="s">
        <v>14</v>
      </c>
      <c r="W8" s="665">
        <f t="shared" si="2"/>
        <v>100</v>
      </c>
      <c r="X8" s="666"/>
      <c r="Y8" s="3405" t="s">
        <v>1683</v>
      </c>
      <c r="Z8" s="3406"/>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0"/>
      <c r="M9" s="861"/>
      <c r="N9" s="861"/>
      <c r="O9" s="862"/>
      <c r="P9" s="3367" t="s">
        <v>1686</v>
      </c>
      <c r="Q9" s="530" t="str">
        <f t="shared" ref="Q9:Q15" si="6">B9</f>
        <v>用途</v>
      </c>
      <c r="R9" s="664" t="s">
        <v>14</v>
      </c>
      <c r="S9" s="665">
        <f t="shared" si="0"/>
        <v>100</v>
      </c>
      <c r="T9" s="664" t="s">
        <v>14</v>
      </c>
      <c r="U9" s="665">
        <f t="shared" si="1"/>
        <v>100</v>
      </c>
      <c r="V9" s="664" t="s">
        <v>14</v>
      </c>
      <c r="W9" s="665">
        <f t="shared" si="2"/>
        <v>100</v>
      </c>
      <c r="X9" s="666"/>
      <c r="Y9" s="3271"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8"/>
      <c r="F10" s="119">
        <f>SUMIF(59:59,E10,60:60)-SUMIF(59:59,C10,60:60)+100</f>
        <v>100</v>
      </c>
      <c r="G10" s="3129"/>
      <c r="H10" s="119">
        <f>SUMIF(59:59,G10,60:60)-SUMIF(59:59,C10,60:60)+100</f>
        <v>100</v>
      </c>
      <c r="I10" s="3128"/>
      <c r="J10" s="119">
        <f>SUMIF(59:59,I10,60:60)-SUMIF(59:59,C10,60:60)+100</f>
        <v>100</v>
      </c>
      <c r="K10" s="38"/>
      <c r="L10" s="863"/>
      <c r="M10" s="864"/>
      <c r="N10" s="864"/>
      <c r="O10" s="865"/>
      <c r="P10" s="3367"/>
      <c r="Q10" s="530" t="str">
        <f t="shared" si="6"/>
        <v>土地使用年限（年）</v>
      </c>
      <c r="R10" s="664" t="s">
        <v>14</v>
      </c>
      <c r="S10" s="665">
        <f t="shared" si="0"/>
        <v>100</v>
      </c>
      <c r="T10" s="664" t="s">
        <v>14</v>
      </c>
      <c r="U10" s="665">
        <f t="shared" si="1"/>
        <v>100</v>
      </c>
      <c r="V10" s="664" t="s">
        <v>14</v>
      </c>
      <c r="W10" s="665">
        <f t="shared" si="2"/>
        <v>100</v>
      </c>
      <c r="X10" s="666"/>
      <c r="Y10" s="327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6"/>
      <c r="M11" s="859"/>
      <c r="N11" s="859"/>
      <c r="O11" s="867"/>
      <c r="P11" s="3367"/>
      <c r="Q11" s="530" t="str">
        <f t="shared" si="6"/>
        <v>容积率</v>
      </c>
      <c r="R11" s="664" t="s">
        <v>14</v>
      </c>
      <c r="S11" s="665">
        <f t="shared" si="0"/>
        <v>100</v>
      </c>
      <c r="T11" s="664" t="s">
        <v>14</v>
      </c>
      <c r="U11" s="665">
        <f t="shared" si="1"/>
        <v>100</v>
      </c>
      <c r="V11" s="664" t="s">
        <v>14</v>
      </c>
      <c r="W11" s="665">
        <f t="shared" si="2"/>
        <v>100</v>
      </c>
      <c r="X11" s="666"/>
      <c r="Y11" s="327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0"/>
      <c r="M12" s="861"/>
      <c r="N12" s="861"/>
      <c r="O12" s="862"/>
      <c r="P12" s="3367"/>
      <c r="Q12" s="530">
        <f t="shared" si="6"/>
        <v>111</v>
      </c>
      <c r="R12" s="664" t="s">
        <v>14</v>
      </c>
      <c r="S12" s="665">
        <f t="shared" si="0"/>
        <v>100</v>
      </c>
      <c r="T12" s="664" t="s">
        <v>14</v>
      </c>
      <c r="U12" s="665">
        <f t="shared" si="1"/>
        <v>100</v>
      </c>
      <c r="V12" s="664" t="s">
        <v>14</v>
      </c>
      <c r="W12" s="665">
        <f t="shared" si="2"/>
        <v>100</v>
      </c>
      <c r="X12" s="666"/>
      <c r="Y12" s="327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68"/>
      <c r="M13" s="859"/>
      <c r="N13" s="859"/>
      <c r="O13" s="867"/>
      <c r="P13" s="3367"/>
      <c r="Q13" s="530">
        <f t="shared" si="6"/>
        <v>111</v>
      </c>
      <c r="R13" s="664" t="s">
        <v>14</v>
      </c>
      <c r="S13" s="665">
        <f t="shared" si="0"/>
        <v>100</v>
      </c>
      <c r="T13" s="664" t="s">
        <v>14</v>
      </c>
      <c r="U13" s="665">
        <f t="shared" si="1"/>
        <v>100</v>
      </c>
      <c r="V13" s="664" t="s">
        <v>14</v>
      </c>
      <c r="W13" s="665">
        <f t="shared" si="2"/>
        <v>100</v>
      </c>
      <c r="X13" s="666"/>
      <c r="Y13" s="3271"/>
      <c r="Z13" s="50">
        <f t="shared" si="7"/>
        <v>111</v>
      </c>
      <c r="AA13" s="50">
        <f t="shared" si="3"/>
        <v>1</v>
      </c>
      <c r="AB13" s="50">
        <f t="shared" si="4"/>
        <v>1</v>
      </c>
      <c r="AC13" s="50">
        <f t="shared" si="5"/>
        <v>1</v>
      </c>
    </row>
    <row r="14" spans="1:29" ht="15.6" thickBot="1">
      <c r="A14" s="375"/>
      <c r="B14" s="1747">
        <v>111</v>
      </c>
      <c r="C14" s="376"/>
      <c r="D14" s="377">
        <v>100</v>
      </c>
      <c r="E14" s="376"/>
      <c r="F14" s="377">
        <f>SUMIF(68:68,E14,69:69)-SUMIF(68:68,C14,69:69)+100</f>
        <v>100</v>
      </c>
      <c r="G14" s="1816"/>
      <c r="H14" s="377">
        <f>SUMIF(68:68,G14,69:69)-SUMIF(68:68,C14,69:69)+100</f>
        <v>100</v>
      </c>
      <c r="I14" s="407"/>
      <c r="J14" s="377">
        <f>SUMIF(68:68,I14,69:69)-SUMIF(68:68,C14,69:69)+100</f>
        <v>100</v>
      </c>
      <c r="K14" s="539"/>
      <c r="L14" s="868"/>
      <c r="M14" s="859"/>
      <c r="N14" s="859"/>
      <c r="O14" s="867"/>
      <c r="P14" s="3367"/>
      <c r="Q14" s="530">
        <f t="shared" si="6"/>
        <v>111</v>
      </c>
      <c r="R14" s="664" t="s">
        <v>14</v>
      </c>
      <c r="S14" s="665">
        <f t="shared" si="0"/>
        <v>100</v>
      </c>
      <c r="T14" s="664" t="s">
        <v>14</v>
      </c>
      <c r="U14" s="665">
        <f t="shared" si="1"/>
        <v>100</v>
      </c>
      <c r="V14" s="664" t="s">
        <v>14</v>
      </c>
      <c r="W14" s="665">
        <f t="shared" si="2"/>
        <v>100</v>
      </c>
      <c r="X14" s="666"/>
      <c r="Y14" s="3271"/>
      <c r="Z14" s="50">
        <f t="shared" si="7"/>
        <v>111</v>
      </c>
      <c r="AA14" s="50">
        <f t="shared" si="3"/>
        <v>1</v>
      </c>
      <c r="AB14" s="50">
        <f t="shared" si="4"/>
        <v>1</v>
      </c>
      <c r="AC14" s="50">
        <f t="shared" si="5"/>
        <v>1</v>
      </c>
    </row>
    <row r="15" spans="1:29" ht="69">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8"/>
      <c r="M15" s="859"/>
      <c r="N15" s="859"/>
      <c r="O15" s="867"/>
      <c r="P15" s="3374" t="s">
        <v>1691</v>
      </c>
      <c r="Q15" s="1261" t="str">
        <f t="shared" si="6"/>
        <v>产业集聚程度</v>
      </c>
      <c r="R15" s="667" t="s">
        <v>14</v>
      </c>
      <c r="S15" s="668">
        <f t="shared" si="0"/>
        <v>100</v>
      </c>
      <c r="T15" s="667" t="s">
        <v>14</v>
      </c>
      <c r="U15" s="668">
        <f t="shared" si="1"/>
        <v>100</v>
      </c>
      <c r="V15" s="667" t="s">
        <v>14</v>
      </c>
      <c r="W15" s="668">
        <f t="shared" si="2"/>
        <v>100</v>
      </c>
      <c r="X15" s="1263"/>
      <c r="Y15" s="3374" t="s">
        <v>1691</v>
      </c>
      <c r="Z15" s="1262" t="str">
        <f t="shared" si="7"/>
        <v>产业集聚程度</v>
      </c>
      <c r="AA15" s="1262">
        <f t="shared" si="3"/>
        <v>1</v>
      </c>
      <c r="AB15" s="1262">
        <f t="shared" si="4"/>
        <v>1</v>
      </c>
      <c r="AC15" s="1262">
        <f t="shared" si="5"/>
        <v>1</v>
      </c>
    </row>
    <row r="16" spans="1:29" ht="15">
      <c r="A16" s="367"/>
      <c r="B16" s="385"/>
      <c r="C16" s="386"/>
      <c r="D16" s="387"/>
      <c r="E16" s="386"/>
      <c r="F16" s="388"/>
      <c r="G16" s="386"/>
      <c r="H16" s="389"/>
      <c r="I16" s="386"/>
      <c r="J16" s="387"/>
      <c r="K16" s="541"/>
      <c r="L16" s="868"/>
      <c r="M16" s="859"/>
      <c r="N16" s="859"/>
      <c r="O16" s="867"/>
      <c r="P16" s="3375"/>
      <c r="Q16" s="1261"/>
      <c r="R16" s="667"/>
      <c r="S16" s="668"/>
      <c r="T16" s="667"/>
      <c r="U16" s="668"/>
      <c r="V16" s="667"/>
      <c r="W16" s="668"/>
      <c r="X16" s="1263"/>
      <c r="Y16" s="3375"/>
      <c r="Z16" s="1262"/>
      <c r="AA16" s="1262">
        <v>1</v>
      </c>
      <c r="AB16" s="1262">
        <v>1</v>
      </c>
      <c r="AC16" s="1262">
        <v>1</v>
      </c>
    </row>
    <row r="17" spans="1:29" ht="96.6">
      <c r="A17" s="367"/>
      <c r="B17" s="390" t="s">
        <v>1259</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8"/>
      <c r="M17" s="859"/>
      <c r="N17" s="859"/>
      <c r="O17" s="867"/>
      <c r="P17" s="3375"/>
      <c r="Q17" s="1261" t="str">
        <f>B17</f>
        <v>交通便捷度</v>
      </c>
      <c r="R17" s="667" t="s">
        <v>14</v>
      </c>
      <c r="S17" s="668">
        <f>F17</f>
        <v>100</v>
      </c>
      <c r="T17" s="667" t="s">
        <v>14</v>
      </c>
      <c r="U17" s="668">
        <f>H17</f>
        <v>100</v>
      </c>
      <c r="V17" s="667" t="s">
        <v>14</v>
      </c>
      <c r="W17" s="668">
        <f>J17</f>
        <v>100</v>
      </c>
      <c r="X17" s="1263"/>
      <c r="Y17" s="3375"/>
      <c r="Z17" s="1262" t="str">
        <f>Q17</f>
        <v>交通便捷度</v>
      </c>
      <c r="AA17" s="1262">
        <f t="shared" si="3"/>
        <v>1</v>
      </c>
      <c r="AB17" s="1262">
        <f t="shared" si="4"/>
        <v>1</v>
      </c>
      <c r="AC17" s="1262">
        <f t="shared" si="5"/>
        <v>1</v>
      </c>
    </row>
    <row r="18" spans="1:29" ht="15">
      <c r="A18" s="367"/>
      <c r="B18" s="395"/>
      <c r="C18" s="1753"/>
      <c r="D18" s="389"/>
      <c r="E18" s="1755"/>
      <c r="F18" s="392"/>
      <c r="G18" s="1754"/>
      <c r="H18" s="387"/>
      <c r="I18" s="1755"/>
      <c r="J18" s="387"/>
      <c r="K18" s="541"/>
      <c r="L18" s="868"/>
      <c r="M18" s="859"/>
      <c r="N18" s="859"/>
      <c r="O18" s="867"/>
      <c r="P18" s="3375"/>
      <c r="Q18" s="1261"/>
      <c r="R18" s="667"/>
      <c r="S18" s="668"/>
      <c r="T18" s="667"/>
      <c r="U18" s="668"/>
      <c r="V18" s="667"/>
      <c r="W18" s="668"/>
      <c r="X18" s="1263"/>
      <c r="Y18" s="3375"/>
      <c r="Z18" s="1262"/>
      <c r="AA18" s="1262">
        <v>1</v>
      </c>
      <c r="AB18" s="1262">
        <v>1</v>
      </c>
      <c r="AC18" s="1262">
        <v>1</v>
      </c>
    </row>
    <row r="19" spans="1:29" ht="41.4">
      <c r="A19" s="367"/>
      <c r="B19" s="390" t="s">
        <v>1812</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8"/>
      <c r="M19" s="859"/>
      <c r="N19" s="859"/>
      <c r="O19" s="867"/>
      <c r="P19" s="3375"/>
      <c r="Q19" s="1261" t="str">
        <f>B19</f>
        <v>公共配套设施</v>
      </c>
      <c r="R19" s="667" t="s">
        <v>14</v>
      </c>
      <c r="S19" s="668">
        <f>F19</f>
        <v>100</v>
      </c>
      <c r="T19" s="667" t="s">
        <v>14</v>
      </c>
      <c r="U19" s="668">
        <f>H19</f>
        <v>100</v>
      </c>
      <c r="V19" s="667" t="s">
        <v>14</v>
      </c>
      <c r="W19" s="668">
        <f>J19</f>
        <v>100</v>
      </c>
      <c r="X19" s="1263"/>
      <c r="Y19" s="3375"/>
      <c r="Z19" s="1262" t="str">
        <f>Q19</f>
        <v>公共配套设施</v>
      </c>
      <c r="AA19" s="1262">
        <f t="shared" si="3"/>
        <v>1</v>
      </c>
      <c r="AB19" s="1262">
        <f t="shared" si="4"/>
        <v>1</v>
      </c>
      <c r="AC19" s="1262">
        <f t="shared" si="5"/>
        <v>1</v>
      </c>
    </row>
    <row r="20" spans="1:29" ht="15">
      <c r="A20" s="367"/>
      <c r="B20" s="395"/>
      <c r="C20" s="386"/>
      <c r="D20" s="387"/>
      <c r="E20" s="1750"/>
      <c r="F20" s="388"/>
      <c r="G20" s="1749"/>
      <c r="H20" s="387"/>
      <c r="I20" s="1750"/>
      <c r="J20" s="387"/>
      <c r="K20" s="541"/>
      <c r="L20" s="868"/>
      <c r="M20" s="859"/>
      <c r="N20" s="859"/>
      <c r="O20" s="867"/>
      <c r="P20" s="3375"/>
      <c r="Q20" s="1261"/>
      <c r="R20" s="667"/>
      <c r="S20" s="668"/>
      <c r="T20" s="667"/>
      <c r="U20" s="668"/>
      <c r="V20" s="667"/>
      <c r="W20" s="668"/>
      <c r="X20" s="1263"/>
      <c r="Y20" s="3375"/>
      <c r="Z20" s="1262"/>
      <c r="AA20" s="1262">
        <v>1</v>
      </c>
      <c r="AB20" s="1262">
        <v>1</v>
      </c>
      <c r="AC20" s="1262">
        <v>1</v>
      </c>
    </row>
    <row r="21" spans="1:29" ht="41.4">
      <c r="A21" s="367"/>
      <c r="B21" s="586" t="s">
        <v>1813</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8"/>
      <c r="M21" s="859"/>
      <c r="N21" s="859"/>
      <c r="O21" s="867"/>
      <c r="P21" s="3375"/>
      <c r="Q21" s="1261" t="str">
        <f>B21</f>
        <v>基础设施水平</v>
      </c>
      <c r="R21" s="667" t="s">
        <v>14</v>
      </c>
      <c r="S21" s="668">
        <f>F21</f>
        <v>100</v>
      </c>
      <c r="T21" s="667" t="s">
        <v>14</v>
      </c>
      <c r="U21" s="668">
        <f>H21</f>
        <v>100</v>
      </c>
      <c r="V21" s="667" t="s">
        <v>14</v>
      </c>
      <c r="W21" s="668">
        <f>J21</f>
        <v>100</v>
      </c>
      <c r="X21" s="1263"/>
      <c r="Y21" s="3375"/>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8"/>
      <c r="G22" s="386"/>
      <c r="H22" s="387"/>
      <c r="I22" s="386"/>
      <c r="J22" s="387"/>
      <c r="K22" s="1062"/>
      <c r="L22" s="868"/>
      <c r="M22" s="859"/>
      <c r="N22" s="859"/>
      <c r="O22" s="867"/>
      <c r="P22" s="3375"/>
      <c r="Q22" s="1261"/>
      <c r="R22" s="667"/>
      <c r="S22" s="668"/>
      <c r="T22" s="667"/>
      <c r="U22" s="668"/>
      <c r="V22" s="667"/>
      <c r="W22" s="668"/>
      <c r="X22" s="1263"/>
      <c r="Y22" s="3375"/>
      <c r="Z22" s="1262"/>
      <c r="AA22" s="1262">
        <v>1</v>
      </c>
      <c r="AB22" s="1262">
        <v>1</v>
      </c>
      <c r="AC22" s="1262">
        <v>1</v>
      </c>
    </row>
    <row r="23" spans="1:29" ht="82.8">
      <c r="A23" s="367"/>
      <c r="B23" s="390" t="s">
        <v>1814</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8"/>
      <c r="M23" s="859"/>
      <c r="N23" s="859"/>
      <c r="O23" s="867"/>
      <c r="P23" s="3375"/>
      <c r="Q23" s="1261" t="str">
        <f>B23</f>
        <v>环境质量</v>
      </c>
      <c r="R23" s="667" t="s">
        <v>14</v>
      </c>
      <c r="S23" s="668">
        <f>F23</f>
        <v>100</v>
      </c>
      <c r="T23" s="667" t="s">
        <v>14</v>
      </c>
      <c r="U23" s="668">
        <f>H23</f>
        <v>100</v>
      </c>
      <c r="V23" s="667" t="s">
        <v>14</v>
      </c>
      <c r="W23" s="668">
        <f>J23</f>
        <v>100</v>
      </c>
      <c r="X23" s="1263"/>
      <c r="Y23" s="3375"/>
      <c r="Z23" s="1262" t="str">
        <f>Q23</f>
        <v>环境质量</v>
      </c>
      <c r="AA23" s="1262">
        <f t="shared" si="3"/>
        <v>1</v>
      </c>
      <c r="AB23" s="1262">
        <f t="shared" si="4"/>
        <v>1</v>
      </c>
      <c r="AC23" s="1262">
        <f t="shared" si="5"/>
        <v>1</v>
      </c>
    </row>
    <row r="24" spans="1:29" ht="15">
      <c r="A24" s="367"/>
      <c r="B24" s="586"/>
      <c r="C24" s="386"/>
      <c r="D24" s="387"/>
      <c r="E24" s="1750"/>
      <c r="F24" s="388"/>
      <c r="G24" s="1749"/>
      <c r="H24" s="387"/>
      <c r="I24" s="1750"/>
      <c r="J24" s="387"/>
      <c r="K24" s="541"/>
      <c r="L24" s="868"/>
      <c r="M24" s="859"/>
      <c r="N24" s="859"/>
      <c r="O24" s="867"/>
      <c r="P24" s="3375"/>
      <c r="Q24" s="1261"/>
      <c r="R24" s="667"/>
      <c r="S24" s="668"/>
      <c r="T24" s="667"/>
      <c r="U24" s="668"/>
      <c r="V24" s="667"/>
      <c r="W24" s="668"/>
      <c r="X24" s="1263"/>
      <c r="Y24" s="3375"/>
      <c r="Z24" s="1262"/>
      <c r="AA24" s="1262">
        <v>1</v>
      </c>
      <c r="AB24" s="1262">
        <v>1</v>
      </c>
      <c r="AC24" s="1262">
        <v>1</v>
      </c>
    </row>
    <row r="25" spans="1:29" ht="15">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8"/>
      <c r="M25" s="859"/>
      <c r="N25" s="859"/>
      <c r="O25" s="867"/>
      <c r="P25" s="3375"/>
      <c r="Q25" s="1261">
        <f>B25</f>
        <v>111</v>
      </c>
      <c r="R25" s="667" t="s">
        <v>14</v>
      </c>
      <c r="S25" s="668">
        <f>F25</f>
        <v>100</v>
      </c>
      <c r="T25" s="667" t="s">
        <v>14</v>
      </c>
      <c r="U25" s="668">
        <f>H25</f>
        <v>100</v>
      </c>
      <c r="V25" s="667" t="s">
        <v>14</v>
      </c>
      <c r="W25" s="668">
        <f>J25</f>
        <v>100</v>
      </c>
      <c r="X25" s="1263"/>
      <c r="Y25" s="3375"/>
      <c r="Z25" s="1262">
        <f>Q25</f>
        <v>111</v>
      </c>
      <c r="AA25" s="1262">
        <f t="shared" si="3"/>
        <v>1</v>
      </c>
      <c r="AB25" s="1262">
        <f t="shared" si="4"/>
        <v>1</v>
      </c>
      <c r="AC25" s="1262">
        <f t="shared" si="5"/>
        <v>1</v>
      </c>
    </row>
    <row r="26" spans="1:29" ht="15">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8"/>
      <c r="M26" s="859"/>
      <c r="N26" s="859"/>
      <c r="O26" s="867"/>
      <c r="P26" s="3375"/>
      <c r="Q26" s="1261">
        <f t="shared" ref="Q26:Q40" si="11">B26</f>
        <v>111</v>
      </c>
      <c r="R26" s="667" t="s">
        <v>14</v>
      </c>
      <c r="S26" s="668">
        <f>F26</f>
        <v>100</v>
      </c>
      <c r="T26" s="667" t="s">
        <v>14</v>
      </c>
      <c r="U26" s="668">
        <f>H26</f>
        <v>100</v>
      </c>
      <c r="V26" s="667" t="s">
        <v>14</v>
      </c>
      <c r="W26" s="668">
        <f>J26</f>
        <v>100</v>
      </c>
      <c r="X26" s="1263"/>
      <c r="Y26" s="3375"/>
      <c r="Z26" s="1262">
        <f>Q26</f>
        <v>111</v>
      </c>
      <c r="AA26" s="1262">
        <f t="shared" si="3"/>
        <v>1</v>
      </c>
      <c r="AB26" s="1262">
        <f t="shared" si="4"/>
        <v>1</v>
      </c>
      <c r="AC26" s="1262">
        <f t="shared" si="5"/>
        <v>1</v>
      </c>
    </row>
    <row r="27" spans="1:29" s="102" customFormat="1" ht="15">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0"/>
      <c r="M27" s="861"/>
      <c r="N27" s="861"/>
      <c r="O27" s="862"/>
      <c r="P27" s="3375"/>
      <c r="Q27" s="530">
        <f t="shared" si="11"/>
        <v>111</v>
      </c>
      <c r="R27" s="664" t="s">
        <v>14</v>
      </c>
      <c r="S27" s="665">
        <f>F27</f>
        <v>100</v>
      </c>
      <c r="T27" s="664" t="s">
        <v>14</v>
      </c>
      <c r="U27" s="665">
        <f>H27</f>
        <v>100</v>
      </c>
      <c r="V27" s="664" t="s">
        <v>14</v>
      </c>
      <c r="W27" s="665">
        <f>J27</f>
        <v>100</v>
      </c>
      <c r="X27" s="666"/>
      <c r="Y27" s="3375"/>
      <c r="Z27" s="50">
        <f>Q27</f>
        <v>111</v>
      </c>
      <c r="AA27" s="1262">
        <f>D27/F27</f>
        <v>1</v>
      </c>
      <c r="AB27" s="1262">
        <f>D27/H27</f>
        <v>1</v>
      </c>
      <c r="AC27" s="1262">
        <f>D27/J27</f>
        <v>1</v>
      </c>
    </row>
    <row r="28" spans="1:29" ht="15.6"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8"/>
      <c r="M28" s="859"/>
      <c r="N28" s="859"/>
      <c r="O28" s="867"/>
      <c r="P28" s="3375"/>
      <c r="Q28" s="1261">
        <f t="shared" si="11"/>
        <v>111</v>
      </c>
      <c r="R28" s="667" t="s">
        <v>14</v>
      </c>
      <c r="S28" s="668">
        <f t="shared" ref="S28:S40" si="12">F28</f>
        <v>100</v>
      </c>
      <c r="T28" s="667" t="s">
        <v>14</v>
      </c>
      <c r="U28" s="668">
        <f t="shared" ref="U28:U40" si="13">H28</f>
        <v>100</v>
      </c>
      <c r="V28" s="667" t="s">
        <v>14</v>
      </c>
      <c r="W28" s="668">
        <f t="shared" ref="W28:W40" si="14">J28</f>
        <v>100</v>
      </c>
      <c r="X28" s="1263"/>
      <c r="Y28" s="3375"/>
      <c r="Z28" s="1262">
        <f t="shared" ref="Z28:Z40" si="15">Q28</f>
        <v>111</v>
      </c>
      <c r="AA28" s="1262">
        <f t="shared" si="3"/>
        <v>1</v>
      </c>
      <c r="AB28" s="1262">
        <f t="shared" si="4"/>
        <v>1</v>
      </c>
      <c r="AC28" s="1262">
        <f t="shared" si="5"/>
        <v>1</v>
      </c>
    </row>
    <row r="29" spans="1:29" ht="30">
      <c r="A29" s="404" t="s">
        <v>1694</v>
      </c>
      <c r="B29" s="60" t="s">
        <v>1817</v>
      </c>
      <c r="C29" s="1762"/>
      <c r="D29" s="405">
        <v>100</v>
      </c>
      <c r="E29" s="1762"/>
      <c r="F29" s="400">
        <f>SUMIF(88:88,E29,89:89)-SUMIF(88:88,C29,89:89)+100</f>
        <v>100</v>
      </c>
      <c r="G29" s="1762"/>
      <c r="H29" s="374">
        <f>SUMIF(88:88,G29,89:89)-SUMIF(88:88,C29,89:89)+100</f>
        <v>100</v>
      </c>
      <c r="I29" s="1762"/>
      <c r="J29" s="405">
        <f>SUMIF(88:88,I29,89:89)-SUMIF(88:88,C29,89:89)+100</f>
        <v>100</v>
      </c>
      <c r="K29" s="538"/>
      <c r="L29" s="868"/>
      <c r="M29" s="859"/>
      <c r="N29" s="859"/>
      <c r="O29" s="867"/>
      <c r="P29" s="3461" t="s">
        <v>1696</v>
      </c>
      <c r="Q29" s="1261" t="str">
        <f t="shared" si="11"/>
        <v>建筑类型</v>
      </c>
      <c r="R29" s="667" t="s">
        <v>14</v>
      </c>
      <c r="S29" s="668">
        <f t="shared" si="12"/>
        <v>100</v>
      </c>
      <c r="T29" s="667" t="s">
        <v>14</v>
      </c>
      <c r="U29" s="668">
        <f t="shared" si="13"/>
        <v>100</v>
      </c>
      <c r="V29" s="667" t="s">
        <v>14</v>
      </c>
      <c r="W29" s="668">
        <f t="shared" si="14"/>
        <v>100</v>
      </c>
      <c r="X29" s="1263"/>
      <c r="Y29" s="3379" t="s">
        <v>1696</v>
      </c>
      <c r="Z29" s="1262" t="str">
        <f t="shared" si="15"/>
        <v>建筑类型</v>
      </c>
      <c r="AA29" s="1262">
        <f t="shared" si="3"/>
        <v>1</v>
      </c>
      <c r="AB29" s="1262">
        <f t="shared" si="4"/>
        <v>1</v>
      </c>
      <c r="AC29" s="1262">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6"/>
      <c r="M30" s="869"/>
      <c r="N30" s="869"/>
      <c r="O30" s="870"/>
      <c r="P30" s="3379"/>
      <c r="Q30" s="531" t="str">
        <f t="shared" si="11"/>
        <v>项目建筑规模</v>
      </c>
      <c r="R30" s="669" t="s">
        <v>14</v>
      </c>
      <c r="S30" s="670" t="e">
        <f t="shared" si="12"/>
        <v>#N/A</v>
      </c>
      <c r="T30" s="669" t="s">
        <v>14</v>
      </c>
      <c r="U30" s="670" t="e">
        <f t="shared" si="13"/>
        <v>#N/A</v>
      </c>
      <c r="V30" s="669" t="s">
        <v>14</v>
      </c>
      <c r="W30" s="670" t="e">
        <f t="shared" si="14"/>
        <v>#N/A</v>
      </c>
      <c r="X30" s="671"/>
      <c r="Y30" s="3379"/>
      <c r="Z30" s="672" t="str">
        <f t="shared" si="15"/>
        <v>项目建筑规模</v>
      </c>
      <c r="AA30" s="1262" t="e">
        <f t="shared" si="3"/>
        <v>#N/A</v>
      </c>
      <c r="AB30" s="1262" t="e">
        <f t="shared" si="4"/>
        <v>#N/A</v>
      </c>
      <c r="AC30" s="1262"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8"/>
      <c r="M31" s="859"/>
      <c r="N31" s="859"/>
      <c r="O31" s="867"/>
      <c r="P31" s="3379"/>
      <c r="Q31" s="1261" t="str">
        <f t="shared" si="11"/>
        <v>建筑结构</v>
      </c>
      <c r="R31" s="667" t="s">
        <v>14</v>
      </c>
      <c r="S31" s="668">
        <f t="shared" si="12"/>
        <v>100</v>
      </c>
      <c r="T31" s="667" t="s">
        <v>14</v>
      </c>
      <c r="U31" s="668">
        <f t="shared" si="13"/>
        <v>100</v>
      </c>
      <c r="V31" s="667" t="s">
        <v>14</v>
      </c>
      <c r="W31" s="668">
        <f t="shared" si="14"/>
        <v>100</v>
      </c>
      <c r="X31" s="1263"/>
      <c r="Y31" s="3379"/>
      <c r="Z31" s="1262" t="str">
        <f t="shared" si="15"/>
        <v>建筑结构</v>
      </c>
      <c r="AA31" s="1262">
        <f t="shared" si="3"/>
        <v>1</v>
      </c>
      <c r="AB31" s="1262">
        <f t="shared" si="4"/>
        <v>1</v>
      </c>
      <c r="AC31" s="1262">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8"/>
      <c r="M32" s="859"/>
      <c r="N32" s="859"/>
      <c r="O32" s="867"/>
      <c r="P32" s="3379"/>
      <c r="Q32" s="1261" t="str">
        <f t="shared" si="11"/>
        <v>公共部分装修</v>
      </c>
      <c r="R32" s="667" t="s">
        <v>14</v>
      </c>
      <c r="S32" s="668">
        <f t="shared" si="12"/>
        <v>100</v>
      </c>
      <c r="T32" s="667" t="s">
        <v>14</v>
      </c>
      <c r="U32" s="668">
        <f t="shared" si="13"/>
        <v>100</v>
      </c>
      <c r="V32" s="667" t="s">
        <v>14</v>
      </c>
      <c r="W32" s="668">
        <f t="shared" si="14"/>
        <v>100</v>
      </c>
      <c r="X32" s="1263"/>
      <c r="Y32" s="3379"/>
      <c r="Z32" s="1262" t="str">
        <f t="shared" si="15"/>
        <v>公共部分装修</v>
      </c>
      <c r="AA32" s="1262">
        <f t="shared" si="3"/>
        <v>1</v>
      </c>
      <c r="AB32" s="1262">
        <f t="shared" si="4"/>
        <v>1</v>
      </c>
      <c r="AC32" s="1262">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8"/>
      <c r="M33" s="859"/>
      <c r="N33" s="859"/>
      <c r="O33" s="867"/>
      <c r="P33" s="3379"/>
      <c r="Q33" s="1261" t="str">
        <f t="shared" si="11"/>
        <v>成新度</v>
      </c>
      <c r="R33" s="667" t="s">
        <v>14</v>
      </c>
      <c r="S33" s="668" t="e">
        <f t="shared" si="12"/>
        <v>#N/A</v>
      </c>
      <c r="T33" s="667" t="s">
        <v>14</v>
      </c>
      <c r="U33" s="668" t="e">
        <f t="shared" si="13"/>
        <v>#N/A</v>
      </c>
      <c r="V33" s="667" t="s">
        <v>14</v>
      </c>
      <c r="W33" s="668" t="e">
        <f t="shared" si="14"/>
        <v>#N/A</v>
      </c>
      <c r="X33" s="1263"/>
      <c r="Y33" s="3379"/>
      <c r="Z33" s="1262" t="str">
        <f t="shared" si="15"/>
        <v>成新度</v>
      </c>
      <c r="AA33" s="1262" t="e">
        <f t="shared" si="3"/>
        <v>#N/A</v>
      </c>
      <c r="AB33" s="1262" t="e">
        <f t="shared" si="4"/>
        <v>#N/A</v>
      </c>
      <c r="AC33" s="1262"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0"/>
      <c r="M34" s="861"/>
      <c r="N34" s="861"/>
      <c r="O34" s="862"/>
      <c r="P34" s="3379"/>
      <c r="Q34" s="530" t="str">
        <f t="shared" si="11"/>
        <v>物业管理</v>
      </c>
      <c r="R34" s="664" t="s">
        <v>14</v>
      </c>
      <c r="S34" s="665">
        <f t="shared" si="12"/>
        <v>100</v>
      </c>
      <c r="T34" s="664" t="s">
        <v>14</v>
      </c>
      <c r="U34" s="665">
        <f t="shared" si="13"/>
        <v>100</v>
      </c>
      <c r="V34" s="664" t="s">
        <v>14</v>
      </c>
      <c r="W34" s="665">
        <f t="shared" si="14"/>
        <v>100</v>
      </c>
      <c r="X34" s="666"/>
      <c r="Y34" s="337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8"/>
      <c r="M35" s="859"/>
      <c r="N35" s="859"/>
      <c r="O35" s="867"/>
      <c r="P35" s="3379" t="s">
        <v>1696</v>
      </c>
      <c r="Q35" s="1261" t="str">
        <f t="shared" si="11"/>
        <v>市政基础设施</v>
      </c>
      <c r="R35" s="667" t="s">
        <v>14</v>
      </c>
      <c r="S35" s="668">
        <f t="shared" si="12"/>
        <v>100</v>
      </c>
      <c r="T35" s="667" t="s">
        <v>14</v>
      </c>
      <c r="U35" s="668">
        <f t="shared" si="13"/>
        <v>100</v>
      </c>
      <c r="V35" s="667" t="s">
        <v>14</v>
      </c>
      <c r="W35" s="668">
        <f t="shared" si="14"/>
        <v>100</v>
      </c>
      <c r="X35" s="1263"/>
      <c r="Y35" s="3379" t="s">
        <v>1696</v>
      </c>
      <c r="Z35" s="1262" t="str">
        <f t="shared" si="15"/>
        <v>市政基础设施</v>
      </c>
      <c r="AA35" s="1262">
        <f t="shared" si="3"/>
        <v>1</v>
      </c>
      <c r="AB35" s="1262">
        <f t="shared" si="4"/>
        <v>1</v>
      </c>
      <c r="AC35" s="1262">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8"/>
      <c r="M36" s="859"/>
      <c r="N36" s="859"/>
      <c r="O36" s="867"/>
      <c r="P36" s="3379"/>
      <c r="Q36" s="1261" t="str">
        <f t="shared" si="11"/>
        <v>内部装修</v>
      </c>
      <c r="R36" s="667" t="s">
        <v>14</v>
      </c>
      <c r="S36" s="668">
        <f t="shared" si="12"/>
        <v>100</v>
      </c>
      <c r="T36" s="667" t="s">
        <v>14</v>
      </c>
      <c r="U36" s="668">
        <f t="shared" si="13"/>
        <v>100</v>
      </c>
      <c r="V36" s="667" t="s">
        <v>14</v>
      </c>
      <c r="W36" s="668">
        <f t="shared" si="14"/>
        <v>100</v>
      </c>
      <c r="X36" s="1263"/>
      <c r="Y36" s="3379"/>
      <c r="Z36" s="1262" t="str">
        <f t="shared" si="15"/>
        <v>内部装修</v>
      </c>
      <c r="AA36" s="1262">
        <f t="shared" si="3"/>
        <v>1</v>
      </c>
      <c r="AB36" s="1262">
        <f t="shared" si="4"/>
        <v>1</v>
      </c>
      <c r="AC36" s="1262">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8"/>
      <c r="M37" s="859"/>
      <c r="N37" s="859"/>
      <c r="O37" s="867"/>
      <c r="P37" s="3379"/>
      <c r="Q37" s="1261" t="str">
        <f t="shared" si="11"/>
        <v>内部装修状况</v>
      </c>
      <c r="R37" s="667" t="s">
        <v>14</v>
      </c>
      <c r="S37" s="668">
        <f t="shared" si="12"/>
        <v>100</v>
      </c>
      <c r="T37" s="667" t="s">
        <v>14</v>
      </c>
      <c r="U37" s="668">
        <f t="shared" si="13"/>
        <v>100</v>
      </c>
      <c r="V37" s="667" t="s">
        <v>14</v>
      </c>
      <c r="W37" s="668">
        <f t="shared" si="14"/>
        <v>100</v>
      </c>
      <c r="X37" s="1263"/>
      <c r="Y37" s="3379"/>
      <c r="Z37" s="1262" t="str">
        <f t="shared" si="15"/>
        <v>内部装修状况</v>
      </c>
      <c r="AA37" s="1262">
        <f t="shared" si="3"/>
        <v>1</v>
      </c>
      <c r="AB37" s="1262">
        <f t="shared" si="4"/>
        <v>1</v>
      </c>
      <c r="AC37" s="1262">
        <f t="shared" si="5"/>
        <v>1</v>
      </c>
    </row>
    <row r="38" spans="1:29" s="408" customFormat="1" ht="15">
      <c r="A38" s="406"/>
      <c r="B38" s="1064">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6"/>
      <c r="M38" s="869"/>
      <c r="N38" s="869"/>
      <c r="O38" s="870"/>
      <c r="P38" s="3379"/>
      <c r="Q38" s="531">
        <f t="shared" si="11"/>
        <v>111</v>
      </c>
      <c r="R38" s="669" t="s">
        <v>14</v>
      </c>
      <c r="S38" s="670">
        <f t="shared" si="12"/>
        <v>100</v>
      </c>
      <c r="T38" s="669" t="s">
        <v>14</v>
      </c>
      <c r="U38" s="670">
        <f t="shared" si="13"/>
        <v>100</v>
      </c>
      <c r="V38" s="669" t="s">
        <v>14</v>
      </c>
      <c r="W38" s="670">
        <f t="shared" si="14"/>
        <v>100</v>
      </c>
      <c r="X38" s="671"/>
      <c r="Y38" s="3379"/>
      <c r="Z38" s="672">
        <f t="shared" si="15"/>
        <v>111</v>
      </c>
      <c r="AA38" s="1262">
        <f t="shared" si="3"/>
        <v>1</v>
      </c>
      <c r="AB38" s="1262">
        <f t="shared" si="4"/>
        <v>1</v>
      </c>
      <c r="AC38" s="1262">
        <f t="shared" si="5"/>
        <v>1</v>
      </c>
    </row>
    <row r="39" spans="1:29" ht="15">
      <c r="A39" s="409"/>
      <c r="B39" s="1064">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8"/>
      <c r="M39" s="859"/>
      <c r="N39" s="859"/>
      <c r="O39" s="867"/>
      <c r="P39" s="3379"/>
      <c r="Q39" s="1261">
        <f t="shared" si="11"/>
        <v>111</v>
      </c>
      <c r="R39" s="667" t="s">
        <v>14</v>
      </c>
      <c r="S39" s="668">
        <f t="shared" si="12"/>
        <v>100</v>
      </c>
      <c r="T39" s="667" t="s">
        <v>14</v>
      </c>
      <c r="U39" s="668">
        <f t="shared" si="13"/>
        <v>100</v>
      </c>
      <c r="V39" s="667" t="s">
        <v>14</v>
      </c>
      <c r="W39" s="668">
        <f t="shared" si="14"/>
        <v>100</v>
      </c>
      <c r="X39" s="1263"/>
      <c r="Y39" s="3379"/>
      <c r="Z39" s="1262">
        <f t="shared" si="15"/>
        <v>111</v>
      </c>
      <c r="AA39" s="1262">
        <f t="shared" si="3"/>
        <v>1</v>
      </c>
      <c r="AB39" s="1262">
        <f t="shared" si="4"/>
        <v>1</v>
      </c>
      <c r="AC39" s="1262">
        <f t="shared" si="5"/>
        <v>1</v>
      </c>
    </row>
    <row r="40" spans="1:29" ht="15.6"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8"/>
      <c r="M40" s="859"/>
      <c r="N40" s="859"/>
      <c r="O40" s="867"/>
      <c r="P40" s="3380"/>
      <c r="Q40" s="1261">
        <f t="shared" si="11"/>
        <v>111</v>
      </c>
      <c r="R40" s="667" t="s">
        <v>14</v>
      </c>
      <c r="S40" s="668">
        <f t="shared" si="12"/>
        <v>100</v>
      </c>
      <c r="T40" s="667" t="s">
        <v>14</v>
      </c>
      <c r="U40" s="668">
        <f t="shared" si="13"/>
        <v>100</v>
      </c>
      <c r="V40" s="667" t="s">
        <v>14</v>
      </c>
      <c r="W40" s="668">
        <f t="shared" si="14"/>
        <v>100</v>
      </c>
      <c r="X40" s="1263"/>
      <c r="Y40" s="3380"/>
      <c r="Z40" s="1262">
        <f t="shared" si="15"/>
        <v>111</v>
      </c>
      <c r="AA40" s="1262">
        <f t="shared" si="3"/>
        <v>1</v>
      </c>
      <c r="AB40" s="1262">
        <f t="shared" si="4"/>
        <v>1</v>
      </c>
      <c r="AC40" s="1262">
        <f t="shared" si="5"/>
        <v>1</v>
      </c>
    </row>
    <row r="41" spans="1:29" ht="14.4">
      <c r="A41" s="416" t="s">
        <v>1708</v>
      </c>
      <c r="B41" s="417"/>
      <c r="C41" s="1079" t="s">
        <v>0</v>
      </c>
      <c r="D41" s="418"/>
      <c r="E41" s="419"/>
      <c r="F41" s="420"/>
      <c r="G41" s="421"/>
      <c r="H41" s="422"/>
      <c r="I41" s="419"/>
      <c r="J41" s="422"/>
      <c r="K41" s="674"/>
      <c r="L41" s="871"/>
      <c r="M41" s="859"/>
      <c r="N41" s="859"/>
      <c r="O41" s="859"/>
      <c r="P41" s="3367" t="str">
        <f>A41</f>
        <v>成交单价（元/平方米）</v>
      </c>
      <c r="Q41" s="3367"/>
      <c r="R41" s="3368">
        <f>E41</f>
        <v>0</v>
      </c>
      <c r="S41" s="3368"/>
      <c r="T41" s="3368">
        <f>G41</f>
        <v>0</v>
      </c>
      <c r="U41" s="3368"/>
      <c r="V41" s="3368">
        <f>I41</f>
        <v>0</v>
      </c>
      <c r="W41" s="3368"/>
      <c r="X41" s="385"/>
      <c r="Y41" s="673"/>
      <c r="Z41" s="385"/>
      <c r="AA41" s="385"/>
      <c r="AB41" s="385"/>
      <c r="AC41" s="385"/>
    </row>
    <row r="42" spans="1:29" ht="15" thickBot="1">
      <c r="A42" s="423" t="s">
        <v>1793</v>
      </c>
      <c r="B42" s="424"/>
      <c r="C42" s="1080" t="e">
        <f>R43</f>
        <v>#DIV/0!</v>
      </c>
      <c r="D42" s="2138" t="s">
        <v>2133</v>
      </c>
      <c r="E42" s="1081" t="e">
        <f>R42</f>
        <v>#DIV/0!</v>
      </c>
      <c r="F42" s="2139"/>
      <c r="G42" s="1080" t="e">
        <f>T42</f>
        <v>#DIV/0!</v>
      </c>
      <c r="H42" s="2139"/>
      <c r="I42" s="1081" t="e">
        <f>V42</f>
        <v>#DIV/0!</v>
      </c>
      <c r="J42" s="2139"/>
      <c r="K42" s="2141">
        <f>F42+H42+J42</f>
        <v>0</v>
      </c>
      <c r="L42" s="871"/>
      <c r="M42" s="859"/>
      <c r="N42" s="859"/>
      <c r="O42" s="859"/>
      <c r="P42" s="3367" t="str">
        <f>A42</f>
        <v>比较价值（元/平方米）</v>
      </c>
      <c r="Q42" s="3367"/>
      <c r="R42" s="3368" t="e">
        <f>IF(F1="售价",ROUND(PRODUCT(R41,AA7:AA40),0),ROUND(PRODUCT(R41,AA7:AA40),1))</f>
        <v>#DIV/0!</v>
      </c>
      <c r="S42" s="3368"/>
      <c r="T42" s="3368" t="e">
        <f>IF(F1="售价",ROUND(PRODUCT(T41,AB7:AB40),0),ROUND(PRODUCT(T41,AB7:AB40),1))</f>
        <v>#DIV/0!</v>
      </c>
      <c r="U42" s="3368"/>
      <c r="V42" s="3368" t="e">
        <f>IF(F1="售价",ROUND(PRODUCT(V41,AC7:AC40),0),ROUND(PRODUCT(V41,AC7:AC40),1))</f>
        <v>#DIV/0!</v>
      </c>
      <c r="W42" s="3368"/>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1"/>
      <c r="M43" s="859"/>
      <c r="N43" s="859"/>
      <c r="O43" s="859"/>
      <c r="P43" s="3369" t="str">
        <f>A43</f>
        <v>估价对象XX用房的比较价值（楼面单价，元/平方米）</v>
      </c>
      <c r="Q43" s="3370"/>
      <c r="R43" s="3371" t="e">
        <f>IF(F1="售价",ROUND(IF(D42="简单平均",AVERAGE(R42:V42),R42*F42+T42*H42+V42*J42),0),ROUND(IF(D42="简单平均",AVERAGE(R42:V42),R42*F42+T42*H42+V42*J42),1))</f>
        <v>#DIV/0!</v>
      </c>
      <c r="S43" s="3371"/>
      <c r="T43" s="3371"/>
      <c r="U43" s="3371"/>
      <c r="V43" s="3371"/>
      <c r="W43" s="3371"/>
      <c r="X43" s="385"/>
      <c r="Y43" s="385"/>
      <c r="Z43" s="385"/>
      <c r="AA43" s="385"/>
      <c r="AB43" s="385"/>
      <c r="AC43" s="385"/>
    </row>
    <row r="44" spans="1:29">
      <c r="A44" s="2483"/>
      <c r="B44" s="2483"/>
      <c r="C44" s="2483"/>
      <c r="D44" s="2483"/>
      <c r="E44" s="2483"/>
      <c r="F44" s="2483"/>
      <c r="G44" s="2494"/>
      <c r="H44" s="2483"/>
      <c r="I44" s="2483"/>
      <c r="J44" s="2483"/>
      <c r="K44" s="2495"/>
      <c r="L44" s="836"/>
      <c r="M44" s="859"/>
      <c r="N44" s="859"/>
      <c r="O44" s="859"/>
    </row>
    <row r="45" spans="1:29">
      <c r="A45" s="2483"/>
      <c r="B45" s="2483"/>
      <c r="C45" s="2483"/>
      <c r="D45" s="2483"/>
      <c r="E45" s="2483"/>
      <c r="F45" s="2483"/>
      <c r="G45" s="2483"/>
      <c r="H45" s="2483"/>
      <c r="I45" s="2483"/>
      <c r="J45" s="2483"/>
      <c r="K45" s="2495"/>
      <c r="L45" s="836"/>
      <c r="M45" s="859"/>
      <c r="N45" s="859"/>
      <c r="O45" s="859"/>
    </row>
    <row r="46" spans="1:29"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6"/>
      <c r="M46" s="859"/>
      <c r="N46" s="859"/>
      <c r="O46" s="859"/>
    </row>
    <row r="47" spans="1:29"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6"/>
      <c r="M47" s="859"/>
      <c r="N47" s="859"/>
      <c r="O47" s="859"/>
    </row>
    <row r="48" spans="1:29"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4"/>
      <c r="M48" s="872"/>
      <c r="N48" s="872"/>
      <c r="O48" s="872"/>
    </row>
    <row r="49" spans="1:17" s="437" customFormat="1">
      <c r="A49" s="2493"/>
      <c r="B49" s="2496"/>
      <c r="C49" s="2497"/>
      <c r="D49" s="2493"/>
      <c r="E49" s="2493"/>
      <c r="F49" s="2493"/>
      <c r="G49" s="2493"/>
      <c r="H49" s="2493"/>
      <c r="I49" s="2493"/>
      <c r="J49" s="2493"/>
      <c r="K49" s="2498"/>
      <c r="L49" s="874"/>
      <c r="M49" s="872"/>
      <c r="N49" s="872"/>
      <c r="O49" s="872"/>
    </row>
    <row r="50" spans="1:17">
      <c r="A50" s="2483"/>
      <c r="B50" s="2496"/>
      <c r="C50" s="2497"/>
      <c r="D50" s="2483"/>
      <c r="E50" s="2483"/>
      <c r="F50" s="2483"/>
      <c r="G50" s="2483"/>
      <c r="H50" s="2483"/>
      <c r="I50" s="2483"/>
      <c r="J50" s="2483"/>
      <c r="K50" s="2495"/>
      <c r="L50" s="836"/>
      <c r="M50" s="859"/>
      <c r="N50" s="859"/>
      <c r="O50" s="859"/>
    </row>
    <row r="51" spans="1:17" ht="22.2" thickBot="1">
      <c r="A51" s="658" t="s">
        <v>1798</v>
      </c>
      <c r="B51" s="385"/>
      <c r="C51" s="659"/>
      <c r="D51" s="659"/>
      <c r="E51" s="659"/>
      <c r="F51" s="660"/>
      <c r="G51" s="660"/>
      <c r="H51" s="659"/>
      <c r="I51" s="659"/>
      <c r="J51" s="659"/>
      <c r="K51" s="885"/>
      <c r="L51" s="886"/>
      <c r="M51" s="884"/>
      <c r="N51" s="884"/>
      <c r="O51" s="884"/>
      <c r="P51" s="438"/>
      <c r="Q51" s="439"/>
    </row>
    <row r="52" spans="1:17" s="442" customFormat="1" ht="14.4">
      <c r="A52" s="440" t="s">
        <v>1679</v>
      </c>
      <c r="B52" s="441"/>
      <c r="C52" s="1101" t="str">
        <f>YEAR(C7)&amp;"-"&amp;MONTH(C7)</f>
        <v>2025-5</v>
      </c>
      <c r="D52" s="1102">
        <f>EDATE(C52,-1)</f>
        <v>45748</v>
      </c>
      <c r="E52" s="1102">
        <f t="shared" ref="E52:O52" si="16">EDATE(D52,-1)</f>
        <v>45717</v>
      </c>
      <c r="F52" s="1102">
        <f t="shared" si="16"/>
        <v>45689</v>
      </c>
      <c r="G52" s="1102">
        <f t="shared" si="16"/>
        <v>45658</v>
      </c>
      <c r="H52" s="1102">
        <f t="shared" si="16"/>
        <v>45627</v>
      </c>
      <c r="I52" s="1102">
        <f t="shared" si="16"/>
        <v>45597</v>
      </c>
      <c r="J52" s="1102">
        <f t="shared" si="16"/>
        <v>45566</v>
      </c>
      <c r="K52" s="1102">
        <f t="shared" si="16"/>
        <v>45536</v>
      </c>
      <c r="L52" s="1102">
        <f t="shared" si="16"/>
        <v>45505</v>
      </c>
      <c r="M52" s="1102">
        <f t="shared" si="16"/>
        <v>45474</v>
      </c>
      <c r="N52" s="1102">
        <f t="shared" si="16"/>
        <v>45444</v>
      </c>
      <c r="O52" s="1102">
        <f t="shared" si="16"/>
        <v>45413</v>
      </c>
    </row>
    <row r="53" spans="1:17" s="102" customFormat="1">
      <c r="A53" s="443"/>
      <c r="B53" s="444"/>
      <c r="C53" s="1100">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4"/>
      <c r="O54" s="2535"/>
      <c r="P54" s="439"/>
      <c r="Q54" s="439"/>
    </row>
    <row r="55" spans="1:17" s="102" customFormat="1" ht="14.4">
      <c r="A55" s="455" t="s">
        <v>1681</v>
      </c>
      <c r="B55" s="444"/>
      <c r="C55" s="456" t="s">
        <v>1776</v>
      </c>
      <c r="D55" s="31"/>
      <c r="E55" s="31"/>
      <c r="F55" s="31"/>
      <c r="G55" s="31"/>
      <c r="H55" s="31"/>
      <c r="I55" s="31"/>
      <c r="J55" s="31"/>
      <c r="K55" s="31"/>
      <c r="L55" s="457"/>
      <c r="M55" s="458"/>
      <c r="N55" s="876"/>
      <c r="O55" s="876"/>
      <c r="P55" s="459"/>
      <c r="Q55" s="439"/>
    </row>
    <row r="56" spans="1:17" s="102" customFormat="1" ht="14.4" thickBot="1">
      <c r="A56" s="455"/>
      <c r="B56" s="444"/>
      <c r="C56" s="563">
        <v>100</v>
      </c>
      <c r="D56" s="446"/>
      <c r="E56" s="446"/>
      <c r="F56" s="446"/>
      <c r="G56" s="446"/>
      <c r="H56" s="446"/>
      <c r="I56" s="446"/>
      <c r="J56" s="446"/>
      <c r="K56" s="446"/>
      <c r="L56" s="446"/>
      <c r="M56" s="448"/>
      <c r="N56" s="876"/>
      <c r="O56" s="876"/>
      <c r="P56" s="439"/>
      <c r="Q56" s="439"/>
    </row>
    <row r="57" spans="1:17" ht="14.4">
      <c r="A57" s="379" t="s">
        <v>1719</v>
      </c>
      <c r="B57" s="460" t="s">
        <v>1685</v>
      </c>
      <c r="C57" s="461">
        <f>C9</f>
        <v>0</v>
      </c>
      <c r="D57" s="462"/>
      <c r="E57" s="462"/>
      <c r="F57" s="462"/>
      <c r="G57" s="462"/>
      <c r="H57" s="462"/>
      <c r="I57" s="462"/>
      <c r="J57" s="462"/>
      <c r="K57" s="463"/>
      <c r="L57" s="464"/>
      <c r="M57" s="465"/>
      <c r="N57" s="877"/>
      <c r="O57" s="877"/>
      <c r="P57" s="40"/>
      <c r="Q57" s="439"/>
    </row>
    <row r="58" spans="1:17" ht="14.4" thickBot="1">
      <c r="A58" s="367"/>
      <c r="B58" s="466"/>
      <c r="C58" s="467">
        <v>100</v>
      </c>
      <c r="D58" s="467"/>
      <c r="E58" s="467"/>
      <c r="F58" s="467"/>
      <c r="G58" s="467"/>
      <c r="H58" s="467"/>
      <c r="I58" s="467"/>
      <c r="J58" s="467"/>
      <c r="K58" s="467"/>
      <c r="L58" s="467"/>
      <c r="M58" s="468"/>
      <c r="N58" s="878"/>
      <c r="O58" s="878"/>
      <c r="P58" s="40"/>
      <c r="Q58" s="439"/>
    </row>
    <row r="59" spans="1:17" ht="29.4" thickTop="1">
      <c r="A59" s="367"/>
      <c r="B59" s="469" t="s">
        <v>1688</v>
      </c>
      <c r="C59" s="513"/>
      <c r="D59" s="513"/>
      <c r="E59" s="513"/>
      <c r="F59" s="513"/>
      <c r="G59" s="513"/>
      <c r="H59" s="513"/>
      <c r="I59" s="513"/>
      <c r="J59" s="513"/>
      <c r="K59" s="514"/>
      <c r="L59" s="515"/>
      <c r="M59" s="516"/>
      <c r="N59" s="877"/>
      <c r="O59" s="877"/>
      <c r="P59" s="40"/>
      <c r="Q59" s="439"/>
    </row>
    <row r="60" spans="1:17" ht="14.4" thickBot="1">
      <c r="A60" s="367"/>
      <c r="B60" s="474"/>
      <c r="C60" s="467"/>
      <c r="D60" s="467"/>
      <c r="E60" s="467"/>
      <c r="F60" s="467"/>
      <c r="G60" s="467"/>
      <c r="H60" s="467"/>
      <c r="I60" s="467"/>
      <c r="J60" s="467"/>
      <c r="K60" s="467"/>
      <c r="L60" s="467"/>
      <c r="M60" s="468"/>
      <c r="N60" s="878"/>
      <c r="O60" s="878"/>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8"/>
      <c r="O61" s="878"/>
      <c r="P61" s="40"/>
      <c r="Q61" s="439"/>
    </row>
    <row r="62" spans="1:17">
      <c r="A62" s="367"/>
      <c r="B62" s="479"/>
      <c r="C62" s="480">
        <v>0</v>
      </c>
      <c r="D62" s="480">
        <v>2</v>
      </c>
      <c r="E62" s="480"/>
      <c r="F62" s="480"/>
      <c r="G62" s="480"/>
      <c r="H62" s="480"/>
      <c r="I62" s="480"/>
      <c r="J62" s="480"/>
      <c r="K62" s="481"/>
      <c r="L62" s="482"/>
      <c r="M62" s="483"/>
      <c r="N62" s="877"/>
      <c r="O62" s="877"/>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8"/>
      <c r="O63" s="878"/>
      <c r="P63" s="40"/>
      <c r="Q63" s="439"/>
    </row>
    <row r="64" spans="1:17" s="408" customFormat="1" ht="14.4" thickTop="1">
      <c r="A64" s="484"/>
      <c r="B64" s="469">
        <f>B12</f>
        <v>111</v>
      </c>
      <c r="C64" s="485"/>
      <c r="D64" s="485"/>
      <c r="E64" s="485"/>
      <c r="F64" s="485"/>
      <c r="G64" s="485"/>
      <c r="H64" s="486"/>
      <c r="I64" s="486"/>
      <c r="J64" s="486"/>
      <c r="K64" s="486"/>
      <c r="L64" s="487"/>
      <c r="M64" s="488"/>
      <c r="N64" s="879"/>
      <c r="O64" s="879"/>
      <c r="P64" s="489"/>
      <c r="Q64" s="490"/>
    </row>
    <row r="65" spans="1:17" s="408" customFormat="1" ht="14.4" thickBot="1">
      <c r="A65" s="484"/>
      <c r="B65" s="474"/>
      <c r="C65" s="491"/>
      <c r="D65" s="467"/>
      <c r="E65" s="467"/>
      <c r="F65" s="467"/>
      <c r="G65" s="467"/>
      <c r="H65" s="467"/>
      <c r="I65" s="467"/>
      <c r="J65" s="467"/>
      <c r="K65" s="467"/>
      <c r="L65" s="467"/>
      <c r="M65" s="468"/>
      <c r="N65" s="878"/>
      <c r="O65" s="878"/>
      <c r="P65" s="489"/>
      <c r="Q65" s="490"/>
    </row>
    <row r="66" spans="1:17" s="408" customFormat="1" ht="14.4" thickTop="1">
      <c r="A66" s="484"/>
      <c r="B66" s="469">
        <f>B13</f>
        <v>111</v>
      </c>
      <c r="C66" s="485"/>
      <c r="D66" s="485"/>
      <c r="E66" s="485"/>
      <c r="F66" s="485"/>
      <c r="G66" s="485"/>
      <c r="H66" s="486"/>
      <c r="I66" s="486"/>
      <c r="J66" s="486"/>
      <c r="K66" s="486"/>
      <c r="L66" s="487"/>
      <c r="M66" s="488"/>
      <c r="N66" s="879"/>
      <c r="O66" s="879"/>
      <c r="Q66" s="492"/>
    </row>
    <row r="67" spans="1:17" s="408" customFormat="1" ht="14.4" thickBot="1">
      <c r="A67" s="484"/>
      <c r="B67" s="474"/>
      <c r="C67" s="491"/>
      <c r="D67" s="467"/>
      <c r="E67" s="467"/>
      <c r="F67" s="467"/>
      <c r="G67" s="491"/>
      <c r="H67" s="493"/>
      <c r="I67" s="493"/>
      <c r="J67" s="493"/>
      <c r="K67" s="493"/>
      <c r="L67" s="493"/>
      <c r="M67" s="494"/>
      <c r="N67" s="879"/>
      <c r="O67" s="879"/>
      <c r="P67" s="489"/>
      <c r="Q67" s="490"/>
    </row>
    <row r="68" spans="1:17" s="408" customFormat="1" ht="14.4" thickTop="1">
      <c r="A68" s="484"/>
      <c r="B68" s="477">
        <f>B14</f>
        <v>111</v>
      </c>
      <c r="C68" s="31"/>
      <c r="D68" s="31"/>
      <c r="E68" s="31"/>
      <c r="F68" s="31"/>
      <c r="G68" s="31"/>
      <c r="H68" s="495"/>
      <c r="I68" s="495"/>
      <c r="J68" s="495"/>
      <c r="K68" s="495"/>
      <c r="L68" s="496"/>
      <c r="M68" s="497"/>
      <c r="N68" s="879"/>
      <c r="O68" s="879"/>
      <c r="P68" s="498"/>
      <c r="Q68" s="490"/>
    </row>
    <row r="69" spans="1:17" s="408" customFormat="1" ht="14.4" thickBot="1">
      <c r="A69" s="499"/>
      <c r="B69" s="500"/>
      <c r="C69" s="501"/>
      <c r="D69" s="501"/>
      <c r="E69" s="501"/>
      <c r="F69" s="501"/>
      <c r="G69" s="501"/>
      <c r="H69" s="502"/>
      <c r="I69" s="502"/>
      <c r="J69" s="502"/>
      <c r="K69" s="502"/>
      <c r="L69" s="502"/>
      <c r="M69" s="503"/>
      <c r="N69" s="879"/>
      <c r="O69" s="879"/>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7"/>
      <c r="O70" s="877"/>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8"/>
      <c r="O71" s="878"/>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7"/>
      <c r="O72" s="877"/>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8"/>
      <c r="O73" s="878"/>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7"/>
      <c r="O74" s="877"/>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8"/>
      <c r="O75" s="878"/>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1"/>
      <c r="N76" s="878"/>
      <c r="O76" s="878"/>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78"/>
      <c r="O77" s="878"/>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7"/>
      <c r="O78" s="877"/>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8"/>
      <c r="O79" s="878"/>
      <c r="P79" s="40"/>
      <c r="Q79" s="439"/>
    </row>
    <row r="80" spans="1:17" s="102" customFormat="1" ht="14.4" thickTop="1">
      <c r="A80" s="370"/>
      <c r="B80" s="469">
        <f>B25</f>
        <v>111</v>
      </c>
      <c r="C80" s="485"/>
      <c r="D80" s="485"/>
      <c r="E80" s="485"/>
      <c r="F80" s="485"/>
      <c r="G80" s="485"/>
      <c r="H80" s="485"/>
      <c r="I80" s="485"/>
      <c r="J80" s="485"/>
      <c r="K80" s="485"/>
      <c r="L80" s="510"/>
      <c r="M80" s="511"/>
      <c r="N80" s="876"/>
      <c r="O80" s="876"/>
      <c r="P80" s="40"/>
      <c r="Q80" s="439"/>
    </row>
    <row r="81" spans="1:17" s="102" customFormat="1" ht="14.4" thickBot="1">
      <c r="A81" s="370"/>
      <c r="B81" s="474"/>
      <c r="C81" s="491"/>
      <c r="D81" s="467"/>
      <c r="E81" s="467"/>
      <c r="F81" s="467"/>
      <c r="G81" s="467"/>
      <c r="H81" s="467"/>
      <c r="I81" s="467"/>
      <c r="J81" s="467"/>
      <c r="K81" s="467"/>
      <c r="L81" s="467"/>
      <c r="M81" s="468"/>
      <c r="N81" s="878"/>
      <c r="O81" s="878"/>
      <c r="P81" s="40"/>
      <c r="Q81" s="439"/>
    </row>
    <row r="82" spans="1:17" s="102" customFormat="1" ht="14.4" thickTop="1">
      <c r="A82" s="370"/>
      <c r="B82" s="469">
        <f>B26</f>
        <v>111</v>
      </c>
      <c r="C82" s="485"/>
      <c r="D82" s="485"/>
      <c r="E82" s="485"/>
      <c r="F82" s="485"/>
      <c r="G82" s="485"/>
      <c r="H82" s="485"/>
      <c r="I82" s="485"/>
      <c r="J82" s="485"/>
      <c r="K82" s="485"/>
      <c r="L82" s="510"/>
      <c r="M82" s="511"/>
      <c r="N82" s="876"/>
      <c r="O82" s="876"/>
      <c r="P82" s="40"/>
      <c r="Q82" s="439"/>
    </row>
    <row r="83" spans="1:17" s="102" customFormat="1" ht="14.4" thickBot="1">
      <c r="A83" s="370"/>
      <c r="B83" s="474"/>
      <c r="C83" s="491"/>
      <c r="D83" s="467"/>
      <c r="E83" s="467"/>
      <c r="F83" s="467"/>
      <c r="G83" s="467"/>
      <c r="H83" s="467"/>
      <c r="I83" s="467"/>
      <c r="J83" s="467"/>
      <c r="K83" s="467"/>
      <c r="L83" s="467"/>
      <c r="M83" s="468"/>
      <c r="N83" s="878"/>
      <c r="O83" s="878"/>
      <c r="P83" s="40"/>
      <c r="Q83" s="439"/>
    </row>
    <row r="84" spans="1:17" s="408" customFormat="1" ht="14.4" thickTop="1">
      <c r="A84" s="484"/>
      <c r="B84" s="469">
        <f>B27</f>
        <v>111</v>
      </c>
      <c r="C84" s="485"/>
      <c r="D84" s="485"/>
      <c r="E84" s="485"/>
      <c r="F84" s="485"/>
      <c r="G84" s="485"/>
      <c r="H84" s="485"/>
      <c r="I84" s="485"/>
      <c r="J84" s="485"/>
      <c r="K84" s="485"/>
      <c r="L84" s="510"/>
      <c r="M84" s="511"/>
      <c r="N84" s="879"/>
      <c r="O84" s="879"/>
      <c r="P84" s="489"/>
      <c r="Q84" s="490"/>
    </row>
    <row r="85" spans="1:17" s="408" customFormat="1" ht="14.4" thickBot="1">
      <c r="A85" s="484"/>
      <c r="B85" s="474"/>
      <c r="C85" s="491"/>
      <c r="D85" s="467"/>
      <c r="E85" s="467"/>
      <c r="F85" s="467"/>
      <c r="G85" s="467"/>
      <c r="H85" s="467"/>
      <c r="I85" s="467"/>
      <c r="J85" s="467"/>
      <c r="K85" s="467"/>
      <c r="L85" s="467"/>
      <c r="M85" s="468"/>
      <c r="N85" s="879"/>
      <c r="O85" s="879"/>
      <c r="P85" s="489"/>
      <c r="Q85" s="490"/>
    </row>
    <row r="86" spans="1:17" ht="14.4" thickTop="1">
      <c r="A86" s="367"/>
      <c r="B86" s="477">
        <f>B28</f>
        <v>111</v>
      </c>
      <c r="C86" s="31"/>
      <c r="D86" s="31"/>
      <c r="E86" s="31"/>
      <c r="F86" s="31"/>
      <c r="G86" s="517"/>
      <c r="H86" s="517"/>
      <c r="I86" s="517"/>
      <c r="J86" s="517"/>
      <c r="K86" s="518"/>
      <c r="L86" s="519"/>
      <c r="M86" s="520"/>
      <c r="N86" s="877"/>
      <c r="O86" s="877"/>
      <c r="P86" s="40"/>
      <c r="Q86" s="439"/>
    </row>
    <row r="87" spans="1:17" ht="14.4" thickBot="1">
      <c r="A87" s="375"/>
      <c r="B87" s="500"/>
      <c r="C87" s="501"/>
      <c r="D87" s="501"/>
      <c r="E87" s="501"/>
      <c r="F87" s="501"/>
      <c r="G87" s="521"/>
      <c r="H87" s="521"/>
      <c r="I87" s="521"/>
      <c r="J87" s="521"/>
      <c r="K87" s="521"/>
      <c r="L87" s="521"/>
      <c r="M87" s="522"/>
      <c r="N87" s="878"/>
      <c r="O87" s="878"/>
      <c r="P87" s="40"/>
      <c r="Q87" s="439"/>
    </row>
    <row r="88" spans="1:17" ht="14.4">
      <c r="A88" s="379" t="s">
        <v>1694</v>
      </c>
      <c r="B88" s="460" t="s">
        <v>1736</v>
      </c>
      <c r="C88" s="462"/>
      <c r="D88" s="462"/>
      <c r="E88" s="462"/>
      <c r="F88" s="462"/>
      <c r="G88" s="462"/>
      <c r="H88" s="462"/>
      <c r="I88" s="462"/>
      <c r="J88" s="462"/>
      <c r="K88" s="463"/>
      <c r="L88" s="464"/>
      <c r="M88" s="465"/>
      <c r="N88" s="877"/>
      <c r="O88" s="877"/>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8"/>
      <c r="O89" s="878"/>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6"/>
      <c r="O90" s="876"/>
      <c r="P90" s="40"/>
      <c r="Q90" s="439"/>
    </row>
    <row r="91" spans="1:17" s="408" customFormat="1">
      <c r="A91" s="406"/>
      <c r="B91" s="523"/>
      <c r="C91" s="6"/>
      <c r="D91" s="6"/>
      <c r="E91" s="6"/>
      <c r="F91" s="6"/>
      <c r="G91" s="6"/>
      <c r="H91" s="6"/>
      <c r="I91" s="6"/>
      <c r="J91" s="524"/>
      <c r="K91" s="524"/>
      <c r="L91" s="525"/>
      <c r="M91" s="526"/>
      <c r="N91" s="879"/>
      <c r="O91" s="879"/>
      <c r="P91" s="489"/>
      <c r="Q91" s="490"/>
    </row>
    <row r="92" spans="1:17" s="408" customFormat="1" ht="14.4" thickBot="1">
      <c r="A92" s="484"/>
      <c r="B92" s="474"/>
      <c r="C92" s="491"/>
      <c r="D92" s="467"/>
      <c r="E92" s="467"/>
      <c r="F92" s="467"/>
      <c r="G92" s="467"/>
      <c r="H92" s="467"/>
      <c r="I92" s="467"/>
      <c r="J92" s="467"/>
      <c r="K92" s="467"/>
      <c r="L92" s="467"/>
      <c r="M92" s="468"/>
      <c r="N92" s="878"/>
      <c r="O92" s="878"/>
      <c r="P92" s="489"/>
      <c r="Q92" s="490"/>
    </row>
    <row r="93" spans="1:17" ht="15" thickTop="1">
      <c r="A93" s="409"/>
      <c r="B93" s="469" t="s">
        <v>1738</v>
      </c>
      <c r="C93" s="485"/>
      <c r="D93" s="485"/>
      <c r="E93" s="513"/>
      <c r="F93" s="513"/>
      <c r="G93" s="513"/>
      <c r="H93" s="513"/>
      <c r="I93" s="513"/>
      <c r="J93" s="513"/>
      <c r="K93" s="514"/>
      <c r="L93" s="515"/>
      <c r="M93" s="516"/>
      <c r="N93" s="877"/>
      <c r="O93" s="877"/>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8"/>
      <c r="O94" s="878"/>
      <c r="P94" s="40"/>
      <c r="Q94" s="439"/>
    </row>
    <row r="95" spans="1:17" ht="15" thickTop="1">
      <c r="A95" s="409"/>
      <c r="B95" s="469" t="s">
        <v>1740</v>
      </c>
      <c r="C95" s="485"/>
      <c r="D95" s="485"/>
      <c r="E95" s="485"/>
      <c r="F95" s="513"/>
      <c r="G95" s="513"/>
      <c r="H95" s="513"/>
      <c r="I95" s="513"/>
      <c r="J95" s="513"/>
      <c r="K95" s="514"/>
      <c r="L95" s="515"/>
      <c r="M95" s="516"/>
      <c r="N95" s="877"/>
      <c r="O95" s="877"/>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8"/>
      <c r="O96" s="878"/>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7"/>
      <c r="O97" s="877"/>
      <c r="P97" s="40"/>
      <c r="Q97" s="439"/>
    </row>
    <row r="98" spans="1:17">
      <c r="A98" s="409"/>
      <c r="B98" s="477"/>
      <c r="C98" s="530">
        <v>0.5</v>
      </c>
      <c r="D98" s="530">
        <v>0.6</v>
      </c>
      <c r="E98" s="530">
        <v>0.7</v>
      </c>
      <c r="F98" s="530">
        <v>0.8</v>
      </c>
      <c r="G98" s="530">
        <v>0.9</v>
      </c>
      <c r="H98" s="530">
        <v>1.0001</v>
      </c>
      <c r="I98" s="548"/>
      <c r="J98" s="548"/>
      <c r="K98" s="549"/>
      <c r="L98" s="550"/>
      <c r="M98" s="551"/>
      <c r="N98" s="877"/>
      <c r="O98" s="877"/>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8"/>
      <c r="O99" s="878"/>
      <c r="P99" s="40"/>
      <c r="Q99" s="439"/>
    </row>
    <row r="100" spans="1:17" s="408" customFormat="1" ht="15" thickTop="1">
      <c r="A100" s="406"/>
      <c r="B100" s="469" t="s">
        <v>1741</v>
      </c>
      <c r="C100" s="485"/>
      <c r="D100" s="485"/>
      <c r="E100" s="485"/>
      <c r="F100" s="485"/>
      <c r="G100" s="485"/>
      <c r="H100" s="513"/>
      <c r="I100" s="513"/>
      <c r="J100" s="513"/>
      <c r="K100" s="514"/>
      <c r="L100" s="515"/>
      <c r="M100" s="516"/>
      <c r="N100" s="879"/>
      <c r="O100" s="879"/>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9"/>
      <c r="O101" s="879"/>
      <c r="P101" s="489"/>
      <c r="Q101" s="490"/>
    </row>
    <row r="102" spans="1:17" ht="15" thickTop="1">
      <c r="A102" s="409"/>
      <c r="B102" s="469" t="s">
        <v>1742</v>
      </c>
      <c r="C102" s="485"/>
      <c r="D102" s="485"/>
      <c r="E102" s="485"/>
      <c r="F102" s="485"/>
      <c r="G102" s="485"/>
      <c r="H102" s="513"/>
      <c r="I102" s="513"/>
      <c r="J102" s="513"/>
      <c r="K102" s="514"/>
      <c r="L102" s="515"/>
      <c r="M102" s="516"/>
      <c r="N102" s="877"/>
      <c r="O102" s="877"/>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8"/>
      <c r="O103" s="878"/>
      <c r="P103" s="40"/>
      <c r="Q103" s="439"/>
    </row>
    <row r="104" spans="1:17" ht="15" thickTop="1">
      <c r="A104" s="409"/>
      <c r="B104" s="469" t="s">
        <v>1744</v>
      </c>
      <c r="C104" s="485"/>
      <c r="D104" s="485"/>
      <c r="E104" s="485"/>
      <c r="F104" s="485"/>
      <c r="G104" s="485"/>
      <c r="H104" s="513"/>
      <c r="I104" s="513"/>
      <c r="J104" s="513"/>
      <c r="K104" s="514"/>
      <c r="L104" s="515"/>
      <c r="M104" s="516"/>
      <c r="N104" s="877"/>
      <c r="O104" s="877"/>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8"/>
      <c r="O105" s="878"/>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78"/>
      <c r="O106" s="878"/>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8"/>
      <c r="O107" s="878"/>
      <c r="P107" s="40"/>
      <c r="Q107" s="439"/>
    </row>
    <row r="108" spans="1:17" s="408" customFormat="1" ht="14.4" thickTop="1">
      <c r="A108" s="406"/>
      <c r="B108" s="469">
        <f>B38</f>
        <v>111</v>
      </c>
      <c r="C108" s="485"/>
      <c r="D108" s="485"/>
      <c r="E108" s="485"/>
      <c r="F108" s="485"/>
      <c r="G108" s="485"/>
      <c r="H108" s="486"/>
      <c r="I108" s="486"/>
      <c r="J108" s="486"/>
      <c r="K108" s="486"/>
      <c r="L108" s="487"/>
      <c r="M108" s="488"/>
      <c r="N108" s="879"/>
      <c r="O108" s="879"/>
      <c r="P108" s="489"/>
      <c r="Q108" s="490"/>
    </row>
    <row r="109" spans="1:17" s="408" customFormat="1" ht="14.4" thickBot="1">
      <c r="A109" s="484"/>
      <c r="B109" s="466"/>
      <c r="C109" s="491"/>
      <c r="D109" s="467"/>
      <c r="E109" s="467"/>
      <c r="F109" s="467"/>
      <c r="G109" s="491"/>
      <c r="H109" s="493"/>
      <c r="I109" s="493"/>
      <c r="J109" s="493"/>
      <c r="K109" s="493"/>
      <c r="L109" s="493"/>
      <c r="M109" s="494"/>
      <c r="N109" s="879"/>
      <c r="O109" s="879"/>
      <c r="P109" s="489"/>
      <c r="Q109" s="490"/>
    </row>
    <row r="110" spans="1:17" ht="14.4" thickTop="1">
      <c r="A110" s="409"/>
      <c r="B110" s="469">
        <f>B39</f>
        <v>111</v>
      </c>
      <c r="C110" s="485"/>
      <c r="D110" s="485"/>
      <c r="E110" s="485"/>
      <c r="F110" s="485"/>
      <c r="G110" s="485"/>
      <c r="H110" s="486"/>
      <c r="I110" s="486"/>
      <c r="J110" s="486"/>
      <c r="K110" s="486"/>
      <c r="L110" s="487"/>
      <c r="M110" s="488"/>
      <c r="N110" s="877"/>
      <c r="O110" s="877"/>
      <c r="P110" s="40"/>
      <c r="Q110" s="439"/>
    </row>
    <row r="111" spans="1:17" ht="14.4" thickBot="1">
      <c r="A111" s="367"/>
      <c r="B111" s="474"/>
      <c r="C111" s="491"/>
      <c r="D111" s="467"/>
      <c r="E111" s="467"/>
      <c r="F111" s="467"/>
      <c r="G111" s="491"/>
      <c r="H111" s="493"/>
      <c r="I111" s="493"/>
      <c r="J111" s="493"/>
      <c r="K111" s="493"/>
      <c r="L111" s="493"/>
      <c r="M111" s="494"/>
      <c r="N111" s="878"/>
      <c r="O111" s="878"/>
      <c r="P111" s="40"/>
      <c r="Q111" s="439"/>
    </row>
    <row r="112" spans="1:17" ht="14.4" thickTop="1">
      <c r="A112" s="409"/>
      <c r="B112" s="477">
        <f>B40</f>
        <v>111</v>
      </c>
      <c r="C112" s="31"/>
      <c r="D112" s="31"/>
      <c r="E112" s="31"/>
      <c r="F112" s="31"/>
      <c r="G112" s="517"/>
      <c r="H112" s="517"/>
      <c r="I112" s="517"/>
      <c r="J112" s="517"/>
      <c r="K112" s="31"/>
      <c r="L112" s="457"/>
      <c r="M112" s="520"/>
      <c r="N112" s="877"/>
      <c r="O112" s="877"/>
      <c r="P112" s="40"/>
      <c r="Q112" s="439"/>
    </row>
    <row r="113" spans="1:17" ht="14.4" thickBot="1">
      <c r="A113" s="375"/>
      <c r="B113" s="500"/>
      <c r="C113" s="501"/>
      <c r="D113" s="501"/>
      <c r="E113" s="501"/>
      <c r="F113" s="501"/>
      <c r="G113" s="521"/>
      <c r="H113" s="521"/>
      <c r="I113" s="521"/>
      <c r="J113" s="521"/>
      <c r="K113" s="521"/>
      <c r="L113" s="521"/>
      <c r="M113" s="522"/>
      <c r="N113" s="878"/>
      <c r="O113" s="878"/>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1"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1831</v>
      </c>
      <c r="B1" s="1138" t="s">
        <v>3328</v>
      </c>
      <c r="C1" s="1139" t="s">
        <v>1662</v>
      </c>
      <c r="D1" s="1140"/>
      <c r="E1" s="3127"/>
      <c r="F1" s="1733"/>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9"/>
      <c r="M2" s="2500"/>
      <c r="N2" s="2500"/>
      <c r="O2" s="2500"/>
      <c r="P2" s="1084"/>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3"/>
      <c r="H3" s="853"/>
      <c r="I3" s="853"/>
      <c r="J3" s="853"/>
      <c r="K3" s="855"/>
      <c r="L3" s="2499"/>
      <c r="M3" s="2500" t="e">
        <f ca="1">IF(C2="——",IF(B37="元/平方米",ROUND(C39*D3/10000,0),ROUND(F3*C39/10000,0)),IF(B37="元/平方米",ROUND(C39*D3/10000,0),ROUND(F3*C39/10000,0))-D2)</f>
        <v>#DIV/0!</v>
      </c>
      <c r="N3" s="2500"/>
      <c r="O3" s="2500"/>
      <c r="P3" s="1084"/>
      <c r="Q3" s="341"/>
      <c r="R3" s="341"/>
      <c r="S3" s="341"/>
      <c r="T3" s="341"/>
      <c r="U3" s="341"/>
      <c r="V3" s="341"/>
      <c r="W3" s="341"/>
      <c r="X3" s="341"/>
      <c r="Y3" s="341"/>
      <c r="Z3" s="341"/>
      <c r="AA3" s="341"/>
      <c r="AB3" s="676"/>
      <c r="AC3" s="663"/>
    </row>
    <row r="4" spans="1:29" ht="14.4">
      <c r="A4" s="345" t="s">
        <v>1769</v>
      </c>
      <c r="B4" s="346"/>
      <c r="C4" s="3385" t="s">
        <v>1770</v>
      </c>
      <c r="D4" s="3386"/>
      <c r="E4" s="3387" t="s">
        <v>1771</v>
      </c>
      <c r="F4" s="3388"/>
      <c r="G4" s="3385" t="s">
        <v>1772</v>
      </c>
      <c r="H4" s="3386"/>
      <c r="I4" s="3385" t="s">
        <v>1773</v>
      </c>
      <c r="J4" s="3386"/>
      <c r="K4" s="537" t="s">
        <v>1774</v>
      </c>
      <c r="L4" s="2482"/>
      <c r="M4" s="2483"/>
      <c r="N4" s="2483"/>
      <c r="O4" s="2483"/>
      <c r="P4" s="3389" t="s">
        <v>1775</v>
      </c>
      <c r="Q4" s="3390"/>
      <c r="R4" s="3395" t="s">
        <v>1771</v>
      </c>
      <c r="S4" s="3396"/>
      <c r="T4" s="3395" t="s">
        <v>1772</v>
      </c>
      <c r="U4" s="3396"/>
      <c r="V4" s="3368" t="s">
        <v>1773</v>
      </c>
      <c r="W4" s="3368"/>
      <c r="X4" s="1263"/>
      <c r="Y4" s="3395" t="s">
        <v>1775</v>
      </c>
      <c r="Z4" s="3396"/>
      <c r="AA4" s="3382" t="s">
        <v>1771</v>
      </c>
      <c r="AB4" s="3383" t="s">
        <v>1772</v>
      </c>
      <c r="AC4" s="3382" t="s">
        <v>1773</v>
      </c>
    </row>
    <row r="5" spans="1:29">
      <c r="A5" s="348"/>
      <c r="B5" s="349"/>
      <c r="C5" s="3403" t="s">
        <v>1673</v>
      </c>
      <c r="D5" s="3404"/>
      <c r="E5" s="3411" t="s">
        <v>1674</v>
      </c>
      <c r="F5" s="3412"/>
      <c r="G5" s="3403" t="s">
        <v>1675</v>
      </c>
      <c r="H5" s="3404"/>
      <c r="I5" s="3403" t="s">
        <v>1676</v>
      </c>
      <c r="J5" s="3404"/>
      <c r="K5" s="537"/>
      <c r="L5" s="2482"/>
      <c r="M5" s="2483"/>
      <c r="N5" s="2483"/>
      <c r="O5" s="2483"/>
      <c r="P5" s="3391"/>
      <c r="Q5" s="3392"/>
      <c r="R5" s="3397"/>
      <c r="S5" s="3398"/>
      <c r="T5" s="3397"/>
      <c r="U5" s="3398"/>
      <c r="V5" s="3368"/>
      <c r="W5" s="3368"/>
      <c r="X5" s="1263"/>
      <c r="Y5" s="3397"/>
      <c r="Z5" s="3398"/>
      <c r="AA5" s="3383"/>
      <c r="AB5" s="3383"/>
      <c r="AC5" s="3383"/>
    </row>
    <row r="6" spans="1:29" ht="15" thickBot="1">
      <c r="A6" s="350"/>
      <c r="B6" s="351"/>
      <c r="C6" s="3401" t="s">
        <v>1677</v>
      </c>
      <c r="D6" s="3402"/>
      <c r="E6" s="3409" t="s">
        <v>1677</v>
      </c>
      <c r="F6" s="3410"/>
      <c r="G6" s="3401" t="s">
        <v>1677</v>
      </c>
      <c r="H6" s="3402"/>
      <c r="I6" s="3401" t="s">
        <v>1677</v>
      </c>
      <c r="J6" s="3402"/>
      <c r="K6" s="537" t="s">
        <v>1678</v>
      </c>
      <c r="L6" s="2482"/>
      <c r="M6" s="2483"/>
      <c r="N6" s="2483"/>
      <c r="O6" s="2483"/>
      <c r="P6" s="3393"/>
      <c r="Q6" s="3394"/>
      <c r="R6" s="3397"/>
      <c r="S6" s="3398"/>
      <c r="T6" s="3399"/>
      <c r="U6" s="3400"/>
      <c r="V6" s="3368"/>
      <c r="W6" s="3368"/>
      <c r="X6" s="1263"/>
      <c r="Y6" s="3399"/>
      <c r="Z6" s="3400"/>
      <c r="AA6" s="3384"/>
      <c r="AB6" s="3384"/>
      <c r="AC6" s="3384"/>
    </row>
    <row r="7" spans="1:29" s="102" customFormat="1" ht="15" thickBot="1">
      <c r="A7" s="352" t="s">
        <v>1679</v>
      </c>
      <c r="B7" s="353"/>
      <c r="C7" s="354">
        <f>'数据-取费表'!B2</f>
        <v>45793</v>
      </c>
      <c r="D7" s="355">
        <v>100</v>
      </c>
      <c r="E7" s="356"/>
      <c r="F7" s="357">
        <f>SUMIF(48:48,YEAR(E7)&amp;"-"&amp;MONTH(E7),49:49)</f>
        <v>0</v>
      </c>
      <c r="G7" s="356"/>
      <c r="H7" s="355">
        <f>SUMIF(48:48,YEAR(G7)&amp;"-"&amp;MONTH(G7),49:49)</f>
        <v>0</v>
      </c>
      <c r="I7" s="356"/>
      <c r="J7" s="355">
        <f>SUMIF(48:48,YEAR(I7)&amp;"-"&amp;MONTH(I7),49:49)</f>
        <v>0</v>
      </c>
      <c r="K7" s="38"/>
      <c r="L7" s="2484"/>
      <c r="M7" s="2436"/>
      <c r="N7" s="2436"/>
      <c r="O7" s="2436"/>
      <c r="P7" s="3405" t="s">
        <v>1680</v>
      </c>
      <c r="Q7" s="3407"/>
      <c r="R7" s="664" t="s">
        <v>14</v>
      </c>
      <c r="S7" s="665">
        <f t="shared" ref="S7:S14" si="0">F7</f>
        <v>0</v>
      </c>
      <c r="T7" s="664" t="s">
        <v>14</v>
      </c>
      <c r="U7" s="665">
        <f t="shared" ref="U7:U14" si="1">H7</f>
        <v>0</v>
      </c>
      <c r="V7" s="664" t="s">
        <v>14</v>
      </c>
      <c r="W7" s="665">
        <f t="shared" ref="W7:W14" si="2">J7</f>
        <v>0</v>
      </c>
      <c r="X7" s="666"/>
      <c r="Y7" s="3405" t="s">
        <v>1680</v>
      </c>
      <c r="Z7" s="3406"/>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4"/>
      <c r="M8" s="2436"/>
      <c r="N8" s="2436"/>
      <c r="O8" s="2436"/>
      <c r="P8" s="3405" t="s">
        <v>1683</v>
      </c>
      <c r="Q8" s="3406"/>
      <c r="R8" s="664" t="s">
        <v>14</v>
      </c>
      <c r="S8" s="665">
        <f t="shared" si="0"/>
        <v>100</v>
      </c>
      <c r="T8" s="664" t="s">
        <v>14</v>
      </c>
      <c r="U8" s="665">
        <f t="shared" si="1"/>
        <v>100</v>
      </c>
      <c r="V8" s="664" t="s">
        <v>14</v>
      </c>
      <c r="W8" s="665">
        <f t="shared" si="2"/>
        <v>100</v>
      </c>
      <c r="X8" s="666"/>
      <c r="Y8" s="3405" t="s">
        <v>1683</v>
      </c>
      <c r="Z8" s="3406"/>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4"/>
      <c r="M9" s="2436"/>
      <c r="N9" s="2436"/>
      <c r="O9" s="2436"/>
      <c r="P9" s="3367" t="s">
        <v>1686</v>
      </c>
      <c r="Q9" s="530" t="str">
        <f t="shared" ref="Q9:Q14" si="6">B9</f>
        <v>用途</v>
      </c>
      <c r="R9" s="664" t="s">
        <v>14</v>
      </c>
      <c r="S9" s="665">
        <f t="shared" si="0"/>
        <v>100</v>
      </c>
      <c r="T9" s="664" t="s">
        <v>14</v>
      </c>
      <c r="U9" s="665">
        <f t="shared" si="1"/>
        <v>100</v>
      </c>
      <c r="V9" s="664" t="s">
        <v>14</v>
      </c>
      <c r="W9" s="665">
        <f t="shared" si="2"/>
        <v>100</v>
      </c>
      <c r="X9" s="666"/>
      <c r="Y9" s="3271" t="s">
        <v>1687</v>
      </c>
      <c r="Z9" s="50" t="str">
        <f t="shared" ref="Z9:Z14" si="7">Q9</f>
        <v>用途</v>
      </c>
      <c r="AA9" s="50">
        <f t="shared" si="3"/>
        <v>1</v>
      </c>
      <c r="AB9" s="50">
        <f t="shared" si="4"/>
        <v>1</v>
      </c>
      <c r="AC9" s="50">
        <f t="shared" si="5"/>
        <v>1</v>
      </c>
    </row>
    <row r="10" spans="1:29" s="366" customFormat="1" ht="28.8">
      <c r="A10" s="565"/>
      <c r="B10" s="566"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367"/>
      <c r="Q10" s="530" t="str">
        <f t="shared" si="6"/>
        <v>土地使用年限（年）</v>
      </c>
      <c r="R10" s="664" t="s">
        <v>14</v>
      </c>
      <c r="S10" s="665">
        <f t="shared" si="0"/>
        <v>100</v>
      </c>
      <c r="T10" s="664" t="s">
        <v>14</v>
      </c>
      <c r="U10" s="665">
        <f t="shared" si="1"/>
        <v>100</v>
      </c>
      <c r="V10" s="664" t="s">
        <v>14</v>
      </c>
      <c r="W10" s="665">
        <f t="shared" si="2"/>
        <v>100</v>
      </c>
      <c r="X10" s="666"/>
      <c r="Y10" s="327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367"/>
      <c r="Q11" s="530">
        <f t="shared" si="6"/>
        <v>111</v>
      </c>
      <c r="R11" s="664" t="s">
        <v>14</v>
      </c>
      <c r="S11" s="665">
        <f t="shared" si="0"/>
        <v>100</v>
      </c>
      <c r="T11" s="664" t="s">
        <v>14</v>
      </c>
      <c r="U11" s="665">
        <f t="shared" si="1"/>
        <v>100</v>
      </c>
      <c r="V11" s="664" t="s">
        <v>14</v>
      </c>
      <c r="W11" s="665">
        <f t="shared" si="2"/>
        <v>100</v>
      </c>
      <c r="X11" s="666"/>
      <c r="Y11" s="327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6"/>
      <c r="N12" s="2436"/>
      <c r="O12" s="2436"/>
      <c r="P12" s="3367"/>
      <c r="Q12" s="530">
        <f t="shared" si="6"/>
        <v>111</v>
      </c>
      <c r="R12" s="664" t="s">
        <v>14</v>
      </c>
      <c r="S12" s="665">
        <f t="shared" si="0"/>
        <v>100</v>
      </c>
      <c r="T12" s="664" t="s">
        <v>14</v>
      </c>
      <c r="U12" s="665">
        <f t="shared" si="1"/>
        <v>100</v>
      </c>
      <c r="V12" s="664" t="s">
        <v>14</v>
      </c>
      <c r="W12" s="665">
        <f t="shared" si="2"/>
        <v>100</v>
      </c>
      <c r="X12" s="666"/>
      <c r="Y12" s="327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367"/>
      <c r="Q13" s="530">
        <f t="shared" si="6"/>
        <v>111</v>
      </c>
      <c r="R13" s="664" t="s">
        <v>14</v>
      </c>
      <c r="S13" s="665">
        <f t="shared" si="0"/>
        <v>100</v>
      </c>
      <c r="T13" s="664" t="s">
        <v>14</v>
      </c>
      <c r="U13" s="665">
        <f t="shared" si="1"/>
        <v>100</v>
      </c>
      <c r="V13" s="664" t="s">
        <v>14</v>
      </c>
      <c r="W13" s="665">
        <f t="shared" si="2"/>
        <v>100</v>
      </c>
      <c r="X13" s="666"/>
      <c r="Y13" s="3271"/>
      <c r="Z13" s="50">
        <f t="shared" si="7"/>
        <v>111</v>
      </c>
      <c r="AA13" s="50">
        <f t="shared" si="3"/>
        <v>1</v>
      </c>
      <c r="AB13" s="50">
        <f t="shared" si="4"/>
        <v>1</v>
      </c>
      <c r="AC13" s="50">
        <f t="shared" si="5"/>
        <v>1</v>
      </c>
    </row>
    <row r="14" spans="1:29" ht="96.6">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374" t="s">
        <v>1691</v>
      </c>
      <c r="Q14" s="1261" t="str">
        <f t="shared" si="6"/>
        <v>交通便捷度</v>
      </c>
      <c r="R14" s="667" t="s">
        <v>14</v>
      </c>
      <c r="S14" s="668">
        <f t="shared" si="0"/>
        <v>100</v>
      </c>
      <c r="T14" s="667" t="s">
        <v>14</v>
      </c>
      <c r="U14" s="668">
        <f t="shared" si="1"/>
        <v>100</v>
      </c>
      <c r="V14" s="667" t="s">
        <v>14</v>
      </c>
      <c r="W14" s="668">
        <f t="shared" si="2"/>
        <v>100</v>
      </c>
      <c r="X14" s="1263"/>
      <c r="Y14" s="3374" t="s">
        <v>1691</v>
      </c>
      <c r="Z14" s="1262" t="str">
        <f t="shared" si="7"/>
        <v>交通便捷度</v>
      </c>
      <c r="AA14" s="1262">
        <f t="shared" si="3"/>
        <v>1</v>
      </c>
      <c r="AB14" s="1262">
        <f t="shared" si="4"/>
        <v>1</v>
      </c>
      <c r="AC14" s="1262">
        <f t="shared" si="5"/>
        <v>1</v>
      </c>
    </row>
    <row r="15" spans="1:29" ht="15">
      <c r="A15" s="348"/>
      <c r="B15" s="571"/>
      <c r="C15" s="386"/>
      <c r="D15" s="387"/>
      <c r="E15" s="386"/>
      <c r="F15" s="388"/>
      <c r="G15" s="386"/>
      <c r="H15" s="389"/>
      <c r="I15" s="386"/>
      <c r="J15" s="387"/>
      <c r="K15" s="541"/>
      <c r="L15" s="2488"/>
      <c r="M15" s="2483"/>
      <c r="N15" s="2483"/>
      <c r="O15" s="2483"/>
      <c r="P15" s="3375"/>
      <c r="Q15" s="1261"/>
      <c r="R15" s="667"/>
      <c r="S15" s="668"/>
      <c r="T15" s="667"/>
      <c r="U15" s="668"/>
      <c r="V15" s="667"/>
      <c r="W15" s="668"/>
      <c r="X15" s="1263"/>
      <c r="Y15" s="3375"/>
      <c r="Z15" s="1262"/>
      <c r="AA15" s="1262">
        <v>1</v>
      </c>
      <c r="AB15" s="1262">
        <v>1</v>
      </c>
      <c r="AC15" s="1262">
        <v>1</v>
      </c>
    </row>
    <row r="16" spans="1:29" ht="41.4">
      <c r="A16" s="348"/>
      <c r="B16" s="556" t="s">
        <v>1812</v>
      </c>
      <c r="C16" s="1752"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375"/>
      <c r="Q16" s="1261" t="str">
        <f>B16</f>
        <v>公共配套设施</v>
      </c>
      <c r="R16" s="667" t="s">
        <v>14</v>
      </c>
      <c r="S16" s="668">
        <f>F16</f>
        <v>100</v>
      </c>
      <c r="T16" s="667" t="s">
        <v>14</v>
      </c>
      <c r="U16" s="668">
        <f>H16</f>
        <v>100</v>
      </c>
      <c r="V16" s="667" t="s">
        <v>14</v>
      </c>
      <c r="W16" s="668">
        <f>J16</f>
        <v>100</v>
      </c>
      <c r="X16" s="1263"/>
      <c r="Y16" s="3375"/>
      <c r="Z16" s="1262" t="str">
        <f>Q16</f>
        <v>公共配套设施</v>
      </c>
      <c r="AA16" s="1262">
        <f t="shared" si="3"/>
        <v>1</v>
      </c>
      <c r="AB16" s="1262">
        <f t="shared" si="4"/>
        <v>1</v>
      </c>
      <c r="AC16" s="1262">
        <f t="shared" si="5"/>
        <v>1</v>
      </c>
    </row>
    <row r="17" spans="1:29" ht="15">
      <c r="A17" s="348"/>
      <c r="B17" s="401"/>
      <c r="C17" s="1753"/>
      <c r="D17" s="387"/>
      <c r="E17" s="386"/>
      <c r="F17" s="388"/>
      <c r="G17" s="386"/>
      <c r="H17" s="387"/>
      <c r="I17" s="386"/>
      <c r="J17" s="387"/>
      <c r="K17" s="541"/>
      <c r="L17" s="2488"/>
      <c r="M17" s="2483"/>
      <c r="N17" s="2483"/>
      <c r="O17" s="2483"/>
      <c r="P17" s="3375"/>
      <c r="Q17" s="1261"/>
      <c r="R17" s="667"/>
      <c r="S17" s="668"/>
      <c r="T17" s="667"/>
      <c r="U17" s="668"/>
      <c r="V17" s="667"/>
      <c r="W17" s="668"/>
      <c r="X17" s="1263"/>
      <c r="Y17" s="3375"/>
      <c r="Z17" s="1262"/>
      <c r="AA17" s="1262">
        <v>1</v>
      </c>
      <c r="AB17" s="1262">
        <v>1</v>
      </c>
      <c r="AC17" s="1262">
        <v>1</v>
      </c>
    </row>
    <row r="18" spans="1:29" ht="41.4">
      <c r="A18" s="348"/>
      <c r="B18" s="557" t="s">
        <v>1813</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375"/>
      <c r="Q18" s="1261" t="str">
        <f>B18</f>
        <v>基础设施水平</v>
      </c>
      <c r="R18" s="667" t="s">
        <v>14</v>
      </c>
      <c r="S18" s="668">
        <f>F18</f>
        <v>100</v>
      </c>
      <c r="T18" s="667" t="s">
        <v>14</v>
      </c>
      <c r="U18" s="668">
        <f>H18</f>
        <v>100</v>
      </c>
      <c r="V18" s="667" t="s">
        <v>14</v>
      </c>
      <c r="W18" s="668">
        <f>J18</f>
        <v>100</v>
      </c>
      <c r="X18" s="1263"/>
      <c r="Y18" s="3375"/>
      <c r="Z18" s="1262" t="str">
        <f>Q18</f>
        <v>基础设施水平</v>
      </c>
      <c r="AA18" s="1262">
        <f t="shared" ref="AA18" si="8">D18/F18</f>
        <v>1</v>
      </c>
      <c r="AB18" s="1262">
        <f t="shared" ref="AB18" si="9">D18/H18</f>
        <v>1</v>
      </c>
      <c r="AC18" s="1262">
        <f t="shared" ref="AC18" si="10">D18/J18</f>
        <v>1</v>
      </c>
    </row>
    <row r="19" spans="1:29" ht="15">
      <c r="A19" s="348"/>
      <c r="B19" s="557"/>
      <c r="C19" s="1753"/>
      <c r="D19" s="389"/>
      <c r="E19" s="1753"/>
      <c r="F19" s="392"/>
      <c r="G19" s="1753"/>
      <c r="H19" s="387"/>
      <c r="I19" s="386"/>
      <c r="J19" s="387"/>
      <c r="K19" s="1062"/>
      <c r="L19" s="2488"/>
      <c r="M19" s="2483"/>
      <c r="N19" s="2483"/>
      <c r="O19" s="2483"/>
      <c r="P19" s="3375"/>
      <c r="Q19" s="1261"/>
      <c r="R19" s="667"/>
      <c r="S19" s="668"/>
      <c r="T19" s="667"/>
      <c r="U19" s="668"/>
      <c r="V19" s="667"/>
      <c r="W19" s="668"/>
      <c r="X19" s="1263"/>
      <c r="Y19" s="3375"/>
      <c r="Z19" s="1262"/>
      <c r="AA19" s="1262">
        <v>1</v>
      </c>
      <c r="AB19" s="1262">
        <v>1</v>
      </c>
      <c r="AC19" s="1262">
        <v>1</v>
      </c>
    </row>
    <row r="20" spans="1:29" ht="55.2">
      <c r="A20" s="348"/>
      <c r="B20" s="556" t="s">
        <v>1834</v>
      </c>
      <c r="C20" s="1752"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375"/>
      <c r="Q20" s="1261" t="str">
        <f>B20</f>
        <v>自然及人文环境</v>
      </c>
      <c r="R20" s="667" t="s">
        <v>14</v>
      </c>
      <c r="S20" s="668">
        <f>F20</f>
        <v>100</v>
      </c>
      <c r="T20" s="667" t="s">
        <v>14</v>
      </c>
      <c r="U20" s="668">
        <f>H20</f>
        <v>100</v>
      </c>
      <c r="V20" s="667" t="s">
        <v>14</v>
      </c>
      <c r="W20" s="668">
        <f>J20</f>
        <v>100</v>
      </c>
      <c r="X20" s="1263"/>
      <c r="Y20" s="3375"/>
      <c r="Z20" s="1262" t="str">
        <f>Q20</f>
        <v>自然及人文环境</v>
      </c>
      <c r="AA20" s="1262">
        <f t="shared" si="3"/>
        <v>1</v>
      </c>
      <c r="AB20" s="1262">
        <f t="shared" si="4"/>
        <v>1</v>
      </c>
      <c r="AC20" s="1262">
        <f t="shared" si="5"/>
        <v>1</v>
      </c>
    </row>
    <row r="21" spans="1:29" ht="15">
      <c r="A21" s="348"/>
      <c r="B21" s="401"/>
      <c r="C21" s="386"/>
      <c r="D21" s="387"/>
      <c r="E21" s="386"/>
      <c r="F21" s="388"/>
      <c r="G21" s="386"/>
      <c r="H21" s="387"/>
      <c r="I21" s="386"/>
      <c r="J21" s="387"/>
      <c r="K21" s="541"/>
      <c r="L21" s="2488"/>
      <c r="M21" s="2483"/>
      <c r="N21" s="2483"/>
      <c r="O21" s="2483"/>
      <c r="P21" s="3375"/>
      <c r="Q21" s="1261"/>
      <c r="R21" s="667"/>
      <c r="S21" s="668"/>
      <c r="T21" s="667"/>
      <c r="U21" s="668"/>
      <c r="V21" s="667"/>
      <c r="W21" s="668"/>
      <c r="X21" s="1263"/>
      <c r="Y21" s="3375"/>
      <c r="Z21" s="1262"/>
      <c r="AA21" s="1262">
        <v>1</v>
      </c>
      <c r="AB21" s="1262">
        <v>1</v>
      </c>
      <c r="AC21" s="1262">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375"/>
      <c r="Q22" s="1261" t="str">
        <f>B22</f>
        <v>楼层</v>
      </c>
      <c r="R22" s="667" t="s">
        <v>14</v>
      </c>
      <c r="S22" s="668">
        <f>F22</f>
        <v>100</v>
      </c>
      <c r="T22" s="667" t="s">
        <v>14</v>
      </c>
      <c r="U22" s="668">
        <f>H22</f>
        <v>100</v>
      </c>
      <c r="V22" s="667" t="s">
        <v>14</v>
      </c>
      <c r="W22" s="668">
        <f>J22</f>
        <v>100</v>
      </c>
      <c r="X22" s="1263"/>
      <c r="Y22" s="3375"/>
      <c r="Z22" s="1262" t="str">
        <f>Q22</f>
        <v>楼层</v>
      </c>
      <c r="AA22" s="1262">
        <f t="shared" si="3"/>
        <v>1</v>
      </c>
      <c r="AB22" s="1262">
        <f t="shared" si="4"/>
        <v>1</v>
      </c>
      <c r="AC22" s="1262">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375"/>
      <c r="Q23" s="1261">
        <f>B23</f>
        <v>111</v>
      </c>
      <c r="R23" s="667" t="s">
        <v>14</v>
      </c>
      <c r="S23" s="668">
        <f>F23</f>
        <v>100</v>
      </c>
      <c r="T23" s="667" t="s">
        <v>14</v>
      </c>
      <c r="U23" s="668">
        <f>H23</f>
        <v>100</v>
      </c>
      <c r="V23" s="667" t="s">
        <v>14</v>
      </c>
      <c r="W23" s="668">
        <f>J23</f>
        <v>100</v>
      </c>
      <c r="X23" s="1263"/>
      <c r="Y23" s="3375"/>
      <c r="Z23" s="1262">
        <f>Q23</f>
        <v>111</v>
      </c>
      <c r="AA23" s="1262">
        <f t="shared" si="3"/>
        <v>1</v>
      </c>
      <c r="AB23" s="1262">
        <f t="shared" si="4"/>
        <v>1</v>
      </c>
      <c r="AC23" s="1262">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375"/>
      <c r="Q24" s="1261">
        <f t="shared" ref="Q24:Q36" si="11">B24</f>
        <v>111</v>
      </c>
      <c r="R24" s="667" t="s">
        <v>14</v>
      </c>
      <c r="S24" s="668">
        <f>F24</f>
        <v>100</v>
      </c>
      <c r="T24" s="667" t="s">
        <v>14</v>
      </c>
      <c r="U24" s="668">
        <f>H24</f>
        <v>100</v>
      </c>
      <c r="V24" s="667" t="s">
        <v>14</v>
      </c>
      <c r="W24" s="668">
        <f>J24</f>
        <v>100</v>
      </c>
      <c r="X24" s="1263"/>
      <c r="Y24" s="3375"/>
      <c r="Z24" s="1262">
        <f>Q24</f>
        <v>111</v>
      </c>
      <c r="AA24" s="1262">
        <f t="shared" si="3"/>
        <v>1</v>
      </c>
      <c r="AB24" s="1262">
        <f t="shared" si="4"/>
        <v>1</v>
      </c>
      <c r="AC24" s="1262">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6"/>
      <c r="N25" s="2436"/>
      <c r="O25" s="2436"/>
      <c r="P25" s="3375"/>
      <c r="Q25" s="530">
        <f t="shared" si="11"/>
        <v>111</v>
      </c>
      <c r="R25" s="664" t="s">
        <v>14</v>
      </c>
      <c r="S25" s="665">
        <f>F25</f>
        <v>100</v>
      </c>
      <c r="T25" s="664" t="s">
        <v>14</v>
      </c>
      <c r="U25" s="665">
        <f>H25</f>
        <v>100</v>
      </c>
      <c r="V25" s="664" t="s">
        <v>14</v>
      </c>
      <c r="W25" s="665">
        <f>J25</f>
        <v>100</v>
      </c>
      <c r="X25" s="666"/>
      <c r="Y25" s="3375"/>
      <c r="Z25" s="50">
        <f>Q25</f>
        <v>111</v>
      </c>
      <c r="AA25" s="1262">
        <f>D25/F25</f>
        <v>1</v>
      </c>
      <c r="AB25" s="1262">
        <f>D25/H25</f>
        <v>1</v>
      </c>
      <c r="AC25" s="1262">
        <f>D25/J25</f>
        <v>1</v>
      </c>
    </row>
    <row r="26" spans="1:29" ht="30">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461" t="s">
        <v>1696</v>
      </c>
      <c r="Q26" s="1261" t="str">
        <f t="shared" si="11"/>
        <v>配套类型</v>
      </c>
      <c r="R26" s="667" t="s">
        <v>14</v>
      </c>
      <c r="S26" s="668">
        <f t="shared" ref="S26:S36" si="12">F26</f>
        <v>0</v>
      </c>
      <c r="T26" s="667" t="s">
        <v>14</v>
      </c>
      <c r="U26" s="668">
        <f t="shared" ref="U26:U36" si="13">H26</f>
        <v>0</v>
      </c>
      <c r="V26" s="667" t="s">
        <v>14</v>
      </c>
      <c r="W26" s="668">
        <f t="shared" ref="W26:W36" si="14">J26</f>
        <v>0</v>
      </c>
      <c r="X26" s="1263"/>
      <c r="Y26" s="3379" t="s">
        <v>1696</v>
      </c>
      <c r="Z26" s="1262" t="str">
        <f t="shared" ref="Z26:Z36" si="15">Q26</f>
        <v>配套类型</v>
      </c>
      <c r="AA26" s="1262" t="e">
        <f t="shared" si="3"/>
        <v>#DIV/0!</v>
      </c>
      <c r="AB26" s="1262" t="e">
        <f t="shared" si="4"/>
        <v>#DIV/0!</v>
      </c>
      <c r="AC26" s="1262"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379"/>
      <c r="Q27" s="531" t="str">
        <f t="shared" si="11"/>
        <v>项目停车位配比</v>
      </c>
      <c r="R27" s="669" t="s">
        <v>14</v>
      </c>
      <c r="S27" s="670">
        <f t="shared" si="12"/>
        <v>100</v>
      </c>
      <c r="T27" s="669" t="s">
        <v>14</v>
      </c>
      <c r="U27" s="670">
        <f t="shared" si="13"/>
        <v>100</v>
      </c>
      <c r="V27" s="669" t="s">
        <v>14</v>
      </c>
      <c r="W27" s="670">
        <f t="shared" si="14"/>
        <v>100</v>
      </c>
      <c r="X27" s="671"/>
      <c r="Y27" s="3379"/>
      <c r="Z27" s="672" t="str">
        <f t="shared" si="15"/>
        <v>项目停车位配比</v>
      </c>
      <c r="AA27" s="1262">
        <f t="shared" si="3"/>
        <v>1</v>
      </c>
      <c r="AB27" s="1262">
        <f t="shared" si="4"/>
        <v>1</v>
      </c>
      <c r="AC27" s="1262">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379"/>
      <c r="Q28" s="1261" t="str">
        <f t="shared" si="11"/>
        <v>公共部分装修</v>
      </c>
      <c r="R28" s="667" t="s">
        <v>14</v>
      </c>
      <c r="S28" s="668">
        <f t="shared" si="12"/>
        <v>100</v>
      </c>
      <c r="T28" s="667" t="s">
        <v>14</v>
      </c>
      <c r="U28" s="668">
        <f t="shared" si="13"/>
        <v>100</v>
      </c>
      <c r="V28" s="667" t="s">
        <v>14</v>
      </c>
      <c r="W28" s="668">
        <f t="shared" si="14"/>
        <v>100</v>
      </c>
      <c r="X28" s="1263"/>
      <c r="Y28" s="3379"/>
      <c r="Z28" s="1262" t="str">
        <f t="shared" si="15"/>
        <v>公共部分装修</v>
      </c>
      <c r="AA28" s="1262">
        <f t="shared" si="3"/>
        <v>1</v>
      </c>
      <c r="AB28" s="1262">
        <f t="shared" si="4"/>
        <v>1</v>
      </c>
      <c r="AC28" s="1262">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379"/>
      <c r="Q29" s="1261" t="str">
        <f t="shared" si="11"/>
        <v>成新率</v>
      </c>
      <c r="R29" s="667" t="s">
        <v>14</v>
      </c>
      <c r="S29" s="668" t="e">
        <f t="shared" si="12"/>
        <v>#N/A</v>
      </c>
      <c r="T29" s="667" t="s">
        <v>14</v>
      </c>
      <c r="U29" s="668" t="e">
        <f t="shared" si="13"/>
        <v>#N/A</v>
      </c>
      <c r="V29" s="667" t="s">
        <v>14</v>
      </c>
      <c r="W29" s="668" t="e">
        <f t="shared" si="14"/>
        <v>#N/A</v>
      </c>
      <c r="X29" s="1263"/>
      <c r="Y29" s="3379"/>
      <c r="Z29" s="1262" t="str">
        <f t="shared" si="15"/>
        <v>成新率</v>
      </c>
      <c r="AA29" s="1262" t="e">
        <f t="shared" si="3"/>
        <v>#N/A</v>
      </c>
      <c r="AB29" s="1262" t="e">
        <f t="shared" si="4"/>
        <v>#N/A</v>
      </c>
      <c r="AC29" s="1262"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379"/>
      <c r="Q30" s="1261" t="str">
        <f t="shared" si="11"/>
        <v>物业等级</v>
      </c>
      <c r="R30" s="667" t="s">
        <v>14</v>
      </c>
      <c r="S30" s="668">
        <f t="shared" si="12"/>
        <v>100</v>
      </c>
      <c r="T30" s="667" t="s">
        <v>14</v>
      </c>
      <c r="U30" s="668">
        <f t="shared" si="13"/>
        <v>100</v>
      </c>
      <c r="V30" s="667" t="s">
        <v>14</v>
      </c>
      <c r="W30" s="668">
        <f t="shared" si="14"/>
        <v>100</v>
      </c>
      <c r="X30" s="1263"/>
      <c r="Y30" s="3379"/>
      <c r="Z30" s="1262" t="str">
        <f t="shared" si="15"/>
        <v>物业等级</v>
      </c>
      <c r="AA30" s="1262">
        <f t="shared" si="3"/>
        <v>1</v>
      </c>
      <c r="AB30" s="1262">
        <f t="shared" si="4"/>
        <v>1</v>
      </c>
      <c r="AC30" s="1262">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6"/>
      <c r="N31" s="2436"/>
      <c r="O31" s="2436"/>
      <c r="P31" s="3379"/>
      <c r="Q31" s="530" t="str">
        <f t="shared" si="11"/>
        <v>停车位面积</v>
      </c>
      <c r="R31" s="664" t="s">
        <v>14</v>
      </c>
      <c r="S31" s="665" t="e">
        <f t="shared" si="12"/>
        <v>#N/A</v>
      </c>
      <c r="T31" s="664" t="s">
        <v>14</v>
      </c>
      <c r="U31" s="665" t="e">
        <f t="shared" si="13"/>
        <v>#N/A</v>
      </c>
      <c r="V31" s="664" t="s">
        <v>14</v>
      </c>
      <c r="W31" s="665" t="e">
        <f t="shared" si="14"/>
        <v>#N/A</v>
      </c>
      <c r="X31" s="666"/>
      <c r="Y31" s="337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379" t="s">
        <v>1696</v>
      </c>
      <c r="Q32" s="1261" t="str">
        <f t="shared" si="11"/>
        <v>车位类型</v>
      </c>
      <c r="R32" s="667" t="s">
        <v>14</v>
      </c>
      <c r="S32" s="668">
        <f t="shared" si="12"/>
        <v>100</v>
      </c>
      <c r="T32" s="667" t="s">
        <v>14</v>
      </c>
      <c r="U32" s="668">
        <f t="shared" si="13"/>
        <v>100</v>
      </c>
      <c r="V32" s="667" t="s">
        <v>14</v>
      </c>
      <c r="W32" s="668">
        <f t="shared" si="14"/>
        <v>100</v>
      </c>
      <c r="X32" s="1263"/>
      <c r="Y32" s="3379" t="s">
        <v>1696</v>
      </c>
      <c r="Z32" s="1262" t="str">
        <f t="shared" si="15"/>
        <v>车位类型</v>
      </c>
      <c r="AA32" s="1262">
        <f t="shared" si="3"/>
        <v>1</v>
      </c>
      <c r="AB32" s="1262">
        <f t="shared" si="4"/>
        <v>1</v>
      </c>
      <c r="AC32" s="1262">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379"/>
      <c r="Q33" s="1261" t="str">
        <f t="shared" si="11"/>
        <v>是否直接入户</v>
      </c>
      <c r="R33" s="667" t="s">
        <v>14</v>
      </c>
      <c r="S33" s="668">
        <f t="shared" si="12"/>
        <v>100</v>
      </c>
      <c r="T33" s="667" t="s">
        <v>14</v>
      </c>
      <c r="U33" s="668">
        <f t="shared" si="13"/>
        <v>100</v>
      </c>
      <c r="V33" s="667" t="s">
        <v>14</v>
      </c>
      <c r="W33" s="668">
        <f t="shared" si="14"/>
        <v>100</v>
      </c>
      <c r="X33" s="1263"/>
      <c r="Y33" s="3379"/>
      <c r="Z33" s="1262" t="str">
        <f t="shared" si="15"/>
        <v>是否直接入户</v>
      </c>
      <c r="AA33" s="1262">
        <f t="shared" si="3"/>
        <v>1</v>
      </c>
      <c r="AB33" s="1262">
        <f t="shared" si="4"/>
        <v>1</v>
      </c>
      <c r="AC33" s="1262">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379"/>
      <c r="Q34" s="1261">
        <f t="shared" si="11"/>
        <v>111</v>
      </c>
      <c r="R34" s="667" t="s">
        <v>14</v>
      </c>
      <c r="S34" s="668">
        <f t="shared" si="12"/>
        <v>100</v>
      </c>
      <c r="T34" s="667" t="s">
        <v>14</v>
      </c>
      <c r="U34" s="668">
        <f t="shared" si="13"/>
        <v>100</v>
      </c>
      <c r="V34" s="667" t="s">
        <v>14</v>
      </c>
      <c r="W34" s="668">
        <f t="shared" si="14"/>
        <v>100</v>
      </c>
      <c r="X34" s="1263"/>
      <c r="Y34" s="3379"/>
      <c r="Z34" s="1262">
        <f t="shared" si="15"/>
        <v>111</v>
      </c>
      <c r="AA34" s="1262">
        <f t="shared" si="3"/>
        <v>1</v>
      </c>
      <c r="AB34" s="1262">
        <f t="shared" si="4"/>
        <v>1</v>
      </c>
      <c r="AC34" s="1262">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379"/>
      <c r="Q35" s="531">
        <f t="shared" si="11"/>
        <v>111</v>
      </c>
      <c r="R35" s="669" t="s">
        <v>14</v>
      </c>
      <c r="S35" s="670">
        <f t="shared" si="12"/>
        <v>100</v>
      </c>
      <c r="T35" s="669" t="s">
        <v>14</v>
      </c>
      <c r="U35" s="670">
        <f t="shared" si="13"/>
        <v>100</v>
      </c>
      <c r="V35" s="669" t="s">
        <v>14</v>
      </c>
      <c r="W35" s="670">
        <f t="shared" si="14"/>
        <v>100</v>
      </c>
      <c r="X35" s="671"/>
      <c r="Y35" s="3379"/>
      <c r="Z35" s="672">
        <f t="shared" si="15"/>
        <v>111</v>
      </c>
      <c r="AA35" s="1262">
        <f t="shared" si="3"/>
        <v>1</v>
      </c>
      <c r="AB35" s="1262">
        <f t="shared" si="4"/>
        <v>1</v>
      </c>
      <c r="AC35" s="1262">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379"/>
      <c r="Q36" s="1261">
        <f t="shared" si="11"/>
        <v>111</v>
      </c>
      <c r="R36" s="667" t="s">
        <v>14</v>
      </c>
      <c r="S36" s="668">
        <f t="shared" si="12"/>
        <v>100</v>
      </c>
      <c r="T36" s="667" t="s">
        <v>14</v>
      </c>
      <c r="U36" s="668">
        <f t="shared" si="13"/>
        <v>100</v>
      </c>
      <c r="V36" s="667" t="s">
        <v>14</v>
      </c>
      <c r="W36" s="668">
        <f t="shared" si="14"/>
        <v>100</v>
      </c>
      <c r="X36" s="1263"/>
      <c r="Y36" s="3379"/>
      <c r="Z36" s="1262">
        <f t="shared" si="15"/>
        <v>111</v>
      </c>
      <c r="AA36" s="1262">
        <f t="shared" si="3"/>
        <v>1</v>
      </c>
      <c r="AB36" s="1262">
        <f t="shared" si="4"/>
        <v>1</v>
      </c>
      <c r="AC36" s="1262">
        <f t="shared" si="5"/>
        <v>1</v>
      </c>
    </row>
    <row r="37" spans="1:29" ht="14.4">
      <c r="A37" s="416" t="s">
        <v>1844</v>
      </c>
      <c r="B37" s="1819" t="s">
        <v>3348</v>
      </c>
      <c r="C37" s="1079" t="s">
        <v>0</v>
      </c>
      <c r="D37" s="418"/>
      <c r="E37" s="419"/>
      <c r="F37" s="420"/>
      <c r="G37" s="421"/>
      <c r="H37" s="422"/>
      <c r="I37" s="419"/>
      <c r="J37" s="422"/>
      <c r="K37" s="545"/>
      <c r="L37" s="2490"/>
      <c r="M37" s="2483"/>
      <c r="N37" s="2483"/>
      <c r="O37" s="2483"/>
      <c r="P37" s="3367" t="str">
        <f>A37</f>
        <v>成交单价</v>
      </c>
      <c r="Q37" s="3367"/>
      <c r="R37" s="3368">
        <f>E37</f>
        <v>0</v>
      </c>
      <c r="S37" s="3368"/>
      <c r="T37" s="3368">
        <f>G37</f>
        <v>0</v>
      </c>
      <c r="U37" s="3368"/>
      <c r="V37" s="3368">
        <f>I37</f>
        <v>0</v>
      </c>
      <c r="W37" s="3368"/>
      <c r="X37" s="385"/>
      <c r="Y37" s="673"/>
      <c r="Z37" s="385"/>
      <c r="AA37" s="385"/>
      <c r="AB37" s="385"/>
      <c r="AC37" s="385"/>
    </row>
    <row r="38" spans="1:29" ht="15" thickBot="1">
      <c r="A38" s="423" t="s">
        <v>1845</v>
      </c>
      <c r="B38" s="424" t="str">
        <f>B37</f>
        <v>元/平方米</v>
      </c>
      <c r="C38" s="1080" t="e">
        <f>R39</f>
        <v>#DIV/0!</v>
      </c>
      <c r="D38" s="2138" t="s">
        <v>2133</v>
      </c>
      <c r="E38" s="1081" t="e">
        <f>R38</f>
        <v>#DIV/0!</v>
      </c>
      <c r="F38" s="2139"/>
      <c r="G38" s="1080" t="e">
        <f>T38</f>
        <v>#DIV/0!</v>
      </c>
      <c r="H38" s="2139"/>
      <c r="I38" s="1081" t="e">
        <f>V38</f>
        <v>#DIV/0!</v>
      </c>
      <c r="J38" s="2139"/>
      <c r="K38" s="2141">
        <f>F38+H38+J38</f>
        <v>0</v>
      </c>
      <c r="L38" s="2490"/>
      <c r="M38" s="2483"/>
      <c r="N38" s="2483"/>
      <c r="O38" s="2483"/>
      <c r="P38" s="3367" t="str">
        <f>A38</f>
        <v>比较价值（元/平方米）</v>
      </c>
      <c r="Q38" s="3367"/>
      <c r="R38" s="3368" t="e">
        <f>IF(F1="售价",ROUND(PRODUCT(R37,AA7:AA36),0),ROUND(PRODUCT(R37,AA7:AA36),1))</f>
        <v>#DIV/0!</v>
      </c>
      <c r="S38" s="3368"/>
      <c r="T38" s="3368" t="e">
        <f>IF(F1="售价",ROUND(PRODUCT(T37,AB7:AB36),0),ROUND(PRODUCT(T37,AB7:AB36),1))</f>
        <v>#DIV/0!</v>
      </c>
      <c r="U38" s="3368"/>
      <c r="V38" s="3368" t="e">
        <f>IF(F1="售价",ROUND(PRODUCT(V37,AC7:AC36),0),ROUND(PRODUCT(V37,AC7:AC36),1))</f>
        <v>#DIV/0!</v>
      </c>
      <c r="W38" s="3368"/>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0"/>
      <c r="M39" s="2483"/>
      <c r="N39" s="2483"/>
      <c r="O39" s="2483"/>
      <c r="P39" s="3369" t="str">
        <f>A39</f>
        <v>估价对象XX用房的比较价值（楼面单价，元/平方米）</v>
      </c>
      <c r="Q39" s="3370"/>
      <c r="R39" s="3462" t="e">
        <f>IF(F1="售价",ROUND(IF(D38="简单平均",AVERAGE(R38:W38),R38*F38+T38*H38+V38*J38),0),ROUND(IF(D38="简单平均",AVERAGE(R38:V38),R38*F38+T38*H38+V38*J38),1))</f>
        <v>#DIV/0!</v>
      </c>
      <c r="S39" s="3462"/>
      <c r="T39" s="3462"/>
      <c r="U39" s="3462"/>
      <c r="V39" s="3462"/>
      <c r="W39" s="3462"/>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2.2" thickBot="1">
      <c r="A47" s="1085" t="s">
        <v>1850</v>
      </c>
      <c r="B47" s="859"/>
      <c r="C47" s="884"/>
      <c r="D47" s="884"/>
      <c r="E47" s="884"/>
      <c r="F47" s="1086"/>
      <c r="G47" s="1086"/>
      <c r="H47" s="884"/>
      <c r="I47" s="884"/>
      <c r="J47" s="884"/>
      <c r="K47" s="885"/>
      <c r="L47" s="886"/>
      <c r="M47" s="884"/>
      <c r="N47" s="2533"/>
      <c r="O47" s="2533"/>
      <c r="P47" s="2522"/>
      <c r="Q47" s="2504"/>
      <c r="R47" s="2483"/>
      <c r="S47" s="2483"/>
      <c r="T47" s="2483"/>
      <c r="U47" s="2483"/>
      <c r="V47" s="2483"/>
      <c r="W47" s="2483"/>
      <c r="X47" s="2483"/>
      <c r="Y47" s="2483"/>
      <c r="Z47" s="2483"/>
      <c r="AA47" s="2483"/>
      <c r="AB47" s="2483"/>
      <c r="AC47" s="2483"/>
    </row>
    <row r="48" spans="1:29" s="442" customFormat="1" ht="14.4">
      <c r="A48" s="440" t="s">
        <v>1851</v>
      </c>
      <c r="B48" s="441"/>
      <c r="C48" s="1101" t="str">
        <f>YEAR(C7)&amp;"-"&amp;MONTH(C7)</f>
        <v>2025-5</v>
      </c>
      <c r="D48" s="1102">
        <f>EDATE(C48,-1)</f>
        <v>45748</v>
      </c>
      <c r="E48" s="1102">
        <f t="shared" ref="E48:O48" si="16">EDATE(D48,-1)</f>
        <v>45717</v>
      </c>
      <c r="F48" s="1102">
        <f t="shared" si="16"/>
        <v>45689</v>
      </c>
      <c r="G48" s="1102">
        <f t="shared" si="16"/>
        <v>45658</v>
      </c>
      <c r="H48" s="1102">
        <f t="shared" si="16"/>
        <v>45627</v>
      </c>
      <c r="I48" s="1102">
        <f t="shared" si="16"/>
        <v>45597</v>
      </c>
      <c r="J48" s="1102">
        <f t="shared" si="16"/>
        <v>45566</v>
      </c>
      <c r="K48" s="1102">
        <f t="shared" si="16"/>
        <v>45536</v>
      </c>
      <c r="L48" s="1102">
        <f t="shared" si="16"/>
        <v>45505</v>
      </c>
      <c r="M48" s="1102">
        <f t="shared" si="16"/>
        <v>45474</v>
      </c>
      <c r="N48" s="1102">
        <f t="shared" si="16"/>
        <v>45444</v>
      </c>
      <c r="O48" s="1102">
        <f t="shared" si="16"/>
        <v>45413</v>
      </c>
      <c r="P48" s="2523"/>
      <c r="Q48" s="2506"/>
      <c r="R48" s="2506"/>
      <c r="S48" s="2506"/>
      <c r="T48" s="2506"/>
      <c r="U48" s="2506"/>
      <c r="V48" s="2506"/>
      <c r="W48" s="2506"/>
      <c r="X48" s="2506"/>
      <c r="Y48" s="2506"/>
      <c r="Z48" s="2506"/>
      <c r="AA48" s="2506"/>
      <c r="AB48" s="2506"/>
      <c r="AC48" s="2506"/>
    </row>
    <row r="49" spans="1:29" s="102" customFormat="1">
      <c r="A49" s="443"/>
      <c r="B49" s="444"/>
      <c r="C49" s="1095">
        <v>100</v>
      </c>
      <c r="D49" s="446"/>
      <c r="E49" s="446"/>
      <c r="F49" s="446"/>
      <c r="G49" s="446"/>
      <c r="H49" s="446"/>
      <c r="I49" s="446"/>
      <c r="J49" s="446"/>
      <c r="K49" s="446"/>
      <c r="L49" s="446"/>
      <c r="M49" s="447"/>
      <c r="N49" s="446"/>
      <c r="O49" s="447"/>
      <c r="P49" s="2524"/>
      <c r="Q49" s="2436"/>
      <c r="R49" s="2436"/>
      <c r="S49" s="2436"/>
      <c r="T49" s="2436"/>
      <c r="U49" s="2436"/>
      <c r="V49" s="2436"/>
      <c r="W49" s="2436"/>
      <c r="X49" s="2436"/>
      <c r="Y49" s="2436"/>
      <c r="Z49" s="2436"/>
      <c r="AA49" s="2436"/>
      <c r="AB49" s="2436"/>
      <c r="AC49" s="2436"/>
    </row>
    <row r="50" spans="1:29" s="102" customFormat="1" ht="15" thickBot="1">
      <c r="A50" s="449" t="s">
        <v>1716</v>
      </c>
      <c r="B50" s="450"/>
      <c r="C50" s="451"/>
      <c r="D50" s="452"/>
      <c r="E50" s="452"/>
      <c r="F50" s="452"/>
      <c r="G50" s="452"/>
      <c r="H50" s="452"/>
      <c r="I50" s="452"/>
      <c r="J50" s="452"/>
      <c r="K50" s="452"/>
      <c r="L50" s="452"/>
      <c r="M50" s="453"/>
      <c r="N50" s="452"/>
      <c r="O50" s="453"/>
      <c r="P50" s="2524"/>
      <c r="Q50" s="2504"/>
      <c r="R50" s="2436"/>
      <c r="S50" s="2436"/>
      <c r="T50" s="2436"/>
      <c r="U50" s="2436"/>
      <c r="V50" s="2436"/>
      <c r="W50" s="2436"/>
      <c r="X50" s="2436"/>
      <c r="Y50" s="2436"/>
      <c r="Z50" s="2436"/>
      <c r="AA50" s="2436"/>
      <c r="AB50" s="2436"/>
      <c r="AC50" s="2436"/>
    </row>
    <row r="51" spans="1:29" s="102" customFormat="1" ht="14.4">
      <c r="A51" s="455" t="s">
        <v>1681</v>
      </c>
      <c r="B51" s="444"/>
      <c r="C51" s="456" t="s">
        <v>1776</v>
      </c>
      <c r="D51" s="31"/>
      <c r="E51" s="31"/>
      <c r="F51" s="31"/>
      <c r="G51" s="31"/>
      <c r="H51" s="31"/>
      <c r="I51" s="31"/>
      <c r="J51" s="31"/>
      <c r="K51" s="31"/>
      <c r="L51" s="457"/>
      <c r="M51" s="458"/>
      <c r="N51" s="2516"/>
      <c r="O51" s="2516"/>
      <c r="P51" s="2525"/>
      <c r="Q51" s="2504"/>
      <c r="R51" s="2436"/>
      <c r="S51" s="2436"/>
      <c r="T51" s="2436"/>
      <c r="U51" s="2436"/>
      <c r="V51" s="2436"/>
      <c r="W51" s="2436"/>
      <c r="X51" s="2436"/>
      <c r="Y51" s="2436"/>
      <c r="Z51" s="2436"/>
      <c r="AA51" s="2436"/>
      <c r="AB51" s="2436"/>
      <c r="AC51" s="2436"/>
    </row>
    <row r="52" spans="1:29" s="102" customFormat="1" ht="14.4" thickBot="1">
      <c r="A52" s="455"/>
      <c r="B52" s="444"/>
      <c r="C52" s="563">
        <v>100</v>
      </c>
      <c r="D52" s="446"/>
      <c r="E52" s="446"/>
      <c r="F52" s="446"/>
      <c r="G52" s="446"/>
      <c r="H52" s="446"/>
      <c r="I52" s="446"/>
      <c r="J52" s="446"/>
      <c r="K52" s="446"/>
      <c r="L52" s="446"/>
      <c r="M52" s="448"/>
      <c r="N52" s="2516"/>
      <c r="O52" s="2516"/>
      <c r="P52" s="2524"/>
      <c r="Q52" s="2504"/>
      <c r="R52" s="2436"/>
      <c r="S52" s="2436"/>
      <c r="T52" s="2436"/>
      <c r="U52" s="2436"/>
      <c r="V52" s="2436"/>
      <c r="W52" s="2436"/>
      <c r="X52" s="2436"/>
      <c r="Y52" s="2436"/>
      <c r="Z52" s="2436"/>
      <c r="AA52" s="2436"/>
      <c r="AB52" s="2436"/>
      <c r="AC52" s="2436"/>
    </row>
    <row r="53" spans="1:29" ht="14.4">
      <c r="A53" s="379" t="s">
        <v>1719</v>
      </c>
      <c r="B53" s="460" t="s">
        <v>1685</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4.4"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9.4" thickTop="1">
      <c r="A55" s="367"/>
      <c r="B55" s="469" t="s">
        <v>1688</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4.4"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4.4"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4.4"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4.4"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4.4"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4.4"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4.4"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 thickTop="1">
      <c r="A65" s="367"/>
      <c r="B65" s="469" t="s">
        <v>1727</v>
      </c>
      <c r="C65" s="509" t="s">
        <v>1721</v>
      </c>
      <c r="D65" s="509" t="s">
        <v>1722</v>
      </c>
      <c r="E65" s="509" t="s">
        <v>1723</v>
      </c>
      <c r="F65" s="509" t="s">
        <v>1724</v>
      </c>
      <c r="G65" s="509" t="s">
        <v>1725</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 thickTop="1">
      <c r="A67" s="367"/>
      <c r="B67" s="477" t="s">
        <v>1813</v>
      </c>
      <c r="C67" s="581" t="s">
        <v>1799</v>
      </c>
      <c r="D67" s="581" t="s">
        <v>1800</v>
      </c>
      <c r="E67" s="581" t="s">
        <v>1801</v>
      </c>
      <c r="F67" s="581" t="s">
        <v>1802</v>
      </c>
      <c r="G67" s="581" t="s">
        <v>1803</v>
      </c>
      <c r="H67" s="470"/>
      <c r="I67" s="470"/>
      <c r="J67" s="470"/>
      <c r="K67" s="470"/>
      <c r="L67" s="470"/>
      <c r="M67" s="1061"/>
      <c r="N67" s="2518"/>
      <c r="O67" s="2518"/>
      <c r="P67" s="2526"/>
      <c r="Q67" s="2504"/>
      <c r="R67" s="2483"/>
      <c r="S67" s="2483"/>
      <c r="T67" s="2483"/>
      <c r="U67" s="2483"/>
      <c r="V67" s="2483"/>
      <c r="W67" s="2483"/>
      <c r="X67" s="2483"/>
      <c r="Y67" s="2483"/>
      <c r="Z67" s="2483"/>
      <c r="AA67" s="2483"/>
      <c r="AB67" s="2483"/>
      <c r="AC67" s="2483"/>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 thickTop="1">
      <c r="A69" s="367"/>
      <c r="B69" s="469" t="s">
        <v>1733</v>
      </c>
      <c r="C69" s="509" t="s">
        <v>1721</v>
      </c>
      <c r="D69" s="509" t="s">
        <v>1722</v>
      </c>
      <c r="E69" s="509" t="s">
        <v>1723</v>
      </c>
      <c r="F69" s="509" t="s">
        <v>1724</v>
      </c>
      <c r="G69" s="509" t="s">
        <v>1725</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 thickTop="1">
      <c r="A71" s="367"/>
      <c r="B71" s="469" t="s">
        <v>1852</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4.4" thickTop="1">
      <c r="A73" s="370"/>
      <c r="B73" s="469">
        <f>B23</f>
        <v>111</v>
      </c>
      <c r="C73" s="480"/>
      <c r="D73" s="480"/>
      <c r="E73" s="480"/>
      <c r="F73" s="480"/>
      <c r="G73" s="485"/>
      <c r="H73" s="485"/>
      <c r="I73" s="485"/>
      <c r="J73" s="485"/>
      <c r="K73" s="485"/>
      <c r="L73" s="510"/>
      <c r="M73" s="511"/>
      <c r="N73" s="2516"/>
      <c r="O73" s="2516"/>
      <c r="P73" s="2526"/>
      <c r="Q73" s="2504"/>
      <c r="R73" s="2436"/>
      <c r="S73" s="2436"/>
      <c r="T73" s="2436"/>
      <c r="U73" s="2436"/>
      <c r="V73" s="2436"/>
      <c r="W73" s="2436"/>
      <c r="X73" s="2436"/>
      <c r="Y73" s="2436"/>
      <c r="Z73" s="2436"/>
      <c r="AA73" s="2436"/>
      <c r="AB73" s="2436"/>
      <c r="AC73" s="2436"/>
    </row>
    <row r="74" spans="1:29" s="102" customFormat="1" ht="14.4" thickBot="1">
      <c r="A74" s="370"/>
      <c r="B74" s="474"/>
      <c r="C74" s="491"/>
      <c r="D74" s="467"/>
      <c r="E74" s="467"/>
      <c r="F74" s="467"/>
      <c r="G74" s="467"/>
      <c r="H74" s="467"/>
      <c r="I74" s="467"/>
      <c r="J74" s="467"/>
      <c r="K74" s="467"/>
      <c r="L74" s="467"/>
      <c r="M74" s="468"/>
      <c r="N74" s="2518"/>
      <c r="O74" s="2518"/>
      <c r="P74" s="2526"/>
      <c r="Q74" s="2504"/>
      <c r="R74" s="2436"/>
      <c r="S74" s="2436"/>
      <c r="T74" s="2436"/>
      <c r="U74" s="2436"/>
      <c r="V74" s="2436"/>
      <c r="W74" s="2436"/>
      <c r="X74" s="2436"/>
      <c r="Y74" s="2436"/>
      <c r="Z74" s="2436"/>
      <c r="AA74" s="2436"/>
      <c r="AB74" s="2436"/>
      <c r="AC74" s="2436"/>
    </row>
    <row r="75" spans="1:29" s="102" customFormat="1" ht="14.4" thickTop="1">
      <c r="A75" s="370"/>
      <c r="B75" s="469">
        <f>B24</f>
        <v>111</v>
      </c>
      <c r="C75" s="480"/>
      <c r="D75" s="480"/>
      <c r="E75" s="480"/>
      <c r="F75" s="480"/>
      <c r="G75" s="485"/>
      <c r="H75" s="485"/>
      <c r="I75" s="485"/>
      <c r="J75" s="485"/>
      <c r="K75" s="485"/>
      <c r="L75" s="485"/>
      <c r="M75" s="511"/>
      <c r="N75" s="2516"/>
      <c r="O75" s="2516"/>
      <c r="P75" s="2526"/>
      <c r="Q75" s="2504"/>
      <c r="R75" s="2436"/>
      <c r="S75" s="2436"/>
      <c r="T75" s="2436"/>
      <c r="U75" s="2436"/>
      <c r="V75" s="2436"/>
      <c r="W75" s="2436"/>
      <c r="X75" s="2436"/>
      <c r="Y75" s="2436"/>
      <c r="Z75" s="2436"/>
      <c r="AA75" s="2436"/>
      <c r="AB75" s="2436"/>
      <c r="AC75" s="2436"/>
    </row>
    <row r="76" spans="1:29" s="102" customFormat="1" ht="14.4" thickBot="1">
      <c r="A76" s="370"/>
      <c r="B76" s="474"/>
      <c r="C76" s="491"/>
      <c r="D76" s="467"/>
      <c r="E76" s="467"/>
      <c r="F76" s="467"/>
      <c r="G76" s="467"/>
      <c r="H76" s="467"/>
      <c r="I76" s="467"/>
      <c r="J76" s="467"/>
      <c r="K76" s="467"/>
      <c r="L76" s="467"/>
      <c r="M76" s="468"/>
      <c r="N76" s="2518"/>
      <c r="O76" s="2518"/>
      <c r="P76" s="2526"/>
      <c r="Q76" s="2504"/>
      <c r="R76" s="2436"/>
      <c r="S76" s="2436"/>
      <c r="T76" s="2436"/>
      <c r="U76" s="2436"/>
      <c r="V76" s="2436"/>
      <c r="W76" s="2436"/>
      <c r="X76" s="2436"/>
      <c r="Y76" s="2436"/>
      <c r="Z76" s="2436"/>
      <c r="AA76" s="2436"/>
      <c r="AB76" s="2436"/>
      <c r="AC76" s="2436"/>
    </row>
    <row r="77" spans="1:29" s="408" customFormat="1" ht="14.4"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4.4"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9.4" thickTop="1">
      <c r="A79" s="379" t="s">
        <v>1694</v>
      </c>
      <c r="B79" s="460" t="s">
        <v>1853</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4"/>
      <c r="R80" s="2483"/>
      <c r="S80" s="2483"/>
      <c r="T80" s="2483"/>
      <c r="U80" s="2483"/>
      <c r="V80" s="2483"/>
      <c r="W80" s="2483"/>
      <c r="X80" s="2483"/>
      <c r="Y80" s="2483"/>
      <c r="Z80" s="2483"/>
      <c r="AA80" s="2483"/>
      <c r="AB80" s="2483"/>
      <c r="AC80" s="2483"/>
    </row>
    <row r="81" spans="1:29" ht="15" thickTop="1">
      <c r="A81" s="367"/>
      <c r="B81" s="469" t="s">
        <v>1854</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4.4"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1740</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1856</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1858</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1859</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4.4"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4.4"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4.4"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4.4"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4.4"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4.4"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1831</v>
      </c>
      <c r="B1" s="1138" t="s">
        <v>3329</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IF(E1="项目模式",IF(C2="——",ROUND(C37*D3/10000,0),ROUND(C37*D3/10000,0)-D2),IF(E1="单套模式",IF(C2="——",ROUND(C37*D3/10000,4),ROUND(C37*D3/10000,4)-D2)))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3"/>
      <c r="F3" s="854"/>
      <c r="G3" s="853"/>
      <c r="H3" s="853"/>
      <c r="I3" s="853"/>
      <c r="J3" s="853"/>
      <c r="K3" s="855"/>
      <c r="L3" s="2499"/>
      <c r="M3" s="2500"/>
      <c r="N3" s="2500"/>
      <c r="O3" s="2500"/>
      <c r="P3" s="341"/>
      <c r="Q3" s="341"/>
      <c r="R3" s="341"/>
      <c r="S3" s="341"/>
      <c r="T3" s="341"/>
      <c r="U3" s="341"/>
      <c r="V3" s="341"/>
      <c r="W3" s="341"/>
      <c r="X3" s="341"/>
      <c r="Y3" s="341"/>
      <c r="Z3" s="341"/>
      <c r="AA3" s="341"/>
      <c r="AB3" s="676"/>
      <c r="AC3" s="663"/>
    </row>
    <row r="4" spans="1:29" ht="14.4">
      <c r="A4" s="345" t="s">
        <v>1769</v>
      </c>
      <c r="B4" s="346"/>
      <c r="C4" s="3385" t="s">
        <v>1770</v>
      </c>
      <c r="D4" s="3386"/>
      <c r="E4" s="3387" t="s">
        <v>1771</v>
      </c>
      <c r="F4" s="3388"/>
      <c r="G4" s="3385" t="s">
        <v>1772</v>
      </c>
      <c r="H4" s="3386"/>
      <c r="I4" s="3385" t="s">
        <v>1773</v>
      </c>
      <c r="J4" s="3386"/>
      <c r="K4" s="537" t="s">
        <v>1774</v>
      </c>
      <c r="L4" s="2482"/>
      <c r="M4" s="2483"/>
      <c r="N4" s="2483"/>
      <c r="O4" s="2483"/>
      <c r="P4" s="3389" t="s">
        <v>1775</v>
      </c>
      <c r="Q4" s="3390"/>
      <c r="R4" s="3395" t="s">
        <v>1771</v>
      </c>
      <c r="S4" s="3396"/>
      <c r="T4" s="3395" t="s">
        <v>1772</v>
      </c>
      <c r="U4" s="3396"/>
      <c r="V4" s="3368" t="s">
        <v>1773</v>
      </c>
      <c r="W4" s="3368"/>
      <c r="X4" s="1263"/>
      <c r="Y4" s="3395" t="s">
        <v>1775</v>
      </c>
      <c r="Z4" s="3396"/>
      <c r="AA4" s="3382" t="s">
        <v>1771</v>
      </c>
      <c r="AB4" s="3383" t="s">
        <v>1772</v>
      </c>
      <c r="AC4" s="3382" t="s">
        <v>1773</v>
      </c>
    </row>
    <row r="5" spans="1:29">
      <c r="A5" s="348"/>
      <c r="B5" s="349"/>
      <c r="C5" s="3403" t="s">
        <v>1673</v>
      </c>
      <c r="D5" s="3404"/>
      <c r="E5" s="3411" t="s">
        <v>1674</v>
      </c>
      <c r="F5" s="3412"/>
      <c r="G5" s="3403" t="s">
        <v>1675</v>
      </c>
      <c r="H5" s="3404"/>
      <c r="I5" s="3403" t="s">
        <v>1676</v>
      </c>
      <c r="J5" s="3404"/>
      <c r="K5" s="537"/>
      <c r="L5" s="2482"/>
      <c r="M5" s="2483"/>
      <c r="N5" s="2483"/>
      <c r="O5" s="2483"/>
      <c r="P5" s="3391"/>
      <c r="Q5" s="3392"/>
      <c r="R5" s="3397"/>
      <c r="S5" s="3398"/>
      <c r="T5" s="3397"/>
      <c r="U5" s="3398"/>
      <c r="V5" s="3368"/>
      <c r="W5" s="3368"/>
      <c r="X5" s="1263"/>
      <c r="Y5" s="3397"/>
      <c r="Z5" s="3398"/>
      <c r="AA5" s="3383"/>
      <c r="AB5" s="3383"/>
      <c r="AC5" s="3383"/>
    </row>
    <row r="6" spans="1:29" ht="15" thickBot="1">
      <c r="A6" s="350"/>
      <c r="B6" s="351"/>
      <c r="C6" s="3401" t="s">
        <v>1677</v>
      </c>
      <c r="D6" s="3402"/>
      <c r="E6" s="3409" t="s">
        <v>1677</v>
      </c>
      <c r="F6" s="3410"/>
      <c r="G6" s="3401" t="s">
        <v>1677</v>
      </c>
      <c r="H6" s="3402"/>
      <c r="I6" s="3401" t="s">
        <v>1677</v>
      </c>
      <c r="J6" s="3402"/>
      <c r="K6" s="537" t="s">
        <v>1678</v>
      </c>
      <c r="L6" s="2482"/>
      <c r="M6" s="2483"/>
      <c r="N6" s="2483"/>
      <c r="O6" s="2483"/>
      <c r="P6" s="3393"/>
      <c r="Q6" s="3394"/>
      <c r="R6" s="3397"/>
      <c r="S6" s="3398"/>
      <c r="T6" s="3399"/>
      <c r="U6" s="3400"/>
      <c r="V6" s="3368"/>
      <c r="W6" s="3368"/>
      <c r="X6" s="1263"/>
      <c r="Y6" s="3399"/>
      <c r="Z6" s="3400"/>
      <c r="AA6" s="3384"/>
      <c r="AB6" s="3384"/>
      <c r="AC6" s="3384"/>
    </row>
    <row r="7" spans="1:29" s="102" customFormat="1" ht="15" thickBot="1">
      <c r="A7" s="352" t="s">
        <v>1679</v>
      </c>
      <c r="B7" s="353"/>
      <c r="C7" s="354">
        <f>'数据-取费表'!B2</f>
        <v>45793</v>
      </c>
      <c r="D7" s="355">
        <v>100</v>
      </c>
      <c r="E7" s="356"/>
      <c r="F7" s="357">
        <f>SUMIF(46:46,YEAR(E7)&amp;"-"&amp;MONTH(E7),47:47)</f>
        <v>0</v>
      </c>
      <c r="G7" s="1820"/>
      <c r="H7" s="355">
        <f>SUMIF(46:46,YEAR(G7)&amp;"-"&amp;MONTH(G7),47:47)</f>
        <v>0</v>
      </c>
      <c r="I7" s="356"/>
      <c r="J7" s="355">
        <f>SUMIF(46:46,YEAR(I7)&amp;"-"&amp;MONTH(I7),47:47)</f>
        <v>0</v>
      </c>
      <c r="K7" s="38"/>
      <c r="L7" s="2484"/>
      <c r="M7" s="2436"/>
      <c r="N7" s="2436"/>
      <c r="O7" s="2436"/>
      <c r="P7" s="3405" t="s">
        <v>1680</v>
      </c>
      <c r="Q7" s="3407"/>
      <c r="R7" s="664" t="s">
        <v>14</v>
      </c>
      <c r="S7" s="665">
        <f t="shared" ref="S7:S14" si="0">F7</f>
        <v>0</v>
      </c>
      <c r="T7" s="664" t="s">
        <v>14</v>
      </c>
      <c r="U7" s="665">
        <f t="shared" ref="U7:U14" si="1">H7</f>
        <v>0</v>
      </c>
      <c r="V7" s="664" t="s">
        <v>14</v>
      </c>
      <c r="W7" s="665">
        <f t="shared" ref="W7:W14" si="2">J7</f>
        <v>0</v>
      </c>
      <c r="X7" s="666"/>
      <c r="Y7" s="3405" t="s">
        <v>1680</v>
      </c>
      <c r="Z7" s="3406"/>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4"/>
      <c r="M8" s="2436"/>
      <c r="N8" s="2436"/>
      <c r="O8" s="2436"/>
      <c r="P8" s="3405" t="s">
        <v>1683</v>
      </c>
      <c r="Q8" s="3406"/>
      <c r="R8" s="664" t="s">
        <v>14</v>
      </c>
      <c r="S8" s="665">
        <f t="shared" si="0"/>
        <v>100</v>
      </c>
      <c r="T8" s="664" t="s">
        <v>14</v>
      </c>
      <c r="U8" s="665">
        <f t="shared" si="1"/>
        <v>100</v>
      </c>
      <c r="V8" s="664" t="s">
        <v>14</v>
      </c>
      <c r="W8" s="665">
        <f t="shared" si="2"/>
        <v>100</v>
      </c>
      <c r="X8" s="666"/>
      <c r="Y8" s="3405" t="s">
        <v>1683</v>
      </c>
      <c r="Z8" s="3406"/>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4"/>
      <c r="M9" s="2436"/>
      <c r="N9" s="2436"/>
      <c r="O9" s="2536"/>
      <c r="P9" s="3367" t="s">
        <v>1686</v>
      </c>
      <c r="Q9" s="530" t="str">
        <f t="shared" ref="Q9:Q14" si="6">B9</f>
        <v>用途</v>
      </c>
      <c r="R9" s="664" t="s">
        <v>14</v>
      </c>
      <c r="S9" s="665">
        <f t="shared" si="0"/>
        <v>100</v>
      </c>
      <c r="T9" s="664" t="s">
        <v>14</v>
      </c>
      <c r="U9" s="665">
        <f t="shared" si="1"/>
        <v>100</v>
      </c>
      <c r="V9" s="664" t="s">
        <v>14</v>
      </c>
      <c r="W9" s="665">
        <f t="shared" si="2"/>
        <v>100</v>
      </c>
      <c r="X9" s="666"/>
      <c r="Y9" s="3271" t="s">
        <v>1687</v>
      </c>
      <c r="Z9" s="50" t="str">
        <f t="shared" ref="Z9:Z14" si="7">Q9</f>
        <v>用途</v>
      </c>
      <c r="AA9" s="50">
        <f t="shared" si="3"/>
        <v>1</v>
      </c>
      <c r="AB9" s="50">
        <f t="shared" si="4"/>
        <v>1</v>
      </c>
      <c r="AC9" s="50">
        <f t="shared" si="5"/>
        <v>1</v>
      </c>
    </row>
    <row r="10" spans="1:29" s="366" customFormat="1" ht="28.8">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367"/>
      <c r="Q10" s="530" t="str">
        <f t="shared" si="6"/>
        <v>土地使用年限（年）</v>
      </c>
      <c r="R10" s="664" t="s">
        <v>14</v>
      </c>
      <c r="S10" s="665">
        <f t="shared" si="0"/>
        <v>100</v>
      </c>
      <c r="T10" s="664" t="s">
        <v>14</v>
      </c>
      <c r="U10" s="665">
        <f t="shared" si="1"/>
        <v>100</v>
      </c>
      <c r="V10" s="664" t="s">
        <v>14</v>
      </c>
      <c r="W10" s="665">
        <f t="shared" si="2"/>
        <v>100</v>
      </c>
      <c r="X10" s="666"/>
      <c r="Y10" s="327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367"/>
      <c r="Q11" s="530">
        <f t="shared" si="6"/>
        <v>111</v>
      </c>
      <c r="R11" s="664" t="s">
        <v>14</v>
      </c>
      <c r="S11" s="665">
        <f t="shared" si="0"/>
        <v>100</v>
      </c>
      <c r="T11" s="664" t="s">
        <v>14</v>
      </c>
      <c r="U11" s="665">
        <f t="shared" si="1"/>
        <v>100</v>
      </c>
      <c r="V11" s="664" t="s">
        <v>14</v>
      </c>
      <c r="W11" s="665">
        <f t="shared" si="2"/>
        <v>100</v>
      </c>
      <c r="X11" s="666"/>
      <c r="Y11" s="327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6"/>
      <c r="N12" s="2436"/>
      <c r="O12" s="2536"/>
      <c r="P12" s="3367"/>
      <c r="Q12" s="530">
        <f t="shared" si="6"/>
        <v>111</v>
      </c>
      <c r="R12" s="664" t="s">
        <v>14</v>
      </c>
      <c r="S12" s="665">
        <f t="shared" si="0"/>
        <v>100</v>
      </c>
      <c r="T12" s="664" t="s">
        <v>14</v>
      </c>
      <c r="U12" s="665">
        <f t="shared" si="1"/>
        <v>100</v>
      </c>
      <c r="V12" s="664" t="s">
        <v>14</v>
      </c>
      <c r="W12" s="665">
        <f t="shared" si="2"/>
        <v>100</v>
      </c>
      <c r="X12" s="666"/>
      <c r="Y12" s="327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88"/>
      <c r="M13" s="2483"/>
      <c r="N13" s="2483"/>
      <c r="O13" s="2538"/>
      <c r="P13" s="3367"/>
      <c r="Q13" s="530">
        <f t="shared" si="6"/>
        <v>111</v>
      </c>
      <c r="R13" s="664" t="s">
        <v>14</v>
      </c>
      <c r="S13" s="665">
        <f t="shared" si="0"/>
        <v>100</v>
      </c>
      <c r="T13" s="664" t="s">
        <v>14</v>
      </c>
      <c r="U13" s="665">
        <f t="shared" si="1"/>
        <v>100</v>
      </c>
      <c r="V13" s="664" t="s">
        <v>14</v>
      </c>
      <c r="W13" s="665">
        <f t="shared" si="2"/>
        <v>100</v>
      </c>
      <c r="X13" s="666"/>
      <c r="Y13" s="3271"/>
      <c r="Z13" s="50">
        <f t="shared" si="7"/>
        <v>111</v>
      </c>
      <c r="AA13" s="50">
        <f t="shared" si="3"/>
        <v>1</v>
      </c>
      <c r="AB13" s="50">
        <f t="shared" si="4"/>
        <v>1</v>
      </c>
      <c r="AC13" s="50">
        <f t="shared" si="5"/>
        <v>1</v>
      </c>
    </row>
    <row r="14" spans="1:29" ht="96.6">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374" t="s">
        <v>1691</v>
      </c>
      <c r="Q14" s="1261" t="str">
        <f t="shared" si="6"/>
        <v>交通便捷度</v>
      </c>
      <c r="R14" s="667" t="s">
        <v>14</v>
      </c>
      <c r="S14" s="668">
        <f t="shared" si="0"/>
        <v>100</v>
      </c>
      <c r="T14" s="667" t="s">
        <v>14</v>
      </c>
      <c r="U14" s="668">
        <f t="shared" si="1"/>
        <v>100</v>
      </c>
      <c r="V14" s="667" t="s">
        <v>14</v>
      </c>
      <c r="W14" s="668">
        <f t="shared" si="2"/>
        <v>100</v>
      </c>
      <c r="X14" s="1263"/>
      <c r="Y14" s="3374" t="s">
        <v>1691</v>
      </c>
      <c r="Z14" s="1262" t="str">
        <f t="shared" si="7"/>
        <v>交通便捷度</v>
      </c>
      <c r="AA14" s="1262">
        <f t="shared" si="3"/>
        <v>1</v>
      </c>
      <c r="AB14" s="1262">
        <f t="shared" si="4"/>
        <v>1</v>
      </c>
      <c r="AC14" s="1262">
        <f t="shared" si="5"/>
        <v>1</v>
      </c>
    </row>
    <row r="15" spans="1:29" ht="15">
      <c r="A15" s="367"/>
      <c r="B15" s="385"/>
      <c r="C15" s="386"/>
      <c r="D15" s="387"/>
      <c r="E15" s="386"/>
      <c r="F15" s="388"/>
      <c r="G15" s="386"/>
      <c r="H15" s="389"/>
      <c r="I15" s="386"/>
      <c r="J15" s="387"/>
      <c r="K15" s="541"/>
      <c r="L15" s="2488"/>
      <c r="M15" s="2483"/>
      <c r="N15" s="2483"/>
      <c r="O15" s="2538"/>
      <c r="P15" s="3375"/>
      <c r="Q15" s="1261"/>
      <c r="R15" s="667"/>
      <c r="S15" s="668"/>
      <c r="T15" s="667"/>
      <c r="U15" s="668"/>
      <c r="V15" s="667"/>
      <c r="W15" s="668"/>
      <c r="X15" s="1263"/>
      <c r="Y15" s="3375"/>
      <c r="Z15" s="1262"/>
      <c r="AA15" s="1262">
        <v>1</v>
      </c>
      <c r="AB15" s="1262">
        <v>1</v>
      </c>
      <c r="AC15" s="1262">
        <v>1</v>
      </c>
    </row>
    <row r="16" spans="1:29" ht="41.4">
      <c r="A16" s="367"/>
      <c r="B16" s="390" t="s">
        <v>1812</v>
      </c>
      <c r="C16" s="1752"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375"/>
      <c r="Q16" s="1261" t="str">
        <f>B16</f>
        <v>公共配套设施</v>
      </c>
      <c r="R16" s="667" t="s">
        <v>14</v>
      </c>
      <c r="S16" s="668">
        <f>F16</f>
        <v>100</v>
      </c>
      <c r="T16" s="667" t="s">
        <v>14</v>
      </c>
      <c r="U16" s="668">
        <f>H16</f>
        <v>100</v>
      </c>
      <c r="V16" s="667" t="s">
        <v>14</v>
      </c>
      <c r="W16" s="668">
        <f>J16</f>
        <v>100</v>
      </c>
      <c r="X16" s="1263"/>
      <c r="Y16" s="3375"/>
      <c r="Z16" s="1262" t="str">
        <f>Q16</f>
        <v>公共配套设施</v>
      </c>
      <c r="AA16" s="1262">
        <f t="shared" si="3"/>
        <v>1</v>
      </c>
      <c r="AB16" s="1262">
        <f t="shared" si="4"/>
        <v>1</v>
      </c>
      <c r="AC16" s="1262">
        <f t="shared" si="5"/>
        <v>1</v>
      </c>
    </row>
    <row r="17" spans="1:29" ht="15">
      <c r="A17" s="367"/>
      <c r="B17" s="395"/>
      <c r="C17" s="1753"/>
      <c r="D17" s="387"/>
      <c r="E17" s="386"/>
      <c r="F17" s="388"/>
      <c r="G17" s="386"/>
      <c r="H17" s="387"/>
      <c r="I17" s="386"/>
      <c r="J17" s="387"/>
      <c r="K17" s="541"/>
      <c r="L17" s="2488"/>
      <c r="M17" s="2483"/>
      <c r="N17" s="2483"/>
      <c r="O17" s="2538"/>
      <c r="P17" s="3375"/>
      <c r="Q17" s="1261"/>
      <c r="R17" s="667"/>
      <c r="S17" s="668"/>
      <c r="T17" s="667"/>
      <c r="U17" s="668"/>
      <c r="V17" s="667"/>
      <c r="W17" s="668"/>
      <c r="X17" s="1263"/>
      <c r="Y17" s="3375"/>
      <c r="Z17" s="1262"/>
      <c r="AA17" s="1262">
        <v>1</v>
      </c>
      <c r="AB17" s="1262">
        <v>1</v>
      </c>
      <c r="AC17" s="1262">
        <v>1</v>
      </c>
    </row>
    <row r="18" spans="1:29" ht="41.4">
      <c r="A18" s="367"/>
      <c r="B18" s="586" t="s">
        <v>1813</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375"/>
      <c r="Q18" s="1261" t="str">
        <f>B18</f>
        <v>基础设施水平</v>
      </c>
      <c r="R18" s="667" t="s">
        <v>14</v>
      </c>
      <c r="S18" s="668">
        <f>F18</f>
        <v>100</v>
      </c>
      <c r="T18" s="667" t="s">
        <v>14</v>
      </c>
      <c r="U18" s="668">
        <f>H18</f>
        <v>100</v>
      </c>
      <c r="V18" s="667" t="s">
        <v>14</v>
      </c>
      <c r="W18" s="668">
        <f>J18</f>
        <v>100</v>
      </c>
      <c r="X18" s="1263"/>
      <c r="Y18" s="3375"/>
      <c r="Z18" s="1262" t="str">
        <f>Q18</f>
        <v>基础设施水平</v>
      </c>
      <c r="AA18" s="1262">
        <f t="shared" ref="AA18" si="8">D18/F18</f>
        <v>1</v>
      </c>
      <c r="AB18" s="1262">
        <f t="shared" ref="AB18" si="9">D18/H18</f>
        <v>1</v>
      </c>
      <c r="AC18" s="1262">
        <f t="shared" ref="AC18" si="10">D18/J18</f>
        <v>1</v>
      </c>
    </row>
    <row r="19" spans="1:29" ht="15">
      <c r="A19" s="367"/>
      <c r="B19" s="586"/>
      <c r="C19" s="1753"/>
      <c r="D19" s="389"/>
      <c r="E19" s="1753"/>
      <c r="F19" s="392"/>
      <c r="G19" s="1753"/>
      <c r="H19" s="387"/>
      <c r="I19" s="386"/>
      <c r="J19" s="387"/>
      <c r="K19" s="1062"/>
      <c r="L19" s="2488"/>
      <c r="M19" s="2483"/>
      <c r="N19" s="2483"/>
      <c r="O19" s="2538"/>
      <c r="P19" s="3375"/>
      <c r="Q19" s="1261"/>
      <c r="R19" s="667"/>
      <c r="S19" s="668"/>
      <c r="T19" s="667"/>
      <c r="U19" s="668"/>
      <c r="V19" s="667"/>
      <c r="W19" s="668"/>
      <c r="X19" s="1263"/>
      <c r="Y19" s="3375"/>
      <c r="Z19" s="1262"/>
      <c r="AA19" s="1262">
        <v>1</v>
      </c>
      <c r="AB19" s="1262">
        <v>1</v>
      </c>
      <c r="AC19" s="1262">
        <v>1</v>
      </c>
    </row>
    <row r="20" spans="1:29" ht="55.2">
      <c r="A20" s="367"/>
      <c r="B20" s="390" t="s">
        <v>1834</v>
      </c>
      <c r="C20" s="1752"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375"/>
      <c r="Q20" s="1261" t="str">
        <f>B20</f>
        <v>自然及人文环境</v>
      </c>
      <c r="R20" s="667" t="s">
        <v>14</v>
      </c>
      <c r="S20" s="668">
        <f>F20</f>
        <v>100</v>
      </c>
      <c r="T20" s="667" t="s">
        <v>14</v>
      </c>
      <c r="U20" s="668">
        <f>H20</f>
        <v>100</v>
      </c>
      <c r="V20" s="667" t="s">
        <v>14</v>
      </c>
      <c r="W20" s="668">
        <f>J20</f>
        <v>100</v>
      </c>
      <c r="X20" s="1263"/>
      <c r="Y20" s="3375"/>
      <c r="Z20" s="1262" t="str">
        <f>Q20</f>
        <v>自然及人文环境</v>
      </c>
      <c r="AA20" s="1262">
        <f t="shared" si="3"/>
        <v>1</v>
      </c>
      <c r="AB20" s="1262">
        <f t="shared" si="4"/>
        <v>1</v>
      </c>
      <c r="AC20" s="1262">
        <f t="shared" si="5"/>
        <v>1</v>
      </c>
    </row>
    <row r="21" spans="1:29" ht="15">
      <c r="A21" s="367"/>
      <c r="B21" s="395"/>
      <c r="C21" s="386"/>
      <c r="D21" s="387"/>
      <c r="E21" s="386"/>
      <c r="F21" s="388"/>
      <c r="G21" s="386"/>
      <c r="H21" s="387"/>
      <c r="I21" s="386"/>
      <c r="J21" s="387"/>
      <c r="K21" s="541"/>
      <c r="L21" s="2488"/>
      <c r="M21" s="2483"/>
      <c r="N21" s="2483"/>
      <c r="O21" s="2538"/>
      <c r="P21" s="3375"/>
      <c r="Q21" s="1261"/>
      <c r="R21" s="667"/>
      <c r="S21" s="668"/>
      <c r="T21" s="667"/>
      <c r="U21" s="668"/>
      <c r="V21" s="667"/>
      <c r="W21" s="668"/>
      <c r="X21" s="1263"/>
      <c r="Y21" s="3375"/>
      <c r="Z21" s="1262"/>
      <c r="AA21" s="1262">
        <v>1</v>
      </c>
      <c r="AB21" s="1262">
        <v>1</v>
      </c>
      <c r="AC21" s="1262">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375"/>
      <c r="Q22" s="1261" t="str">
        <f>B22</f>
        <v>楼层</v>
      </c>
      <c r="R22" s="667" t="s">
        <v>14</v>
      </c>
      <c r="S22" s="668">
        <f>F22</f>
        <v>100</v>
      </c>
      <c r="T22" s="667" t="s">
        <v>14</v>
      </c>
      <c r="U22" s="668">
        <f>H22</f>
        <v>100</v>
      </c>
      <c r="V22" s="667" t="s">
        <v>14</v>
      </c>
      <c r="W22" s="668">
        <f>J22</f>
        <v>100</v>
      </c>
      <c r="X22" s="1263"/>
      <c r="Y22" s="3375"/>
      <c r="Z22" s="1262" t="str">
        <f>Q22</f>
        <v>楼层</v>
      </c>
      <c r="AA22" s="1262">
        <f t="shared" si="3"/>
        <v>1</v>
      </c>
      <c r="AB22" s="1262">
        <f t="shared" si="4"/>
        <v>1</v>
      </c>
      <c r="AC22" s="1262">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375"/>
      <c r="Q23" s="1261">
        <f>B23</f>
        <v>111</v>
      </c>
      <c r="R23" s="667" t="s">
        <v>14</v>
      </c>
      <c r="S23" s="668">
        <f>F23</f>
        <v>100</v>
      </c>
      <c r="T23" s="667" t="s">
        <v>14</v>
      </c>
      <c r="U23" s="668">
        <f>H23</f>
        <v>100</v>
      </c>
      <c r="V23" s="667" t="s">
        <v>14</v>
      </c>
      <c r="W23" s="668">
        <f>J23</f>
        <v>100</v>
      </c>
      <c r="X23" s="1263"/>
      <c r="Y23" s="3375"/>
      <c r="Z23" s="1262">
        <f>Q23</f>
        <v>111</v>
      </c>
      <c r="AA23" s="1262">
        <f t="shared" si="3"/>
        <v>1</v>
      </c>
      <c r="AB23" s="1262">
        <f t="shared" si="4"/>
        <v>1</v>
      </c>
      <c r="AC23" s="1262">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375"/>
      <c r="Q24" s="1261">
        <f t="shared" ref="Q24:Q34" si="11">B24</f>
        <v>111</v>
      </c>
      <c r="R24" s="667" t="s">
        <v>14</v>
      </c>
      <c r="S24" s="668">
        <f>F24</f>
        <v>100</v>
      </c>
      <c r="T24" s="667" t="s">
        <v>14</v>
      </c>
      <c r="U24" s="668">
        <f>H24</f>
        <v>100</v>
      </c>
      <c r="V24" s="667" t="s">
        <v>14</v>
      </c>
      <c r="W24" s="668">
        <f>J24</f>
        <v>100</v>
      </c>
      <c r="X24" s="1263"/>
      <c r="Y24" s="3375"/>
      <c r="Z24" s="1262">
        <f>Q24</f>
        <v>111</v>
      </c>
      <c r="AA24" s="1262">
        <f t="shared" si="3"/>
        <v>1</v>
      </c>
      <c r="AB24" s="1262">
        <f t="shared" si="4"/>
        <v>1</v>
      </c>
      <c r="AC24" s="1262">
        <f t="shared" si="5"/>
        <v>1</v>
      </c>
    </row>
    <row r="25" spans="1:29" s="102" customFormat="1" ht="15.6"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4"/>
      <c r="M25" s="2436"/>
      <c r="N25" s="2436"/>
      <c r="O25" s="2536"/>
      <c r="P25" s="3375"/>
      <c r="Q25" s="530">
        <f t="shared" si="11"/>
        <v>111</v>
      </c>
      <c r="R25" s="664" t="s">
        <v>14</v>
      </c>
      <c r="S25" s="665">
        <f>F25</f>
        <v>100</v>
      </c>
      <c r="T25" s="664" t="s">
        <v>14</v>
      </c>
      <c r="U25" s="665">
        <f>H25</f>
        <v>100</v>
      </c>
      <c r="V25" s="664" t="s">
        <v>14</v>
      </c>
      <c r="W25" s="665">
        <f>J25</f>
        <v>100</v>
      </c>
      <c r="X25" s="666"/>
      <c r="Y25" s="3375"/>
      <c r="Z25" s="50">
        <f>Q25</f>
        <v>111</v>
      </c>
      <c r="AA25" s="1262">
        <f>D25/F25</f>
        <v>1</v>
      </c>
      <c r="AB25" s="1262">
        <f>D25/H25</f>
        <v>1</v>
      </c>
      <c r="AC25" s="1262">
        <f>D25/J25</f>
        <v>1</v>
      </c>
    </row>
    <row r="26" spans="1:29" ht="30">
      <c r="A26" s="404" t="s">
        <v>1694</v>
      </c>
      <c r="B26" s="60" t="s">
        <v>1838</v>
      </c>
      <c r="C26" s="1762"/>
      <c r="D26" s="405">
        <v>100</v>
      </c>
      <c r="E26" s="1762"/>
      <c r="F26" s="587">
        <f>SUMIF(77:77,E26,78:78)-SUMIF(77:77,C26,78:78)+100</f>
        <v>100</v>
      </c>
      <c r="G26" s="1762"/>
      <c r="H26" s="405">
        <f>SUMIF(77:77,G26,78:78)-SUMIF(77:77,C26,78:78)+100</f>
        <v>100</v>
      </c>
      <c r="I26" s="1762"/>
      <c r="J26" s="405">
        <f>SUMIF(77:77,I26,78:78)-SUMIF(77:77,C26,78:78)+100</f>
        <v>100</v>
      </c>
      <c r="K26" s="538"/>
      <c r="L26" s="2488"/>
      <c r="M26" s="2483"/>
      <c r="N26" s="2483"/>
      <c r="O26" s="2538"/>
      <c r="P26" s="3461" t="s">
        <v>1696</v>
      </c>
      <c r="Q26" s="1261" t="str">
        <f t="shared" si="11"/>
        <v>公共部分装修</v>
      </c>
      <c r="R26" s="667" t="s">
        <v>14</v>
      </c>
      <c r="S26" s="668">
        <f t="shared" ref="S26:S34" si="12">F26</f>
        <v>100</v>
      </c>
      <c r="T26" s="667" t="s">
        <v>14</v>
      </c>
      <c r="U26" s="668">
        <f t="shared" ref="U26:U34" si="13">H26</f>
        <v>100</v>
      </c>
      <c r="V26" s="667" t="s">
        <v>14</v>
      </c>
      <c r="W26" s="668">
        <f t="shared" ref="W26:W34" si="14">J26</f>
        <v>100</v>
      </c>
      <c r="X26" s="1263"/>
      <c r="Y26" s="3379" t="s">
        <v>1696</v>
      </c>
      <c r="Z26" s="1262" t="str">
        <f t="shared" ref="Z26:Z34" si="15">Q26</f>
        <v>公共部分装修</v>
      </c>
      <c r="AA26" s="1262">
        <f t="shared" si="3"/>
        <v>1</v>
      </c>
      <c r="AB26" s="1262">
        <f t="shared" si="4"/>
        <v>1</v>
      </c>
      <c r="AC26" s="1262">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379"/>
      <c r="Q27" s="531" t="str">
        <f t="shared" si="11"/>
        <v>成新率</v>
      </c>
      <c r="R27" s="669" t="s">
        <v>14</v>
      </c>
      <c r="S27" s="670" t="e">
        <f t="shared" si="12"/>
        <v>#N/A</v>
      </c>
      <c r="T27" s="669" t="s">
        <v>14</v>
      </c>
      <c r="U27" s="670" t="e">
        <f t="shared" si="13"/>
        <v>#N/A</v>
      </c>
      <c r="V27" s="669" t="s">
        <v>14</v>
      </c>
      <c r="W27" s="670" t="e">
        <f t="shared" si="14"/>
        <v>#N/A</v>
      </c>
      <c r="X27" s="671"/>
      <c r="Y27" s="3379"/>
      <c r="Z27" s="672" t="str">
        <f t="shared" si="15"/>
        <v>成新率</v>
      </c>
      <c r="AA27" s="1262" t="e">
        <f t="shared" si="3"/>
        <v>#N/A</v>
      </c>
      <c r="AB27" s="1262" t="e">
        <f t="shared" si="4"/>
        <v>#N/A</v>
      </c>
      <c r="AC27" s="1262"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379"/>
      <c r="Q28" s="1261" t="str">
        <f t="shared" si="11"/>
        <v>物业等级</v>
      </c>
      <c r="R28" s="667" t="s">
        <v>14</v>
      </c>
      <c r="S28" s="668">
        <f t="shared" si="12"/>
        <v>100</v>
      </c>
      <c r="T28" s="667" t="s">
        <v>14</v>
      </c>
      <c r="U28" s="668">
        <f t="shared" si="13"/>
        <v>100</v>
      </c>
      <c r="V28" s="667" t="s">
        <v>14</v>
      </c>
      <c r="W28" s="668">
        <f t="shared" si="14"/>
        <v>100</v>
      </c>
      <c r="X28" s="1263"/>
      <c r="Y28" s="3379"/>
      <c r="Z28" s="1262" t="str">
        <f t="shared" si="15"/>
        <v>物业等级</v>
      </c>
      <c r="AA28" s="1262">
        <f t="shared" si="3"/>
        <v>1</v>
      </c>
      <c r="AB28" s="1262">
        <f t="shared" si="4"/>
        <v>1</v>
      </c>
      <c r="AC28" s="1262">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379"/>
      <c r="Q29" s="1261" t="str">
        <f t="shared" si="11"/>
        <v>有无电梯</v>
      </c>
      <c r="R29" s="667" t="s">
        <v>14</v>
      </c>
      <c r="S29" s="668">
        <f t="shared" si="12"/>
        <v>100</v>
      </c>
      <c r="T29" s="667" t="s">
        <v>14</v>
      </c>
      <c r="U29" s="668">
        <f t="shared" si="13"/>
        <v>100</v>
      </c>
      <c r="V29" s="667" t="s">
        <v>14</v>
      </c>
      <c r="W29" s="668">
        <f t="shared" si="14"/>
        <v>100</v>
      </c>
      <c r="X29" s="1263"/>
      <c r="Y29" s="3379"/>
      <c r="Z29" s="1262" t="str">
        <f t="shared" si="15"/>
        <v>有无电梯</v>
      </c>
      <c r="AA29" s="1262">
        <f t="shared" si="3"/>
        <v>1</v>
      </c>
      <c r="AB29" s="1262">
        <f t="shared" si="4"/>
        <v>1</v>
      </c>
      <c r="AC29" s="1262">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379"/>
      <c r="Q30" s="1261" t="str">
        <f t="shared" si="11"/>
        <v>建筑面积</v>
      </c>
      <c r="R30" s="667" t="s">
        <v>14</v>
      </c>
      <c r="S30" s="668" t="e">
        <f t="shared" si="12"/>
        <v>#N/A</v>
      </c>
      <c r="T30" s="667" t="s">
        <v>14</v>
      </c>
      <c r="U30" s="668" t="e">
        <f t="shared" si="13"/>
        <v>#N/A</v>
      </c>
      <c r="V30" s="667" t="s">
        <v>14</v>
      </c>
      <c r="W30" s="668" t="e">
        <f t="shared" si="14"/>
        <v>#N/A</v>
      </c>
      <c r="X30" s="1263"/>
      <c r="Y30" s="3379"/>
      <c r="Z30" s="1262" t="str">
        <f t="shared" si="15"/>
        <v>建筑面积</v>
      </c>
      <c r="AA30" s="1262" t="e">
        <f t="shared" si="3"/>
        <v>#N/A</v>
      </c>
      <c r="AB30" s="1262" t="e">
        <f t="shared" si="4"/>
        <v>#N/A</v>
      </c>
      <c r="AC30" s="1262"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6"/>
      <c r="N31" s="2436"/>
      <c r="O31" s="2536"/>
      <c r="P31" s="3379"/>
      <c r="Q31" s="530" t="str">
        <f t="shared" si="11"/>
        <v>是否封闭</v>
      </c>
      <c r="R31" s="664" t="s">
        <v>14</v>
      </c>
      <c r="S31" s="665">
        <f t="shared" si="12"/>
        <v>100</v>
      </c>
      <c r="T31" s="664" t="s">
        <v>14</v>
      </c>
      <c r="U31" s="665">
        <f t="shared" si="13"/>
        <v>100</v>
      </c>
      <c r="V31" s="664" t="s">
        <v>14</v>
      </c>
      <c r="W31" s="665">
        <f t="shared" si="14"/>
        <v>100</v>
      </c>
      <c r="X31" s="666"/>
      <c r="Y31" s="337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379" t="s">
        <v>1696</v>
      </c>
      <c r="Q32" s="1261">
        <f t="shared" si="11"/>
        <v>111</v>
      </c>
      <c r="R32" s="667" t="s">
        <v>14</v>
      </c>
      <c r="S32" s="668">
        <f t="shared" si="12"/>
        <v>100</v>
      </c>
      <c r="T32" s="667" t="s">
        <v>14</v>
      </c>
      <c r="U32" s="668">
        <f t="shared" si="13"/>
        <v>100</v>
      </c>
      <c r="V32" s="667" t="s">
        <v>14</v>
      </c>
      <c r="W32" s="668">
        <f t="shared" si="14"/>
        <v>100</v>
      </c>
      <c r="X32" s="1263"/>
      <c r="Y32" s="3379" t="s">
        <v>1696</v>
      </c>
      <c r="Z32" s="1262">
        <f t="shared" si="15"/>
        <v>111</v>
      </c>
      <c r="AA32" s="1262">
        <f t="shared" si="3"/>
        <v>1</v>
      </c>
      <c r="AB32" s="1262">
        <f t="shared" si="4"/>
        <v>1</v>
      </c>
      <c r="AC32" s="1262">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379"/>
      <c r="Q33" s="1261">
        <f t="shared" si="11"/>
        <v>111</v>
      </c>
      <c r="R33" s="667" t="s">
        <v>14</v>
      </c>
      <c r="S33" s="668">
        <f t="shared" si="12"/>
        <v>100</v>
      </c>
      <c r="T33" s="667" t="s">
        <v>14</v>
      </c>
      <c r="U33" s="668">
        <f t="shared" si="13"/>
        <v>100</v>
      </c>
      <c r="V33" s="667" t="s">
        <v>14</v>
      </c>
      <c r="W33" s="668">
        <f t="shared" si="14"/>
        <v>100</v>
      </c>
      <c r="X33" s="1263"/>
      <c r="Y33" s="3379"/>
      <c r="Z33" s="1262">
        <f t="shared" si="15"/>
        <v>111</v>
      </c>
      <c r="AA33" s="1262">
        <f t="shared" si="3"/>
        <v>1</v>
      </c>
      <c r="AB33" s="1262">
        <f t="shared" si="4"/>
        <v>1</v>
      </c>
      <c r="AC33" s="1262">
        <f t="shared" si="5"/>
        <v>1</v>
      </c>
    </row>
    <row r="34" spans="1:30" ht="15.6" thickBot="1">
      <c r="A34" s="415"/>
      <c r="B34" s="1747">
        <v>111</v>
      </c>
      <c r="C34" s="376"/>
      <c r="D34" s="377">
        <v>100</v>
      </c>
      <c r="E34" s="1821"/>
      <c r="F34" s="378">
        <f>SUMIF(95:95,E34,96:96)-SUMIF(95:95,C34,96:96)+100</f>
        <v>100</v>
      </c>
      <c r="G34" s="1821"/>
      <c r="H34" s="377">
        <f>SUMIF(95:95,G34,96:96)-SUMIF(95:95,C34,96:96)+100</f>
        <v>100</v>
      </c>
      <c r="I34" s="1821"/>
      <c r="J34" s="377">
        <f>SUMIF(95:95,I34,96:96)-SUMIF(95:95,C34,96:96)+100</f>
        <v>100</v>
      </c>
      <c r="K34" s="539"/>
      <c r="L34" s="2488"/>
      <c r="M34" s="2483"/>
      <c r="N34" s="2483"/>
      <c r="O34" s="2538"/>
      <c r="P34" s="3379"/>
      <c r="Q34" s="1261">
        <f t="shared" si="11"/>
        <v>111</v>
      </c>
      <c r="R34" s="667" t="s">
        <v>14</v>
      </c>
      <c r="S34" s="668">
        <f t="shared" si="12"/>
        <v>100</v>
      </c>
      <c r="T34" s="667" t="s">
        <v>14</v>
      </c>
      <c r="U34" s="668">
        <f t="shared" si="13"/>
        <v>100</v>
      </c>
      <c r="V34" s="667" t="s">
        <v>14</v>
      </c>
      <c r="W34" s="668">
        <f t="shared" si="14"/>
        <v>100</v>
      </c>
      <c r="X34" s="1263"/>
      <c r="Y34" s="3379"/>
      <c r="Z34" s="1262">
        <f t="shared" si="15"/>
        <v>111</v>
      </c>
      <c r="AA34" s="1262">
        <f t="shared" si="3"/>
        <v>1</v>
      </c>
      <c r="AB34" s="1262">
        <f t="shared" si="4"/>
        <v>1</v>
      </c>
      <c r="AC34" s="1262">
        <f t="shared" si="5"/>
        <v>1</v>
      </c>
    </row>
    <row r="35" spans="1:30" ht="14.4">
      <c r="A35" s="416" t="s">
        <v>1708</v>
      </c>
      <c r="B35" s="417"/>
      <c r="C35" s="1079" t="s">
        <v>0</v>
      </c>
      <c r="D35" s="418"/>
      <c r="E35" s="419"/>
      <c r="F35" s="420"/>
      <c r="G35" s="421"/>
      <c r="H35" s="422"/>
      <c r="I35" s="419"/>
      <c r="J35" s="422"/>
      <c r="K35" s="674"/>
      <c r="L35" s="2490"/>
      <c r="M35" s="2483"/>
      <c r="N35" s="2483"/>
      <c r="O35" s="2483"/>
      <c r="P35" s="3367" t="str">
        <f>A35</f>
        <v>成交单价（元/平方米）</v>
      </c>
      <c r="Q35" s="3367"/>
      <c r="R35" s="3368">
        <f>E35</f>
        <v>0</v>
      </c>
      <c r="S35" s="3368"/>
      <c r="T35" s="3368">
        <f>G35</f>
        <v>0</v>
      </c>
      <c r="U35" s="3368"/>
      <c r="V35" s="3368">
        <f>I35</f>
        <v>0</v>
      </c>
      <c r="W35" s="3368"/>
      <c r="X35" s="385"/>
      <c r="Y35" s="673"/>
      <c r="Z35" s="385"/>
      <c r="AA35" s="385"/>
      <c r="AB35" s="385"/>
      <c r="AC35" s="385"/>
    </row>
    <row r="36" spans="1:30" ht="15" thickBot="1">
      <c r="A36" s="423" t="s">
        <v>1793</v>
      </c>
      <c r="B36" s="424"/>
      <c r="C36" s="1080" t="e">
        <f>R37</f>
        <v>#DIV/0!</v>
      </c>
      <c r="D36" s="2138" t="s">
        <v>2133</v>
      </c>
      <c r="E36" s="1081" t="e">
        <f>R36</f>
        <v>#DIV/0!</v>
      </c>
      <c r="F36" s="2139"/>
      <c r="G36" s="1080" t="e">
        <f>T36</f>
        <v>#DIV/0!</v>
      </c>
      <c r="H36" s="2139"/>
      <c r="I36" s="1081" t="e">
        <f>V36</f>
        <v>#DIV/0!</v>
      </c>
      <c r="J36" s="2139"/>
      <c r="K36" s="2141">
        <f>F36+H36+J36</f>
        <v>0</v>
      </c>
      <c r="L36" s="2490"/>
      <c r="M36" s="2483"/>
      <c r="N36" s="2483"/>
      <c r="O36" s="2483"/>
      <c r="P36" s="3367" t="str">
        <f>A36</f>
        <v>比较价值（元/平方米）</v>
      </c>
      <c r="Q36" s="3367"/>
      <c r="R36" s="3368" t="e">
        <f>IF(F1="售价",ROUND(PRODUCT(R35,AA7:AA34),0),ROUND(PRODUCT(R35,AA7:AA34),1))</f>
        <v>#DIV/0!</v>
      </c>
      <c r="S36" s="3368"/>
      <c r="T36" s="3368" t="e">
        <f>IF(F1="售价",ROUND(PRODUCT(T35,AB7:AB34),0),ROUND(PRODUCT(T35,AB7:AB34),1))</f>
        <v>#DIV/0!</v>
      </c>
      <c r="U36" s="3368"/>
      <c r="V36" s="3368" t="e">
        <f>IF(F1="售价",ROUND(PRODUCT(V35,AC7:AC34),0),ROUND(PRODUCT(V35,AC7:AC34),1))</f>
        <v>#DIV/0!</v>
      </c>
      <c r="W36" s="3368"/>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0"/>
      <c r="M37" s="2483"/>
      <c r="N37" s="2483"/>
      <c r="O37" s="2483"/>
      <c r="P37" s="3369" t="str">
        <f>A37</f>
        <v>估价对象XX用房的比较价值（楼面单价，元/平方米）</v>
      </c>
      <c r="Q37" s="3370"/>
      <c r="R37" s="3462" t="e">
        <f>IF(F1="售价",ROUND(IF(D36="简单平均",AVERAGE(R36:W36),R36*F36+T36*H36+V36*J36),0),ROUND(IF(D36="简单平均",AVERAGE(R36:V36),R36*F36+T36*H36+V36*J36),1))</f>
        <v>#DIV/0!</v>
      </c>
      <c r="S37" s="3462"/>
      <c r="T37" s="3462"/>
      <c r="U37" s="3462"/>
      <c r="V37" s="3462"/>
      <c r="W37" s="3462"/>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2.2" thickBot="1">
      <c r="A45" s="658" t="s">
        <v>1798</v>
      </c>
      <c r="B45" s="385"/>
      <c r="C45" s="659"/>
      <c r="D45" s="659"/>
      <c r="E45" s="659"/>
      <c r="F45" s="660"/>
      <c r="G45" s="660"/>
      <c r="H45" s="659"/>
      <c r="I45" s="659"/>
      <c r="J45" s="659"/>
      <c r="K45" s="661"/>
      <c r="L45" s="662"/>
      <c r="M45" s="659"/>
      <c r="N45" s="2533"/>
      <c r="O45" s="2533"/>
      <c r="P45" s="2533"/>
      <c r="Q45" s="2504"/>
      <c r="R45" s="2483"/>
      <c r="S45" s="2483"/>
      <c r="T45" s="2483"/>
      <c r="U45" s="2483"/>
      <c r="V45" s="2483"/>
      <c r="W45" s="2483"/>
      <c r="X45" s="2483"/>
      <c r="Y45" s="2483"/>
      <c r="Z45" s="2483"/>
      <c r="AA45" s="2483"/>
      <c r="AB45" s="2483"/>
      <c r="AC45" s="2483"/>
      <c r="AD45" s="2483"/>
    </row>
    <row r="46" spans="1:30" s="442" customFormat="1" ht="14.4">
      <c r="A46" s="440" t="s">
        <v>1679</v>
      </c>
      <c r="B46" s="441"/>
      <c r="C46" s="1101" t="str">
        <f>YEAR(C7)&amp;"-"&amp;MONTH(C7)</f>
        <v>2025-5</v>
      </c>
      <c r="D46" s="1102">
        <f>EDATE(C46,-1)</f>
        <v>45748</v>
      </c>
      <c r="E46" s="1102">
        <f t="shared" ref="E46:O46" si="16">EDATE(D46,-1)</f>
        <v>45717</v>
      </c>
      <c r="F46" s="1102">
        <f t="shared" si="16"/>
        <v>45689</v>
      </c>
      <c r="G46" s="1102">
        <f t="shared" si="16"/>
        <v>45658</v>
      </c>
      <c r="H46" s="1102">
        <f t="shared" si="16"/>
        <v>45627</v>
      </c>
      <c r="I46" s="1102">
        <f t="shared" si="16"/>
        <v>45597</v>
      </c>
      <c r="J46" s="1102">
        <f t="shared" si="16"/>
        <v>45566</v>
      </c>
      <c r="K46" s="1102">
        <f t="shared" si="16"/>
        <v>45536</v>
      </c>
      <c r="L46" s="1102">
        <f t="shared" si="16"/>
        <v>45505</v>
      </c>
      <c r="M46" s="1102">
        <f t="shared" si="16"/>
        <v>45474</v>
      </c>
      <c r="N46" s="1102">
        <f t="shared" si="16"/>
        <v>45444</v>
      </c>
      <c r="O46" s="1102">
        <f t="shared" si="16"/>
        <v>45413</v>
      </c>
      <c r="P46" s="2506"/>
      <c r="Q46" s="2506"/>
      <c r="R46" s="2506"/>
      <c r="S46" s="2506"/>
      <c r="T46" s="2506"/>
      <c r="U46" s="2506"/>
      <c r="V46" s="2506"/>
      <c r="W46" s="2506"/>
      <c r="X46" s="2506"/>
      <c r="Y46" s="2506"/>
      <c r="Z46" s="2506"/>
      <c r="AA46" s="2506"/>
      <c r="AB46" s="2506"/>
      <c r="AC46" s="2506"/>
      <c r="AD46" s="2506"/>
    </row>
    <row r="47" spans="1:30" s="102" customFormat="1">
      <c r="A47" s="443"/>
      <c r="B47" s="444"/>
      <c r="C47" s="1100">
        <v>100</v>
      </c>
      <c r="D47" s="446"/>
      <c r="E47" s="446"/>
      <c r="F47" s="446"/>
      <c r="G47" s="446"/>
      <c r="H47" s="446"/>
      <c r="I47" s="446"/>
      <c r="J47" s="446"/>
      <c r="K47" s="446"/>
      <c r="L47" s="446"/>
      <c r="M47" s="447"/>
      <c r="N47" s="446"/>
      <c r="O47" s="448"/>
      <c r="P47" s="2504"/>
      <c r="Q47" s="2436"/>
      <c r="R47" s="2436"/>
      <c r="S47" s="2436"/>
      <c r="T47" s="2436"/>
      <c r="U47" s="2436"/>
      <c r="V47" s="2436"/>
      <c r="W47" s="2436"/>
      <c r="X47" s="2436"/>
      <c r="Y47" s="2436"/>
      <c r="Z47" s="2436"/>
      <c r="AA47" s="2436"/>
      <c r="AB47" s="2436"/>
      <c r="AC47" s="2436"/>
      <c r="AD47" s="2436"/>
    </row>
    <row r="48" spans="1:30" s="102" customFormat="1" ht="15" thickBot="1">
      <c r="A48" s="449" t="s">
        <v>1716</v>
      </c>
      <c r="B48" s="450"/>
      <c r="C48" s="451"/>
      <c r="D48" s="452"/>
      <c r="E48" s="452"/>
      <c r="F48" s="452"/>
      <c r="G48" s="452"/>
      <c r="H48" s="452"/>
      <c r="I48" s="452"/>
      <c r="J48" s="452"/>
      <c r="K48" s="452"/>
      <c r="L48" s="452"/>
      <c r="M48" s="453"/>
      <c r="N48" s="452"/>
      <c r="O48" s="454"/>
      <c r="P48" s="2504"/>
      <c r="Q48" s="2504"/>
      <c r="R48" s="2436"/>
      <c r="S48" s="2436"/>
      <c r="T48" s="2436"/>
      <c r="U48" s="2436"/>
      <c r="V48" s="2436"/>
      <c r="W48" s="2436"/>
      <c r="X48" s="2436"/>
      <c r="Y48" s="2436"/>
      <c r="Z48" s="2436"/>
      <c r="AA48" s="2436"/>
      <c r="AB48" s="2436"/>
      <c r="AC48" s="2436"/>
      <c r="AD48" s="2436"/>
    </row>
    <row r="49" spans="1:30" s="102" customFormat="1" ht="14.4">
      <c r="A49" s="455" t="s">
        <v>1681</v>
      </c>
      <c r="B49" s="444"/>
      <c r="C49" s="456" t="s">
        <v>1776</v>
      </c>
      <c r="D49" s="31"/>
      <c r="E49" s="31"/>
      <c r="F49" s="31"/>
      <c r="G49" s="31"/>
      <c r="H49" s="31"/>
      <c r="I49" s="31"/>
      <c r="J49" s="31"/>
      <c r="K49" s="31"/>
      <c r="L49" s="457"/>
      <c r="M49" s="458"/>
      <c r="N49" s="2516"/>
      <c r="O49" s="2516"/>
      <c r="P49" s="2540"/>
      <c r="Q49" s="2504"/>
      <c r="R49" s="2436"/>
      <c r="S49" s="2436"/>
      <c r="T49" s="2436"/>
      <c r="U49" s="2436"/>
      <c r="V49" s="2436"/>
      <c r="W49" s="2436"/>
      <c r="X49" s="2436"/>
      <c r="Y49" s="2436"/>
      <c r="Z49" s="2436"/>
      <c r="AA49" s="2436"/>
      <c r="AB49" s="2436"/>
      <c r="AC49" s="2436"/>
      <c r="AD49" s="2436"/>
    </row>
    <row r="50" spans="1:30" s="102" customFormat="1" ht="14.4" thickBot="1">
      <c r="A50" s="455"/>
      <c r="B50" s="444"/>
      <c r="C50" s="563">
        <v>100</v>
      </c>
      <c r="D50" s="446"/>
      <c r="E50" s="446"/>
      <c r="F50" s="446"/>
      <c r="G50" s="446"/>
      <c r="H50" s="446"/>
      <c r="I50" s="446"/>
      <c r="J50" s="446"/>
      <c r="K50" s="446"/>
      <c r="L50" s="446"/>
      <c r="M50" s="448"/>
      <c r="N50" s="2516"/>
      <c r="O50" s="2516"/>
      <c r="P50" s="2504"/>
      <c r="Q50" s="2504"/>
      <c r="R50" s="2436"/>
      <c r="S50" s="2436"/>
      <c r="T50" s="2436"/>
      <c r="U50" s="2436"/>
      <c r="V50" s="2436"/>
      <c r="W50" s="2436"/>
      <c r="X50" s="2436"/>
      <c r="Y50" s="2436"/>
      <c r="Z50" s="2436"/>
      <c r="AA50" s="2436"/>
      <c r="AB50" s="2436"/>
      <c r="AC50" s="2436"/>
      <c r="AD50" s="2436"/>
    </row>
    <row r="51" spans="1:30" ht="14.4">
      <c r="A51" s="379" t="s">
        <v>1719</v>
      </c>
      <c r="B51" s="460" t="s">
        <v>1685</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4.4"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9.4" thickTop="1">
      <c r="A53" s="367"/>
      <c r="B53" s="469" t="s">
        <v>1688</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4.4"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4.4"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4.4"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4.4"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4.4"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4.4"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4.4"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9.4" thickTop="1">
      <c r="A63" s="367"/>
      <c r="B63" s="469" t="s">
        <v>1863</v>
      </c>
      <c r="C63" s="509" t="s">
        <v>1721</v>
      </c>
      <c r="D63" s="509" t="s">
        <v>1722</v>
      </c>
      <c r="E63" s="509" t="s">
        <v>1723</v>
      </c>
      <c r="F63" s="509" t="s">
        <v>1724</v>
      </c>
      <c r="G63" s="509" t="s">
        <v>1725</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 thickTop="1">
      <c r="A65" s="367"/>
      <c r="B65" s="477" t="s">
        <v>1813</v>
      </c>
      <c r="C65" s="581" t="s">
        <v>1799</v>
      </c>
      <c r="D65" s="581" t="s">
        <v>1800</v>
      </c>
      <c r="E65" s="581" t="s">
        <v>1801</v>
      </c>
      <c r="F65" s="581" t="s">
        <v>1802</v>
      </c>
      <c r="G65" s="581" t="s">
        <v>1803</v>
      </c>
      <c r="H65" s="470"/>
      <c r="I65" s="470"/>
      <c r="J65" s="470"/>
      <c r="K65" s="470"/>
      <c r="L65" s="470"/>
      <c r="M65" s="1061"/>
      <c r="N65" s="2518"/>
      <c r="O65" s="2518"/>
      <c r="P65" s="2516"/>
      <c r="Q65" s="2504"/>
      <c r="R65" s="2483"/>
      <c r="S65" s="2483"/>
      <c r="T65" s="2483"/>
      <c r="U65" s="2483"/>
      <c r="V65" s="2483"/>
      <c r="W65" s="2483"/>
      <c r="X65" s="2483"/>
      <c r="Y65" s="2483"/>
      <c r="Z65" s="2483"/>
      <c r="AA65" s="2483"/>
      <c r="AB65" s="2483"/>
      <c r="AC65" s="2483"/>
      <c r="AD65" s="2483"/>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 thickTop="1">
      <c r="A67" s="367"/>
      <c r="B67" s="469" t="s">
        <v>1733</v>
      </c>
      <c r="C67" s="509" t="s">
        <v>1721</v>
      </c>
      <c r="D67" s="509" t="s">
        <v>1722</v>
      </c>
      <c r="E67" s="509" t="s">
        <v>1723</v>
      </c>
      <c r="F67" s="509" t="s">
        <v>1724</v>
      </c>
      <c r="G67" s="509" t="s">
        <v>1725</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 thickTop="1">
      <c r="A69" s="367"/>
      <c r="B69" s="469" t="s">
        <v>1852</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4.4"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4.4" thickTop="1">
      <c r="A71" s="370"/>
      <c r="B71" s="469">
        <f>B23</f>
        <v>111</v>
      </c>
      <c r="C71" s="480"/>
      <c r="D71" s="480"/>
      <c r="E71" s="480"/>
      <c r="F71" s="480"/>
      <c r="G71" s="485"/>
      <c r="H71" s="485"/>
      <c r="I71" s="485"/>
      <c r="J71" s="485"/>
      <c r="K71" s="485"/>
      <c r="L71" s="510"/>
      <c r="M71" s="511"/>
      <c r="N71" s="2516"/>
      <c r="O71" s="2516"/>
      <c r="P71" s="2516"/>
      <c r="Q71" s="2504"/>
      <c r="R71" s="2436"/>
      <c r="S71" s="2436"/>
      <c r="T71" s="2436"/>
      <c r="U71" s="2436"/>
      <c r="V71" s="2436"/>
      <c r="W71" s="2436"/>
      <c r="X71" s="2436"/>
      <c r="Y71" s="2436"/>
      <c r="Z71" s="2436"/>
      <c r="AA71" s="2436"/>
      <c r="AB71" s="2436"/>
      <c r="AC71" s="2436"/>
      <c r="AD71" s="2436"/>
    </row>
    <row r="72" spans="1:30" s="102" customFormat="1" ht="14.4" thickBot="1">
      <c r="A72" s="370"/>
      <c r="B72" s="474"/>
      <c r="C72" s="491"/>
      <c r="D72" s="467"/>
      <c r="E72" s="467"/>
      <c r="F72" s="467"/>
      <c r="G72" s="467"/>
      <c r="H72" s="467"/>
      <c r="I72" s="467"/>
      <c r="J72" s="467"/>
      <c r="K72" s="467"/>
      <c r="L72" s="467"/>
      <c r="M72" s="468"/>
      <c r="N72" s="2518"/>
      <c r="O72" s="2518"/>
      <c r="P72" s="2516"/>
      <c r="Q72" s="2504"/>
      <c r="R72" s="2436"/>
      <c r="S72" s="2436"/>
      <c r="T72" s="2436"/>
      <c r="U72" s="2436"/>
      <c r="V72" s="2436"/>
      <c r="W72" s="2436"/>
      <c r="X72" s="2436"/>
      <c r="Y72" s="2436"/>
      <c r="Z72" s="2436"/>
      <c r="AA72" s="2436"/>
      <c r="AB72" s="2436"/>
      <c r="AC72" s="2436"/>
      <c r="AD72" s="2436"/>
    </row>
    <row r="73" spans="1:30" s="102" customFormat="1" ht="14.4" thickTop="1">
      <c r="A73" s="370"/>
      <c r="B73" s="469">
        <f>B24</f>
        <v>111</v>
      </c>
      <c r="C73" s="480"/>
      <c r="D73" s="480"/>
      <c r="E73" s="480"/>
      <c r="F73" s="480"/>
      <c r="G73" s="485"/>
      <c r="H73" s="485"/>
      <c r="I73" s="485"/>
      <c r="J73" s="485"/>
      <c r="K73" s="485"/>
      <c r="L73" s="485"/>
      <c r="M73" s="511"/>
      <c r="N73" s="2516"/>
      <c r="O73" s="2516"/>
      <c r="P73" s="2516"/>
      <c r="Q73" s="2504"/>
      <c r="R73" s="2436"/>
      <c r="S73" s="2436"/>
      <c r="T73" s="2436"/>
      <c r="U73" s="2436"/>
      <c r="V73" s="2436"/>
      <c r="W73" s="2436"/>
      <c r="X73" s="2436"/>
      <c r="Y73" s="2436"/>
      <c r="Z73" s="2436"/>
      <c r="AA73" s="2436"/>
      <c r="AB73" s="2436"/>
      <c r="AC73" s="2436"/>
      <c r="AD73" s="2436"/>
    </row>
    <row r="74" spans="1:30" s="102" customFormat="1" ht="14.4" thickBot="1">
      <c r="A74" s="370"/>
      <c r="B74" s="474"/>
      <c r="C74" s="491"/>
      <c r="D74" s="467"/>
      <c r="E74" s="467"/>
      <c r="F74" s="467"/>
      <c r="G74" s="467"/>
      <c r="H74" s="467"/>
      <c r="I74" s="467"/>
      <c r="J74" s="467"/>
      <c r="K74" s="467"/>
      <c r="L74" s="467"/>
      <c r="M74" s="468"/>
      <c r="N74" s="2518"/>
      <c r="O74" s="2518"/>
      <c r="P74" s="2516"/>
      <c r="Q74" s="2504"/>
      <c r="R74" s="2436"/>
      <c r="S74" s="2436"/>
      <c r="T74" s="2436"/>
      <c r="U74" s="2436"/>
      <c r="V74" s="2436"/>
      <c r="W74" s="2436"/>
      <c r="X74" s="2436"/>
      <c r="Y74" s="2436"/>
      <c r="Z74" s="2436"/>
      <c r="AA74" s="2436"/>
      <c r="AB74" s="2436"/>
      <c r="AC74" s="2436"/>
      <c r="AD74" s="2436"/>
    </row>
    <row r="75" spans="1:30" s="408" customFormat="1" ht="14.4"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4.4"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60" t="s">
        <v>1740</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1856</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1864</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4.4"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1866</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4.4"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4.4"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4.4"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4.4"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4.4"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4.4"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4.4"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4.4" thickTop="1">
      <c r="N97" s="2483"/>
      <c r="O97" s="2483"/>
      <c r="P97" s="2483"/>
      <c r="Q97" s="2483"/>
      <c r="R97" s="2483"/>
      <c r="S97" s="2483"/>
      <c r="T97" s="2483"/>
      <c r="U97" s="2483"/>
      <c r="V97" s="2483"/>
      <c r="W97" s="2483"/>
      <c r="X97" s="2483"/>
      <c r="Y97" s="2483"/>
      <c r="Z97" s="2483"/>
      <c r="AA97" s="2483"/>
      <c r="AB97" s="2483"/>
      <c r="AC97" s="2483"/>
      <c r="AD97" s="2483"/>
    </row>
    <row r="98" spans="1:30">
      <c r="A98" s="880"/>
      <c r="B98" s="880"/>
      <c r="C98" s="880"/>
      <c r="D98" s="880"/>
      <c r="E98" s="880"/>
      <c r="F98" s="880"/>
      <c r="G98" s="880"/>
      <c r="H98" s="880"/>
      <c r="I98" s="880"/>
      <c r="J98" s="880"/>
      <c r="K98" s="881"/>
      <c r="L98" s="882"/>
      <c r="M98" s="880"/>
      <c r="N98" s="2483"/>
      <c r="O98" s="2483"/>
      <c r="P98" s="2483"/>
      <c r="Q98" s="2483"/>
      <c r="R98" s="2483"/>
      <c r="S98" s="2483"/>
      <c r="T98" s="2483"/>
      <c r="U98" s="2483"/>
      <c r="V98" s="2483"/>
      <c r="W98" s="2483"/>
      <c r="X98" s="2483"/>
      <c r="Y98" s="2483"/>
      <c r="Z98" s="2483"/>
      <c r="AA98" s="2483"/>
      <c r="AB98" s="2483"/>
      <c r="AC98" s="2483"/>
      <c r="AD98" s="2483"/>
    </row>
    <row r="99" spans="1:30">
      <c r="A99" s="880"/>
      <c r="B99" s="880"/>
      <c r="C99" s="880"/>
      <c r="D99" s="880"/>
      <c r="E99" s="880"/>
      <c r="F99" s="880"/>
      <c r="G99" s="880"/>
      <c r="H99" s="880"/>
      <c r="I99" s="880"/>
      <c r="J99" s="880"/>
      <c r="K99" s="881"/>
      <c r="L99" s="882"/>
      <c r="M99" s="880"/>
      <c r="N99" s="2483"/>
      <c r="O99" s="2483"/>
      <c r="P99" s="2483"/>
      <c r="Q99" s="2483"/>
      <c r="R99" s="2483"/>
      <c r="S99" s="2483"/>
      <c r="T99" s="2483"/>
      <c r="U99" s="2483"/>
      <c r="V99" s="2483"/>
      <c r="W99" s="2483"/>
      <c r="X99" s="2483"/>
      <c r="Y99" s="2483"/>
      <c r="Z99" s="2483"/>
      <c r="AA99" s="2483"/>
      <c r="AB99" s="2483"/>
      <c r="AC99" s="2483"/>
      <c r="AD99" s="2483"/>
    </row>
    <row r="100" spans="1:30">
      <c r="A100" s="880"/>
      <c r="B100" s="880"/>
      <c r="C100" s="880"/>
      <c r="D100" s="880"/>
      <c r="E100" s="880"/>
      <c r="F100" s="880"/>
      <c r="G100" s="880"/>
      <c r="H100" s="880"/>
      <c r="I100" s="880"/>
      <c r="J100" s="880"/>
      <c r="K100" s="881"/>
      <c r="L100" s="882"/>
      <c r="M100" s="880"/>
      <c r="N100" s="2483"/>
      <c r="O100" s="2483"/>
      <c r="P100" s="2483"/>
      <c r="Q100" s="2483"/>
      <c r="R100" s="2483"/>
      <c r="S100" s="2483"/>
      <c r="T100" s="2483"/>
      <c r="U100" s="2483"/>
      <c r="V100" s="2483"/>
      <c r="W100" s="2483"/>
      <c r="X100" s="2483"/>
      <c r="Y100" s="2483"/>
      <c r="Z100" s="2483"/>
      <c r="AA100" s="2483"/>
      <c r="AB100" s="2483"/>
      <c r="AC100" s="2483"/>
      <c r="AD100" s="2483"/>
    </row>
    <row r="101" spans="1:30">
      <c r="A101" s="880"/>
      <c r="B101" s="880"/>
      <c r="C101" s="880"/>
      <c r="D101" s="880"/>
      <c r="E101" s="880"/>
      <c r="F101" s="880"/>
      <c r="G101" s="880"/>
      <c r="H101" s="880"/>
      <c r="I101" s="880"/>
      <c r="J101" s="880"/>
      <c r="K101" s="881"/>
      <c r="L101" s="882"/>
      <c r="M101" s="880"/>
      <c r="N101" s="2483"/>
      <c r="O101" s="2483"/>
      <c r="P101" s="2483"/>
      <c r="Q101" s="2483"/>
      <c r="R101" s="2483"/>
      <c r="S101" s="2483"/>
      <c r="T101" s="2483"/>
      <c r="U101" s="2483"/>
      <c r="V101" s="2483"/>
      <c r="W101" s="2483"/>
      <c r="X101" s="2483"/>
      <c r="Y101" s="2483"/>
      <c r="Z101" s="2483"/>
      <c r="AA101" s="2483"/>
      <c r="AB101" s="2483"/>
      <c r="AC101" s="2483"/>
      <c r="AD101" s="2483"/>
    </row>
    <row r="102" spans="1:30">
      <c r="A102" s="880"/>
      <c r="B102" s="880"/>
      <c r="C102" s="880"/>
      <c r="D102" s="880"/>
      <c r="E102" s="880"/>
      <c r="F102" s="880"/>
      <c r="G102" s="880"/>
      <c r="H102" s="880"/>
      <c r="I102" s="880"/>
      <c r="J102" s="880"/>
      <c r="K102" s="881"/>
      <c r="L102" s="882"/>
      <c r="M102" s="880"/>
      <c r="N102" s="2483"/>
      <c r="O102" s="2483"/>
      <c r="P102" s="2483"/>
      <c r="Q102" s="2483"/>
      <c r="R102" s="2483"/>
      <c r="S102" s="2483"/>
      <c r="T102" s="2483"/>
      <c r="U102" s="2483"/>
      <c r="V102" s="2483"/>
      <c r="W102" s="2483"/>
      <c r="X102" s="2483"/>
      <c r="Y102" s="2483"/>
      <c r="Z102" s="2483"/>
      <c r="AA102" s="2483"/>
      <c r="AB102" s="2483"/>
      <c r="AC102" s="2483"/>
      <c r="AD102" s="2483"/>
    </row>
    <row r="103" spans="1:30">
      <c r="A103" s="880"/>
      <c r="B103" s="880"/>
      <c r="C103" s="880"/>
      <c r="D103" s="880"/>
      <c r="E103" s="880"/>
      <c r="F103" s="880"/>
      <c r="G103" s="880"/>
      <c r="H103" s="880"/>
      <c r="I103" s="880"/>
      <c r="J103" s="880"/>
      <c r="K103" s="881"/>
      <c r="L103" s="882"/>
      <c r="M103" s="880"/>
      <c r="N103" s="880"/>
      <c r="O103" s="880"/>
      <c r="P103" s="2483"/>
      <c r="Q103" s="2483"/>
      <c r="R103" s="2483"/>
      <c r="S103" s="2483"/>
      <c r="T103" s="2483"/>
      <c r="U103" s="2483"/>
      <c r="V103" s="2483"/>
      <c r="W103" s="2483"/>
      <c r="X103" s="2483"/>
      <c r="Y103" s="2483"/>
      <c r="Z103" s="2483"/>
      <c r="AA103" s="2483"/>
      <c r="AB103" s="2483"/>
      <c r="AC103" s="2483"/>
      <c r="AD103" s="2483"/>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2"/>
      <c r="D2" s="852"/>
      <c r="E2" s="853"/>
      <c r="F2" s="854"/>
      <c r="G2" s="853"/>
      <c r="H2" s="853"/>
      <c r="I2" s="853"/>
      <c r="J2" s="853"/>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9"/>
      <c r="E3" s="853"/>
      <c r="F3" s="854"/>
      <c r="G3" s="853"/>
      <c r="H3" s="853"/>
      <c r="I3" s="853"/>
      <c r="J3" s="853"/>
      <c r="K3" s="855"/>
      <c r="L3" s="2499"/>
      <c r="M3" s="2500"/>
      <c r="N3" s="2500"/>
      <c r="O3" s="2500"/>
      <c r="P3" s="341"/>
      <c r="Q3" s="341"/>
      <c r="R3" s="341"/>
      <c r="S3" s="341"/>
      <c r="T3" s="341"/>
      <c r="U3" s="341"/>
      <c r="V3" s="341"/>
      <c r="W3" s="341"/>
      <c r="X3" s="341"/>
      <c r="Y3" s="341"/>
      <c r="Z3" s="341"/>
      <c r="AA3" s="341"/>
      <c r="AB3" s="676"/>
      <c r="AC3" s="663"/>
    </row>
    <row r="4" spans="1:29" ht="14.4">
      <c r="A4" s="345" t="s">
        <v>1769</v>
      </c>
      <c r="B4" s="346"/>
      <c r="C4" s="3385" t="s">
        <v>1770</v>
      </c>
      <c r="D4" s="3386"/>
      <c r="E4" s="3387" t="s">
        <v>1771</v>
      </c>
      <c r="F4" s="3388"/>
      <c r="G4" s="3385" t="s">
        <v>1772</v>
      </c>
      <c r="H4" s="3386"/>
      <c r="I4" s="3385" t="s">
        <v>1773</v>
      </c>
      <c r="J4" s="3386"/>
      <c r="K4" s="537" t="s">
        <v>1774</v>
      </c>
      <c r="L4" s="2482"/>
      <c r="M4" s="2483"/>
      <c r="N4" s="2483"/>
      <c r="O4" s="2483"/>
      <c r="P4" s="3389" t="s">
        <v>1775</v>
      </c>
      <c r="Q4" s="3390"/>
      <c r="R4" s="3395" t="s">
        <v>1771</v>
      </c>
      <c r="S4" s="3396"/>
      <c r="T4" s="3395" t="s">
        <v>1772</v>
      </c>
      <c r="U4" s="3396"/>
      <c r="V4" s="3368" t="s">
        <v>1773</v>
      </c>
      <c r="W4" s="3368"/>
      <c r="X4" s="1263"/>
      <c r="Y4" s="3395" t="s">
        <v>1775</v>
      </c>
      <c r="Z4" s="3396"/>
      <c r="AA4" s="3382" t="s">
        <v>1771</v>
      </c>
      <c r="AB4" s="3383" t="s">
        <v>1772</v>
      </c>
      <c r="AC4" s="3382" t="s">
        <v>1773</v>
      </c>
    </row>
    <row r="5" spans="1:29">
      <c r="A5" s="348"/>
      <c r="B5" s="349"/>
      <c r="C5" s="3403" t="s">
        <v>1673</v>
      </c>
      <c r="D5" s="3404"/>
      <c r="E5" s="3411" t="s">
        <v>1674</v>
      </c>
      <c r="F5" s="3412"/>
      <c r="G5" s="3403" t="s">
        <v>1675</v>
      </c>
      <c r="H5" s="3404"/>
      <c r="I5" s="3403" t="s">
        <v>1676</v>
      </c>
      <c r="J5" s="3404"/>
      <c r="K5" s="537"/>
      <c r="L5" s="2482"/>
      <c r="M5" s="2483"/>
      <c r="N5" s="2483"/>
      <c r="O5" s="2483"/>
      <c r="P5" s="3391"/>
      <c r="Q5" s="3392"/>
      <c r="R5" s="3397"/>
      <c r="S5" s="3398"/>
      <c r="T5" s="3397"/>
      <c r="U5" s="3398"/>
      <c r="V5" s="3368"/>
      <c r="W5" s="3368"/>
      <c r="X5" s="1263"/>
      <c r="Y5" s="3397"/>
      <c r="Z5" s="3398"/>
      <c r="AA5" s="3383"/>
      <c r="AB5" s="3383"/>
      <c r="AC5" s="3383"/>
    </row>
    <row r="6" spans="1:29" ht="15" thickBot="1">
      <c r="A6" s="350"/>
      <c r="B6" s="351"/>
      <c r="C6" s="3401" t="s">
        <v>1677</v>
      </c>
      <c r="D6" s="3402"/>
      <c r="E6" s="3409" t="s">
        <v>1677</v>
      </c>
      <c r="F6" s="3410"/>
      <c r="G6" s="3401" t="s">
        <v>1677</v>
      </c>
      <c r="H6" s="3402"/>
      <c r="I6" s="3401" t="s">
        <v>1677</v>
      </c>
      <c r="J6" s="3402"/>
      <c r="K6" s="537" t="s">
        <v>1678</v>
      </c>
      <c r="L6" s="2482"/>
      <c r="M6" s="2483"/>
      <c r="N6" s="2483"/>
      <c r="O6" s="2483"/>
      <c r="P6" s="3393"/>
      <c r="Q6" s="3394"/>
      <c r="R6" s="3397"/>
      <c r="S6" s="3398"/>
      <c r="T6" s="3399"/>
      <c r="U6" s="3400"/>
      <c r="V6" s="3368"/>
      <c r="W6" s="3368"/>
      <c r="X6" s="1263"/>
      <c r="Y6" s="3399"/>
      <c r="Z6" s="3400"/>
      <c r="AA6" s="3384"/>
      <c r="AB6" s="3384"/>
      <c r="AC6" s="3384"/>
    </row>
    <row r="7" spans="1:29" s="102" customFormat="1" ht="15" thickBot="1">
      <c r="A7" s="352" t="s">
        <v>1679</v>
      </c>
      <c r="B7" s="353"/>
      <c r="C7" s="354">
        <f>'数据-取费表'!B2</f>
        <v>45793</v>
      </c>
      <c r="D7" s="355">
        <v>100</v>
      </c>
      <c r="E7" s="356"/>
      <c r="F7" s="357">
        <f>SUMIF(69:69,YEAR(E7)&amp;"-"&amp;INT((MONTH(E7)+2)/3),70:70)</f>
        <v>0</v>
      </c>
      <c r="G7" s="1820"/>
      <c r="H7" s="355">
        <f>SUMIF(69:69,YEAR(G7)&amp;"-"&amp;INT((MONTH(G7)+2)/3),70:70)</f>
        <v>0</v>
      </c>
      <c r="I7" s="1820"/>
      <c r="J7" s="355">
        <f>SUMIF(69:69,YEAR(I7)&amp;"-"&amp;INT((MONTH(I7)+2)/3),70:70)</f>
        <v>0</v>
      </c>
      <c r="K7" s="38"/>
      <c r="L7" s="2484"/>
      <c r="M7" s="2436"/>
      <c r="N7" s="2436"/>
      <c r="O7" s="2436"/>
      <c r="P7" s="3405" t="s">
        <v>1680</v>
      </c>
      <c r="Q7" s="3407"/>
      <c r="R7" s="664" t="s">
        <v>14</v>
      </c>
      <c r="S7" s="665">
        <f t="shared" ref="S7:S15" si="0">F7</f>
        <v>0</v>
      </c>
      <c r="T7" s="664" t="s">
        <v>14</v>
      </c>
      <c r="U7" s="665">
        <f t="shared" ref="U7:U15" si="1">H7</f>
        <v>0</v>
      </c>
      <c r="V7" s="664" t="s">
        <v>14</v>
      </c>
      <c r="W7" s="665">
        <f t="shared" ref="W7:W15" si="2">J7</f>
        <v>0</v>
      </c>
      <c r="X7" s="666"/>
      <c r="Y7" s="3405" t="s">
        <v>1680</v>
      </c>
      <c r="Z7" s="3406"/>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4"/>
      <c r="M8" s="2436"/>
      <c r="N8" s="2436"/>
      <c r="O8" s="2436"/>
      <c r="P8" s="3405" t="s">
        <v>1683</v>
      </c>
      <c r="Q8" s="3406"/>
      <c r="R8" s="664" t="s">
        <v>14</v>
      </c>
      <c r="S8" s="665">
        <f t="shared" si="0"/>
        <v>0</v>
      </c>
      <c r="T8" s="664" t="s">
        <v>14</v>
      </c>
      <c r="U8" s="665">
        <f t="shared" si="1"/>
        <v>0</v>
      </c>
      <c r="V8" s="664" t="s">
        <v>14</v>
      </c>
      <c r="W8" s="665">
        <f t="shared" si="2"/>
        <v>0</v>
      </c>
      <c r="X8" s="666"/>
      <c r="Y8" s="3405" t="s">
        <v>1683</v>
      </c>
      <c r="Z8" s="3406"/>
      <c r="AA8" s="50" t="e">
        <f t="shared" ref="AA8:AA45" si="3">D8/F8</f>
        <v>#DIV/0!</v>
      </c>
      <c r="AB8" s="50" t="e">
        <f t="shared" ref="AB8:AB45" si="4">D8/H8</f>
        <v>#DIV/0!</v>
      </c>
      <c r="AC8" s="50" t="e">
        <f t="shared" ref="AC8:AC45" si="5">D8/J8</f>
        <v>#DIV/0!</v>
      </c>
    </row>
    <row r="9" spans="1:29" s="102" customFormat="1" ht="14.4">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4"/>
      <c r="M9" s="2436"/>
      <c r="N9" s="2436"/>
      <c r="O9" s="2536"/>
      <c r="P9" s="3367" t="s">
        <v>1686</v>
      </c>
      <c r="Q9" s="530" t="str">
        <f t="shared" ref="Q9:Q15" si="6">B9</f>
        <v>用途</v>
      </c>
      <c r="R9" s="664" t="s">
        <v>14</v>
      </c>
      <c r="S9" s="665">
        <f t="shared" si="0"/>
        <v>100</v>
      </c>
      <c r="T9" s="664" t="s">
        <v>14</v>
      </c>
      <c r="U9" s="665">
        <f t="shared" si="1"/>
        <v>100</v>
      </c>
      <c r="V9" s="664" t="s">
        <v>14</v>
      </c>
      <c r="W9" s="665">
        <f t="shared" si="2"/>
        <v>100</v>
      </c>
      <c r="X9" s="666"/>
      <c r="Y9" s="327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5"/>
      <c r="M10" s="2486"/>
      <c r="N10" s="2486"/>
      <c r="O10" s="2537"/>
      <c r="P10" s="3367"/>
      <c r="Q10" s="530" t="str">
        <f t="shared" si="6"/>
        <v>土地使用年限（年）</v>
      </c>
      <c r="R10" s="664" t="s">
        <v>14</v>
      </c>
      <c r="S10" s="665" t="e">
        <f t="shared" si="0"/>
        <v>#DIV/0!</v>
      </c>
      <c r="T10" s="664" t="s">
        <v>14</v>
      </c>
      <c r="U10" s="665" t="e">
        <f t="shared" si="1"/>
        <v>#DIV/0!</v>
      </c>
      <c r="V10" s="664" t="s">
        <v>14</v>
      </c>
      <c r="W10" s="665" t="e">
        <f t="shared" si="2"/>
        <v>#DIV/0!</v>
      </c>
      <c r="X10" s="666"/>
      <c r="Y10" s="327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367"/>
      <c r="Q11" s="530" t="str">
        <f t="shared" si="6"/>
        <v>容积率</v>
      </c>
      <c r="R11" s="664" t="s">
        <v>14</v>
      </c>
      <c r="S11" s="665" t="e">
        <f t="shared" si="0"/>
        <v>#N/A</v>
      </c>
      <c r="T11" s="664" t="s">
        <v>14</v>
      </c>
      <c r="U11" s="665" t="e">
        <f t="shared" si="1"/>
        <v>#N/A</v>
      </c>
      <c r="V11" s="664" t="s">
        <v>14</v>
      </c>
      <c r="W11" s="665" t="e">
        <f t="shared" si="2"/>
        <v>#N/A</v>
      </c>
      <c r="X11" s="666"/>
      <c r="Y11" s="327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6"/>
      <c r="N12" s="2436"/>
      <c r="O12" s="2536"/>
      <c r="P12" s="3367"/>
      <c r="Q12" s="530" t="str">
        <f t="shared" si="6"/>
        <v>配建</v>
      </c>
      <c r="R12" s="664" t="s">
        <v>14</v>
      </c>
      <c r="S12" s="665">
        <f t="shared" si="0"/>
        <v>100</v>
      </c>
      <c r="T12" s="664" t="s">
        <v>14</v>
      </c>
      <c r="U12" s="665">
        <f t="shared" si="1"/>
        <v>100</v>
      </c>
      <c r="V12" s="664" t="s">
        <v>14</v>
      </c>
      <c r="W12" s="665">
        <f t="shared" si="2"/>
        <v>100</v>
      </c>
      <c r="X12" s="666"/>
      <c r="Y12" s="327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367"/>
      <c r="Q13" s="530">
        <f t="shared" si="6"/>
        <v>111</v>
      </c>
      <c r="R13" s="664" t="s">
        <v>14</v>
      </c>
      <c r="S13" s="665">
        <f t="shared" si="0"/>
        <v>100</v>
      </c>
      <c r="T13" s="664" t="s">
        <v>14</v>
      </c>
      <c r="U13" s="665">
        <f t="shared" si="1"/>
        <v>100</v>
      </c>
      <c r="V13" s="664" t="s">
        <v>14</v>
      </c>
      <c r="W13" s="665">
        <f t="shared" si="2"/>
        <v>100</v>
      </c>
      <c r="X13" s="666"/>
      <c r="Y13" s="3271"/>
      <c r="Z13" s="50">
        <f t="shared" si="7"/>
        <v>111</v>
      </c>
      <c r="AA13" s="50">
        <f>D13/F13</f>
        <v>1</v>
      </c>
      <c r="AB13" s="50">
        <f>D13/H13</f>
        <v>1</v>
      </c>
      <c r="AC13" s="50">
        <f>D13/J13</f>
        <v>1</v>
      </c>
    </row>
    <row r="14" spans="1:29" ht="15.6"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367"/>
      <c r="Q14" s="530">
        <f t="shared" si="6"/>
        <v>111</v>
      </c>
      <c r="R14" s="664" t="s">
        <v>14</v>
      </c>
      <c r="S14" s="665">
        <f t="shared" si="0"/>
        <v>100</v>
      </c>
      <c r="T14" s="664" t="s">
        <v>14</v>
      </c>
      <c r="U14" s="665">
        <f t="shared" si="1"/>
        <v>100</v>
      </c>
      <c r="V14" s="664" t="s">
        <v>14</v>
      </c>
      <c r="W14" s="665">
        <f t="shared" si="2"/>
        <v>100</v>
      </c>
      <c r="X14" s="666"/>
      <c r="Y14" s="3271"/>
      <c r="Z14" s="50">
        <f t="shared" si="7"/>
        <v>111</v>
      </c>
      <c r="AA14" s="50">
        <f>D14/F14</f>
        <v>1</v>
      </c>
      <c r="AB14" s="50">
        <f>D14/H14</f>
        <v>1</v>
      </c>
      <c r="AC14" s="50">
        <f>D14/J14</f>
        <v>1</v>
      </c>
    </row>
    <row r="15" spans="1:29" ht="96.6">
      <c r="A15" s="379" t="s">
        <v>1690</v>
      </c>
      <c r="B15" s="58" t="s">
        <v>1257</v>
      </c>
      <c r="C15" s="1748"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374" t="s">
        <v>1691</v>
      </c>
      <c r="Q15" s="1261" t="str">
        <f t="shared" si="6"/>
        <v>居住社区成熟度</v>
      </c>
      <c r="R15" s="667" t="s">
        <v>14</v>
      </c>
      <c r="S15" s="668">
        <f t="shared" si="0"/>
        <v>100</v>
      </c>
      <c r="T15" s="667" t="s">
        <v>14</v>
      </c>
      <c r="U15" s="668">
        <f t="shared" si="1"/>
        <v>100</v>
      </c>
      <c r="V15" s="667" t="s">
        <v>14</v>
      </c>
      <c r="W15" s="668">
        <f t="shared" si="2"/>
        <v>100</v>
      </c>
      <c r="X15" s="1263"/>
      <c r="Y15" s="3374" t="s">
        <v>1691</v>
      </c>
      <c r="Z15" s="1262" t="str">
        <f t="shared" si="7"/>
        <v>居住社区成熟度</v>
      </c>
      <c r="AA15" s="1262">
        <f t="shared" si="3"/>
        <v>1</v>
      </c>
      <c r="AB15" s="1262">
        <f t="shared" si="4"/>
        <v>1</v>
      </c>
      <c r="AC15" s="1262">
        <f t="shared" si="5"/>
        <v>1</v>
      </c>
    </row>
    <row r="16" spans="1:29" ht="15">
      <c r="A16" s="367"/>
      <c r="B16" s="385"/>
      <c r="C16" s="386"/>
      <c r="D16" s="387"/>
      <c r="E16" s="1750"/>
      <c r="F16" s="387"/>
      <c r="G16" s="1750"/>
      <c r="H16" s="389"/>
      <c r="I16" s="1749"/>
      <c r="J16" s="387"/>
      <c r="K16" s="592"/>
      <c r="L16" s="2488"/>
      <c r="M16" s="2483"/>
      <c r="N16" s="2483"/>
      <c r="O16" s="2538"/>
      <c r="P16" s="3375"/>
      <c r="Q16" s="1261"/>
      <c r="R16" s="667"/>
      <c r="S16" s="668"/>
      <c r="T16" s="667"/>
      <c r="U16" s="668"/>
      <c r="V16" s="667"/>
      <c r="W16" s="668"/>
      <c r="X16" s="1263"/>
      <c r="Y16" s="3375"/>
      <c r="Z16" s="1262"/>
      <c r="AA16" s="1262">
        <v>1</v>
      </c>
      <c r="AB16" s="1262">
        <v>1</v>
      </c>
      <c r="AC16" s="1262">
        <v>1</v>
      </c>
    </row>
    <row r="17" spans="1:29" ht="82.8">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375"/>
      <c r="Q17" s="1261" t="str">
        <f>B17</f>
        <v>商业繁华度</v>
      </c>
      <c r="R17" s="667" t="s">
        <v>14</v>
      </c>
      <c r="S17" s="668">
        <f>F17</f>
        <v>100</v>
      </c>
      <c r="T17" s="667" t="s">
        <v>14</v>
      </c>
      <c r="U17" s="668">
        <f>H17</f>
        <v>100</v>
      </c>
      <c r="V17" s="667" t="s">
        <v>14</v>
      </c>
      <c r="W17" s="668">
        <f>J17</f>
        <v>100</v>
      </c>
      <c r="X17" s="1263"/>
      <c r="Y17" s="3375"/>
      <c r="Z17" s="1262" t="str">
        <f>Q17</f>
        <v>商业繁华度</v>
      </c>
      <c r="AA17" s="1262">
        <f t="shared" si="3"/>
        <v>1</v>
      </c>
      <c r="AB17" s="1262">
        <f t="shared" si="4"/>
        <v>1</v>
      </c>
      <c r="AC17" s="1262">
        <f t="shared" si="5"/>
        <v>1</v>
      </c>
    </row>
    <row r="18" spans="1:29" ht="15">
      <c r="A18" s="367"/>
      <c r="B18" s="395"/>
      <c r="C18" s="1753"/>
      <c r="D18" s="389"/>
      <c r="E18" s="1755"/>
      <c r="F18" s="389"/>
      <c r="G18" s="1755"/>
      <c r="H18" s="387"/>
      <c r="I18" s="1754"/>
      <c r="J18" s="387"/>
      <c r="K18" s="592"/>
      <c r="L18" s="2488"/>
      <c r="M18" s="2483"/>
      <c r="N18" s="2483"/>
      <c r="O18" s="2538"/>
      <c r="P18" s="3375"/>
      <c r="Q18" s="1261"/>
      <c r="R18" s="667"/>
      <c r="S18" s="668"/>
      <c r="T18" s="667"/>
      <c r="U18" s="668"/>
      <c r="V18" s="667"/>
      <c r="W18" s="668"/>
      <c r="X18" s="1263"/>
      <c r="Y18" s="3375"/>
      <c r="Z18" s="1262"/>
      <c r="AA18" s="1262">
        <v>1</v>
      </c>
      <c r="AB18" s="1262">
        <v>1</v>
      </c>
      <c r="AC18" s="1262">
        <v>1</v>
      </c>
    </row>
    <row r="19" spans="1:29" ht="82.8">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375"/>
      <c r="Q19" s="1261" t="str">
        <f>B19</f>
        <v>办公集聚程度</v>
      </c>
      <c r="R19" s="667" t="s">
        <v>14</v>
      </c>
      <c r="S19" s="668">
        <f>F19</f>
        <v>100</v>
      </c>
      <c r="T19" s="667" t="s">
        <v>14</v>
      </c>
      <c r="U19" s="668">
        <f>H19</f>
        <v>100</v>
      </c>
      <c r="V19" s="667" t="s">
        <v>14</v>
      </c>
      <c r="W19" s="668">
        <f>J19</f>
        <v>100</v>
      </c>
      <c r="X19" s="1263"/>
      <c r="Y19" s="3375"/>
      <c r="Z19" s="1262" t="str">
        <f>Q19</f>
        <v>办公集聚程度</v>
      </c>
      <c r="AA19" s="1262">
        <f t="shared" si="3"/>
        <v>1</v>
      </c>
      <c r="AB19" s="1262">
        <f t="shared" si="4"/>
        <v>1</v>
      </c>
      <c r="AC19" s="1262">
        <f t="shared" si="5"/>
        <v>1</v>
      </c>
    </row>
    <row r="20" spans="1:29" ht="15">
      <c r="A20" s="367"/>
      <c r="B20" s="395"/>
      <c r="C20" s="386"/>
      <c r="D20" s="387"/>
      <c r="E20" s="1750"/>
      <c r="F20" s="387"/>
      <c r="G20" s="1750"/>
      <c r="H20" s="387"/>
      <c r="I20" s="1749"/>
      <c r="J20" s="387"/>
      <c r="K20" s="592"/>
      <c r="L20" s="2488"/>
      <c r="M20" s="2483"/>
      <c r="N20" s="2483"/>
      <c r="O20" s="2538"/>
      <c r="P20" s="3375"/>
      <c r="Q20" s="1261"/>
      <c r="R20" s="667"/>
      <c r="S20" s="668"/>
      <c r="T20" s="667"/>
      <c r="U20" s="668"/>
      <c r="V20" s="667"/>
      <c r="W20" s="668"/>
      <c r="X20" s="1263"/>
      <c r="Y20" s="3375"/>
      <c r="Z20" s="1262"/>
      <c r="AA20" s="1262">
        <v>1</v>
      </c>
      <c r="AB20" s="1262">
        <v>1</v>
      </c>
      <c r="AC20" s="1262">
        <v>1</v>
      </c>
    </row>
    <row r="21" spans="1:29" ht="96.6">
      <c r="A21" s="367"/>
      <c r="B21" s="390" t="s">
        <v>1833</v>
      </c>
      <c r="C21" s="1752"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375"/>
      <c r="Q21" s="1261" t="str">
        <f>B21</f>
        <v>交通便捷度</v>
      </c>
      <c r="R21" s="667" t="s">
        <v>14</v>
      </c>
      <c r="S21" s="668">
        <f>F21</f>
        <v>100</v>
      </c>
      <c r="T21" s="667" t="s">
        <v>14</v>
      </c>
      <c r="U21" s="668">
        <f>H21</f>
        <v>100</v>
      </c>
      <c r="V21" s="667" t="s">
        <v>14</v>
      </c>
      <c r="W21" s="668">
        <f>J21</f>
        <v>100</v>
      </c>
      <c r="X21" s="1263"/>
      <c r="Y21" s="3375"/>
      <c r="Z21" s="1262" t="str">
        <f>Q21</f>
        <v>交通便捷度</v>
      </c>
      <c r="AA21" s="1262">
        <f t="shared" si="3"/>
        <v>1</v>
      </c>
      <c r="AB21" s="1262">
        <f t="shared" si="4"/>
        <v>1</v>
      </c>
      <c r="AC21" s="1262">
        <f t="shared" si="5"/>
        <v>1</v>
      </c>
    </row>
    <row r="22" spans="1:29" ht="15">
      <c r="A22" s="367"/>
      <c r="B22" s="586"/>
      <c r="C22" s="386"/>
      <c r="D22" s="389"/>
      <c r="E22" s="1750"/>
      <c r="F22" s="387"/>
      <c r="G22" s="1750"/>
      <c r="H22" s="387"/>
      <c r="I22" s="1749"/>
      <c r="J22" s="387"/>
      <c r="K22" s="592"/>
      <c r="L22" s="2488"/>
      <c r="M22" s="2483"/>
      <c r="N22" s="2483"/>
      <c r="O22" s="2538"/>
      <c r="P22" s="3375"/>
      <c r="Q22" s="1261"/>
      <c r="R22" s="667"/>
      <c r="S22" s="668"/>
      <c r="T22" s="667"/>
      <c r="U22" s="668"/>
      <c r="V22" s="667"/>
      <c r="W22" s="668"/>
      <c r="X22" s="1263"/>
      <c r="Y22" s="3375"/>
      <c r="Z22" s="1262"/>
      <c r="AA22" s="1262">
        <v>1</v>
      </c>
      <c r="AB22" s="1262">
        <v>1</v>
      </c>
      <c r="AC22" s="1262">
        <v>1</v>
      </c>
    </row>
    <row r="23" spans="1:29" ht="28.8">
      <c r="A23" s="348"/>
      <c r="B23" s="390" t="s">
        <v>1871</v>
      </c>
      <c r="C23" s="1067">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375"/>
      <c r="Q23" s="1261" t="str">
        <f t="shared" ref="Q23:Q37" si="8">B23</f>
        <v>区域土地利用方向</v>
      </c>
      <c r="R23" s="667" t="s">
        <v>14</v>
      </c>
      <c r="S23" s="668">
        <f>F23</f>
        <v>100</v>
      </c>
      <c r="T23" s="667" t="s">
        <v>14</v>
      </c>
      <c r="U23" s="668">
        <f>H23</f>
        <v>100</v>
      </c>
      <c r="V23" s="667" t="s">
        <v>14</v>
      </c>
      <c r="W23" s="668">
        <f>J23</f>
        <v>100</v>
      </c>
      <c r="X23" s="1263"/>
      <c r="Y23" s="3375"/>
      <c r="Z23" s="1262" t="str">
        <f>Q23</f>
        <v>区域土地利用方向</v>
      </c>
      <c r="AA23" s="1262">
        <f t="shared" si="3"/>
        <v>1</v>
      </c>
      <c r="AB23" s="1262">
        <f t="shared" si="4"/>
        <v>1</v>
      </c>
      <c r="AC23" s="1262">
        <f t="shared" si="5"/>
        <v>1</v>
      </c>
    </row>
    <row r="24" spans="1:29" ht="15">
      <c r="A24" s="348"/>
      <c r="B24" s="395"/>
      <c r="C24" s="542"/>
      <c r="D24" s="387"/>
      <c r="E24" s="1750"/>
      <c r="F24" s="387"/>
      <c r="G24" s="1749"/>
      <c r="H24" s="387"/>
      <c r="I24" s="1749"/>
      <c r="J24" s="387"/>
      <c r="K24" s="698"/>
      <c r="L24" s="2488"/>
      <c r="M24" s="2483"/>
      <c r="N24" s="2483"/>
      <c r="O24" s="2538"/>
      <c r="P24" s="3375"/>
      <c r="Q24" s="1261"/>
      <c r="R24" s="667"/>
      <c r="S24" s="668"/>
      <c r="T24" s="667"/>
      <c r="U24" s="668"/>
      <c r="V24" s="667"/>
      <c r="W24" s="668"/>
      <c r="X24" s="1263"/>
      <c r="Y24" s="3375"/>
      <c r="Z24" s="1262"/>
      <c r="AA24" s="1262"/>
      <c r="AB24" s="1262"/>
      <c r="AC24" s="1262"/>
    </row>
    <row r="25" spans="1:29" ht="55.2">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375"/>
      <c r="Q25" s="1261" t="str">
        <f t="shared" si="8"/>
        <v>自然及人文环境状况</v>
      </c>
      <c r="R25" s="667" t="s">
        <v>14</v>
      </c>
      <c r="S25" s="668">
        <f>F25</f>
        <v>100</v>
      </c>
      <c r="T25" s="667" t="s">
        <v>14</v>
      </c>
      <c r="U25" s="668">
        <f>H25</f>
        <v>100</v>
      </c>
      <c r="V25" s="667" t="s">
        <v>14</v>
      </c>
      <c r="W25" s="668">
        <f>J25</f>
        <v>100</v>
      </c>
      <c r="X25" s="1263"/>
      <c r="Y25" s="3375"/>
      <c r="Z25" s="1262" t="str">
        <f>Q25</f>
        <v>自然及人文环境状况</v>
      </c>
      <c r="AA25" s="1262">
        <f t="shared" si="3"/>
        <v>1</v>
      </c>
      <c r="AB25" s="1262">
        <f t="shared" si="4"/>
        <v>1</v>
      </c>
      <c r="AC25" s="1262">
        <f t="shared" si="5"/>
        <v>1</v>
      </c>
    </row>
    <row r="26" spans="1:29" ht="15">
      <c r="A26" s="348"/>
      <c r="B26" s="395"/>
      <c r="C26" s="386"/>
      <c r="D26" s="387"/>
      <c r="E26" s="1756"/>
      <c r="F26" s="387"/>
      <c r="G26" s="1756"/>
      <c r="H26" s="387"/>
      <c r="I26" s="386"/>
      <c r="J26" s="387"/>
      <c r="K26" s="592"/>
      <c r="L26" s="2488"/>
      <c r="M26" s="2483"/>
      <c r="N26" s="2483"/>
      <c r="O26" s="2538"/>
      <c r="P26" s="3375"/>
      <c r="Q26" s="1261"/>
      <c r="R26" s="667"/>
      <c r="S26" s="668"/>
      <c r="T26" s="667"/>
      <c r="U26" s="668"/>
      <c r="V26" s="667"/>
      <c r="W26" s="668"/>
      <c r="X26" s="1263"/>
      <c r="Y26" s="3375"/>
      <c r="Z26" s="1262"/>
      <c r="AA26" s="1262">
        <v>1</v>
      </c>
      <c r="AB26" s="1262">
        <v>1</v>
      </c>
      <c r="AC26" s="1262">
        <v>1</v>
      </c>
    </row>
    <row r="27" spans="1:29" s="102" customFormat="1" ht="41.4">
      <c r="A27" s="443"/>
      <c r="B27" s="586" t="s">
        <v>1778</v>
      </c>
      <c r="C27" s="1752"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6"/>
      <c r="N27" s="2436"/>
      <c r="O27" s="2536"/>
      <c r="P27" s="3375"/>
      <c r="Q27" s="530" t="str">
        <f t="shared" si="8"/>
        <v>公共配套设施</v>
      </c>
      <c r="R27" s="664" t="s">
        <v>14</v>
      </c>
      <c r="S27" s="665">
        <f>F27</f>
        <v>100</v>
      </c>
      <c r="T27" s="664" t="s">
        <v>14</v>
      </c>
      <c r="U27" s="665">
        <f>H27</f>
        <v>100</v>
      </c>
      <c r="V27" s="664" t="s">
        <v>14</v>
      </c>
      <c r="W27" s="665">
        <f>J27</f>
        <v>100</v>
      </c>
      <c r="X27" s="666"/>
      <c r="Y27" s="3375"/>
      <c r="Z27" s="50" t="str">
        <f>Q27</f>
        <v>公共配套设施</v>
      </c>
      <c r="AA27" s="1262">
        <f>D27/F27</f>
        <v>1</v>
      </c>
      <c r="AB27" s="1262">
        <f>D27/H27</f>
        <v>1</v>
      </c>
      <c r="AC27" s="1262">
        <f>D27/J27</f>
        <v>1</v>
      </c>
    </row>
    <row r="28" spans="1:29" s="102" customFormat="1" ht="15">
      <c r="A28" s="443"/>
      <c r="B28" s="395"/>
      <c r="C28" s="1824"/>
      <c r="D28" s="387"/>
      <c r="E28" s="1756"/>
      <c r="F28" s="387"/>
      <c r="G28" s="1756"/>
      <c r="H28" s="387"/>
      <c r="I28" s="386"/>
      <c r="J28" s="387"/>
      <c r="K28" s="592"/>
      <c r="L28" s="2484"/>
      <c r="M28" s="2436"/>
      <c r="N28" s="2436"/>
      <c r="O28" s="2536"/>
      <c r="P28" s="3375"/>
      <c r="Q28" s="530"/>
      <c r="R28" s="664"/>
      <c r="S28" s="665"/>
      <c r="T28" s="664"/>
      <c r="U28" s="665"/>
      <c r="V28" s="664"/>
      <c r="W28" s="665"/>
      <c r="X28" s="666"/>
      <c r="Y28" s="3375"/>
      <c r="Z28" s="50"/>
      <c r="AA28" s="1262">
        <v>1</v>
      </c>
      <c r="AB28" s="1262">
        <v>1</v>
      </c>
      <c r="AC28" s="1262">
        <v>1</v>
      </c>
    </row>
    <row r="29" spans="1:29" s="102" customFormat="1" ht="41.4">
      <c r="A29" s="443"/>
      <c r="B29" s="586" t="s">
        <v>1779</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6"/>
      <c r="N29" s="2436"/>
      <c r="O29" s="2536"/>
      <c r="P29" s="3375"/>
      <c r="Q29" s="530" t="str">
        <f t="shared" ref="Q29" si="9">B29</f>
        <v>基础设施水平</v>
      </c>
      <c r="R29" s="664" t="s">
        <v>14</v>
      </c>
      <c r="S29" s="665">
        <f>F29</f>
        <v>100</v>
      </c>
      <c r="T29" s="664" t="s">
        <v>14</v>
      </c>
      <c r="U29" s="665">
        <f>H29</f>
        <v>100</v>
      </c>
      <c r="V29" s="664" t="s">
        <v>14</v>
      </c>
      <c r="W29" s="665">
        <f>J29</f>
        <v>100</v>
      </c>
      <c r="X29" s="666"/>
      <c r="Y29" s="3375"/>
      <c r="Z29" s="50" t="str">
        <f>Q29</f>
        <v>基础设施水平</v>
      </c>
      <c r="AA29" s="1262">
        <f>D29/F29</f>
        <v>1</v>
      </c>
      <c r="AB29" s="1262">
        <f>D29/H29</f>
        <v>1</v>
      </c>
      <c r="AC29" s="1262">
        <f>D29/J29</f>
        <v>1</v>
      </c>
    </row>
    <row r="30" spans="1:29" s="102" customFormat="1" ht="15">
      <c r="A30" s="443"/>
      <c r="B30" s="395"/>
      <c r="C30" s="1824"/>
      <c r="D30" s="387"/>
      <c r="E30" s="1825"/>
      <c r="F30" s="387"/>
      <c r="G30" s="1825"/>
      <c r="H30" s="387"/>
      <c r="I30" s="1825"/>
      <c r="J30" s="387"/>
      <c r="K30" s="592"/>
      <c r="L30" s="2484"/>
      <c r="M30" s="2436"/>
      <c r="N30" s="2436"/>
      <c r="O30" s="2536"/>
      <c r="P30" s="3375"/>
      <c r="Q30" s="530"/>
      <c r="R30" s="664"/>
      <c r="S30" s="665"/>
      <c r="T30" s="664"/>
      <c r="U30" s="665"/>
      <c r="V30" s="664"/>
      <c r="W30" s="665"/>
      <c r="X30" s="666"/>
      <c r="Y30" s="3375"/>
      <c r="Z30" s="50"/>
      <c r="AA30" s="1262">
        <v>1</v>
      </c>
      <c r="AB30" s="1262">
        <v>1</v>
      </c>
      <c r="AC30" s="1262">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375"/>
      <c r="Q31" s="1261" t="str">
        <f t="shared" si="8"/>
        <v>临街状况</v>
      </c>
      <c r="R31" s="667" t="s">
        <v>14</v>
      </c>
      <c r="S31" s="668">
        <f t="shared" ref="S31:S45" si="10">F31</f>
        <v>100</v>
      </c>
      <c r="T31" s="667" t="s">
        <v>14</v>
      </c>
      <c r="U31" s="668">
        <f t="shared" ref="U31:U45" si="11">H31</f>
        <v>100</v>
      </c>
      <c r="V31" s="667" t="s">
        <v>14</v>
      </c>
      <c r="W31" s="668">
        <f t="shared" ref="W31:W45" si="12">J31</f>
        <v>100</v>
      </c>
      <c r="X31" s="1263"/>
      <c r="Y31" s="3375"/>
      <c r="Z31" s="1262" t="str">
        <f t="shared" ref="Z31:Z45" si="13">Q31</f>
        <v>临街状况</v>
      </c>
      <c r="AA31" s="1262">
        <f t="shared" si="3"/>
        <v>1</v>
      </c>
      <c r="AB31" s="1262">
        <f t="shared" si="4"/>
        <v>1</v>
      </c>
      <c r="AC31" s="1262">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375"/>
      <c r="Q32" s="1261" t="str">
        <f t="shared" si="8"/>
        <v>毗邻道路的类型与等级</v>
      </c>
      <c r="R32" s="667" t="s">
        <v>14</v>
      </c>
      <c r="S32" s="668">
        <f t="shared" si="10"/>
        <v>100</v>
      </c>
      <c r="T32" s="667" t="s">
        <v>14</v>
      </c>
      <c r="U32" s="668">
        <f t="shared" si="11"/>
        <v>100</v>
      </c>
      <c r="V32" s="667" t="s">
        <v>14</v>
      </c>
      <c r="W32" s="668">
        <f t="shared" si="12"/>
        <v>100</v>
      </c>
      <c r="X32" s="1263"/>
      <c r="Y32" s="3375"/>
      <c r="Z32" s="1262" t="str">
        <f t="shared" si="13"/>
        <v>毗邻道路的类型与等级</v>
      </c>
      <c r="AA32" s="1262">
        <f t="shared" si="3"/>
        <v>1</v>
      </c>
      <c r="AB32" s="1262">
        <f t="shared" si="4"/>
        <v>1</v>
      </c>
      <c r="AC32" s="1262">
        <f t="shared" si="5"/>
        <v>1</v>
      </c>
    </row>
    <row r="33" spans="1:29" ht="15">
      <c r="A33" s="367"/>
      <c r="B33" s="395"/>
      <c r="C33" s="386"/>
      <c r="D33" s="387"/>
      <c r="E33" s="1756"/>
      <c r="F33" s="387"/>
      <c r="G33" s="1756"/>
      <c r="H33" s="387"/>
      <c r="I33" s="386"/>
      <c r="J33" s="387"/>
      <c r="K33" s="539"/>
      <c r="L33" s="2488"/>
      <c r="M33" s="2483"/>
      <c r="N33" s="2483"/>
      <c r="O33" s="2538"/>
      <c r="P33" s="3375"/>
      <c r="Q33" s="1261"/>
      <c r="R33" s="667"/>
      <c r="S33" s="668"/>
      <c r="T33" s="667"/>
      <c r="U33" s="668"/>
      <c r="V33" s="667"/>
      <c r="W33" s="668"/>
      <c r="X33" s="1263"/>
      <c r="Y33" s="3375"/>
      <c r="Z33" s="1262"/>
      <c r="AA33" s="1262">
        <v>1</v>
      </c>
      <c r="AB33" s="1262">
        <v>1</v>
      </c>
      <c r="AC33" s="1262">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375"/>
      <c r="Q34" s="1261" t="str">
        <f t="shared" si="8"/>
        <v>土地级别</v>
      </c>
      <c r="R34" s="667" t="s">
        <v>14</v>
      </c>
      <c r="S34" s="668">
        <f t="shared" si="10"/>
        <v>100</v>
      </c>
      <c r="T34" s="667" t="s">
        <v>14</v>
      </c>
      <c r="U34" s="668">
        <f t="shared" si="11"/>
        <v>100</v>
      </c>
      <c r="V34" s="667" t="s">
        <v>14</v>
      </c>
      <c r="W34" s="668">
        <f t="shared" si="12"/>
        <v>100</v>
      </c>
      <c r="X34" s="1263"/>
      <c r="Y34" s="3375"/>
      <c r="Z34" s="1262" t="str">
        <f t="shared" si="13"/>
        <v>土地级别</v>
      </c>
      <c r="AA34" s="1262">
        <f t="shared" si="3"/>
        <v>1</v>
      </c>
      <c r="AB34" s="1262">
        <f t="shared" si="4"/>
        <v>1</v>
      </c>
      <c r="AC34" s="1262">
        <f t="shared" si="5"/>
        <v>1</v>
      </c>
    </row>
    <row r="35" spans="1:29" ht="15">
      <c r="A35" s="348"/>
      <c r="B35" s="1064">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375"/>
      <c r="Q35" s="1261">
        <f t="shared" si="8"/>
        <v>111</v>
      </c>
      <c r="R35" s="667" t="s">
        <v>14</v>
      </c>
      <c r="S35" s="668">
        <f t="shared" si="10"/>
        <v>100</v>
      </c>
      <c r="T35" s="667" t="s">
        <v>14</v>
      </c>
      <c r="U35" s="668">
        <f t="shared" si="11"/>
        <v>100</v>
      </c>
      <c r="V35" s="667" t="s">
        <v>14</v>
      </c>
      <c r="W35" s="668">
        <f t="shared" si="12"/>
        <v>100</v>
      </c>
      <c r="X35" s="1263"/>
      <c r="Y35" s="3375"/>
      <c r="Z35" s="1262">
        <f t="shared" si="13"/>
        <v>111</v>
      </c>
      <c r="AA35" s="1262">
        <f t="shared" si="3"/>
        <v>1</v>
      </c>
      <c r="AB35" s="1262">
        <f t="shared" si="4"/>
        <v>1</v>
      </c>
      <c r="AC35" s="1262">
        <f t="shared" si="5"/>
        <v>1</v>
      </c>
    </row>
    <row r="36" spans="1:29" ht="15">
      <c r="A36" s="595"/>
      <c r="B36" s="1065">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461" t="s">
        <v>1696</v>
      </c>
      <c r="Q36" s="1261">
        <f t="shared" si="8"/>
        <v>111</v>
      </c>
      <c r="R36" s="667" t="s">
        <v>14</v>
      </c>
      <c r="S36" s="668">
        <f t="shared" si="10"/>
        <v>100</v>
      </c>
      <c r="T36" s="667" t="s">
        <v>14</v>
      </c>
      <c r="U36" s="668">
        <f t="shared" si="11"/>
        <v>100</v>
      </c>
      <c r="V36" s="667" t="s">
        <v>14</v>
      </c>
      <c r="W36" s="668">
        <f t="shared" si="12"/>
        <v>100</v>
      </c>
      <c r="X36" s="1263"/>
      <c r="Y36" s="3379" t="s">
        <v>1696</v>
      </c>
      <c r="Z36" s="1262">
        <f t="shared" si="13"/>
        <v>111</v>
      </c>
      <c r="AA36" s="1262">
        <f t="shared" si="3"/>
        <v>1</v>
      </c>
      <c r="AB36" s="1262">
        <f t="shared" si="4"/>
        <v>1</v>
      </c>
      <c r="AC36" s="1262">
        <f t="shared" si="5"/>
        <v>1</v>
      </c>
    </row>
    <row r="37" spans="1:29" s="408" customFormat="1" ht="15.6" thickBot="1">
      <c r="A37" s="596"/>
      <c r="B37" s="1066">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379"/>
      <c r="Q37" s="1261">
        <f t="shared" si="8"/>
        <v>111</v>
      </c>
      <c r="R37" s="669" t="s">
        <v>14</v>
      </c>
      <c r="S37" s="670">
        <f t="shared" si="10"/>
        <v>100</v>
      </c>
      <c r="T37" s="669" t="s">
        <v>14</v>
      </c>
      <c r="U37" s="670">
        <f t="shared" si="11"/>
        <v>100</v>
      </c>
      <c r="V37" s="669" t="s">
        <v>14</v>
      </c>
      <c r="W37" s="670">
        <f t="shared" si="12"/>
        <v>100</v>
      </c>
      <c r="X37" s="671"/>
      <c r="Y37" s="3379"/>
      <c r="Z37" s="672">
        <f t="shared" si="13"/>
        <v>111</v>
      </c>
      <c r="AA37" s="1262">
        <f t="shared" si="3"/>
        <v>1</v>
      </c>
      <c r="AB37" s="1262">
        <f t="shared" si="4"/>
        <v>1</v>
      </c>
      <c r="AC37" s="1262">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379"/>
      <c r="Q38" s="1261" t="str">
        <f>B38</f>
        <v>宗地面积</v>
      </c>
      <c r="R38" s="667" t="s">
        <v>14</v>
      </c>
      <c r="S38" s="668" t="e">
        <f t="shared" si="10"/>
        <v>#N/A</v>
      </c>
      <c r="T38" s="667" t="s">
        <v>14</v>
      </c>
      <c r="U38" s="668" t="e">
        <f t="shared" si="11"/>
        <v>#N/A</v>
      </c>
      <c r="V38" s="667" t="s">
        <v>14</v>
      </c>
      <c r="W38" s="668" t="e">
        <f t="shared" si="12"/>
        <v>#N/A</v>
      </c>
      <c r="X38" s="1263"/>
      <c r="Y38" s="3379"/>
      <c r="Z38" s="1262" t="str">
        <f t="shared" si="13"/>
        <v>宗地面积</v>
      </c>
      <c r="AA38" s="1262" t="e">
        <f t="shared" si="3"/>
        <v>#N/A</v>
      </c>
      <c r="AB38" s="1262" t="e">
        <f t="shared" si="4"/>
        <v>#N/A</v>
      </c>
      <c r="AC38" s="1262" t="e">
        <f t="shared" si="5"/>
        <v>#N/A</v>
      </c>
    </row>
    <row r="39" spans="1:29" ht="15">
      <c r="A39" s="409"/>
      <c r="B39" s="364" t="s">
        <v>1875</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88"/>
      <c r="M39" s="2483"/>
      <c r="N39" s="2483"/>
      <c r="O39" s="2538"/>
      <c r="P39" s="3379"/>
      <c r="Q39" s="1261" t="str">
        <f t="shared" ref="Q39:Q45" si="14">B39</f>
        <v>宗地形状</v>
      </c>
      <c r="R39" s="667" t="s">
        <v>14</v>
      </c>
      <c r="S39" s="668">
        <f t="shared" si="10"/>
        <v>100</v>
      </c>
      <c r="T39" s="667" t="s">
        <v>14</v>
      </c>
      <c r="U39" s="668">
        <f t="shared" si="11"/>
        <v>100</v>
      </c>
      <c r="V39" s="667" t="s">
        <v>14</v>
      </c>
      <c r="W39" s="668">
        <f t="shared" si="12"/>
        <v>100</v>
      </c>
      <c r="X39" s="1263"/>
      <c r="Y39" s="3379"/>
      <c r="Z39" s="1262" t="str">
        <f t="shared" si="13"/>
        <v>宗地形状</v>
      </c>
      <c r="AA39" s="1262">
        <f t="shared" si="3"/>
        <v>1</v>
      </c>
      <c r="AB39" s="1262">
        <f t="shared" si="4"/>
        <v>1</v>
      </c>
      <c r="AC39" s="1262">
        <f t="shared" si="5"/>
        <v>1</v>
      </c>
    </row>
    <row r="40" spans="1:29" ht="15">
      <c r="A40" s="409"/>
      <c r="B40" s="364" t="s">
        <v>1876</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88"/>
      <c r="M40" s="2483"/>
      <c r="N40" s="2483"/>
      <c r="O40" s="2538"/>
      <c r="P40" s="3379"/>
      <c r="Q40" s="1261" t="str">
        <f t="shared" si="14"/>
        <v>临街宽度及深度</v>
      </c>
      <c r="R40" s="667" t="s">
        <v>14</v>
      </c>
      <c r="S40" s="668">
        <f t="shared" si="10"/>
        <v>100</v>
      </c>
      <c r="T40" s="667" t="s">
        <v>14</v>
      </c>
      <c r="U40" s="668">
        <f t="shared" si="11"/>
        <v>100</v>
      </c>
      <c r="V40" s="667" t="s">
        <v>14</v>
      </c>
      <c r="W40" s="668">
        <f t="shared" si="12"/>
        <v>100</v>
      </c>
      <c r="X40" s="1263"/>
      <c r="Y40" s="3379"/>
      <c r="Z40" s="1262" t="str">
        <f t="shared" si="13"/>
        <v>临街宽度及深度</v>
      </c>
      <c r="AA40" s="1262">
        <f t="shared" si="3"/>
        <v>1</v>
      </c>
      <c r="AB40" s="1262">
        <f t="shared" si="4"/>
        <v>1</v>
      </c>
      <c r="AC40" s="1262">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4"/>
      <c r="M41" s="2436"/>
      <c r="N41" s="2436"/>
      <c r="O41" s="2536"/>
      <c r="P41" s="3379"/>
      <c r="Q41" s="1261" t="str">
        <f t="shared" si="14"/>
        <v>宗地开发程度</v>
      </c>
      <c r="R41" s="664" t="s">
        <v>14</v>
      </c>
      <c r="S41" s="665">
        <f t="shared" si="10"/>
        <v>100</v>
      </c>
      <c r="T41" s="664" t="s">
        <v>14</v>
      </c>
      <c r="U41" s="665">
        <f t="shared" si="11"/>
        <v>100</v>
      </c>
      <c r="V41" s="664" t="s">
        <v>14</v>
      </c>
      <c r="W41" s="665">
        <f t="shared" si="12"/>
        <v>100</v>
      </c>
      <c r="X41" s="666"/>
      <c r="Y41" s="3379"/>
      <c r="Z41" s="50" t="str">
        <f t="shared" si="13"/>
        <v>宗地开发程度</v>
      </c>
      <c r="AA41" s="50">
        <f t="shared" si="3"/>
        <v>1</v>
      </c>
      <c r="AB41" s="50">
        <f t="shared" si="4"/>
        <v>1</v>
      </c>
      <c r="AC41" s="50">
        <f t="shared" si="5"/>
        <v>1</v>
      </c>
    </row>
    <row r="42" spans="1:29" ht="15">
      <c r="A42" s="409"/>
      <c r="B42" s="364" t="s">
        <v>1878</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88"/>
      <c r="M42" s="2483"/>
      <c r="N42" s="2483"/>
      <c r="O42" s="2538"/>
      <c r="P42" s="3379" t="s">
        <v>1696</v>
      </c>
      <c r="Q42" s="1261" t="str">
        <f t="shared" si="14"/>
        <v>工程地质条件</v>
      </c>
      <c r="R42" s="667" t="s">
        <v>14</v>
      </c>
      <c r="S42" s="668">
        <f t="shared" si="10"/>
        <v>100</v>
      </c>
      <c r="T42" s="667" t="s">
        <v>14</v>
      </c>
      <c r="U42" s="668">
        <f t="shared" si="11"/>
        <v>100</v>
      </c>
      <c r="V42" s="667" t="s">
        <v>14</v>
      </c>
      <c r="W42" s="668">
        <f t="shared" si="12"/>
        <v>100</v>
      </c>
      <c r="X42" s="1263"/>
      <c r="Y42" s="3379" t="s">
        <v>1696</v>
      </c>
      <c r="Z42" s="1262" t="str">
        <f t="shared" si="13"/>
        <v>工程地质条件</v>
      </c>
      <c r="AA42" s="1262">
        <f t="shared" si="3"/>
        <v>1</v>
      </c>
      <c r="AB42" s="1262">
        <f t="shared" si="4"/>
        <v>1</v>
      </c>
      <c r="AC42" s="1262">
        <f t="shared" si="5"/>
        <v>1</v>
      </c>
    </row>
    <row r="43" spans="1:29" ht="15">
      <c r="A43" s="409"/>
      <c r="B43" s="1065">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379"/>
      <c r="Q43" s="1261">
        <f t="shared" si="14"/>
        <v>111</v>
      </c>
      <c r="R43" s="667" t="s">
        <v>14</v>
      </c>
      <c r="S43" s="668">
        <f t="shared" si="10"/>
        <v>100</v>
      </c>
      <c r="T43" s="667" t="s">
        <v>14</v>
      </c>
      <c r="U43" s="668">
        <f t="shared" si="11"/>
        <v>100</v>
      </c>
      <c r="V43" s="667" t="s">
        <v>14</v>
      </c>
      <c r="W43" s="668">
        <f t="shared" si="12"/>
        <v>100</v>
      </c>
      <c r="X43" s="1263"/>
      <c r="Y43" s="3379"/>
      <c r="Z43" s="1262">
        <f t="shared" si="13"/>
        <v>111</v>
      </c>
      <c r="AA43" s="1262">
        <f t="shared" si="3"/>
        <v>1</v>
      </c>
      <c r="AB43" s="1262">
        <f t="shared" si="4"/>
        <v>1</v>
      </c>
      <c r="AC43" s="1262">
        <f t="shared" si="5"/>
        <v>1</v>
      </c>
    </row>
    <row r="44" spans="1:29" ht="15">
      <c r="A44" s="409"/>
      <c r="B44" s="1065">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379"/>
      <c r="Q44" s="1261">
        <f t="shared" si="14"/>
        <v>111</v>
      </c>
      <c r="R44" s="667" t="s">
        <v>14</v>
      </c>
      <c r="S44" s="668">
        <f t="shared" si="10"/>
        <v>100</v>
      </c>
      <c r="T44" s="667" t="s">
        <v>14</v>
      </c>
      <c r="U44" s="668">
        <f t="shared" si="11"/>
        <v>100</v>
      </c>
      <c r="V44" s="667" t="s">
        <v>14</v>
      </c>
      <c r="W44" s="668">
        <f t="shared" si="12"/>
        <v>100</v>
      </c>
      <c r="X44" s="1263"/>
      <c r="Y44" s="3379"/>
      <c r="Z44" s="1262">
        <f t="shared" si="13"/>
        <v>111</v>
      </c>
      <c r="AA44" s="1262">
        <f t="shared" si="3"/>
        <v>1</v>
      </c>
      <c r="AB44" s="1262">
        <f t="shared" si="4"/>
        <v>1</v>
      </c>
      <c r="AC44" s="1262">
        <f t="shared" si="5"/>
        <v>1</v>
      </c>
    </row>
    <row r="45" spans="1:29" s="408" customFormat="1" ht="15.6" thickBot="1">
      <c r="A45" s="406"/>
      <c r="B45" s="1065">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379"/>
      <c r="Q45" s="1261">
        <f t="shared" si="14"/>
        <v>111</v>
      </c>
      <c r="R45" s="669" t="s">
        <v>14</v>
      </c>
      <c r="S45" s="670">
        <f t="shared" si="10"/>
        <v>100</v>
      </c>
      <c r="T45" s="669" t="s">
        <v>14</v>
      </c>
      <c r="U45" s="670">
        <f t="shared" si="11"/>
        <v>100</v>
      </c>
      <c r="V45" s="669" t="s">
        <v>14</v>
      </c>
      <c r="W45" s="670">
        <f t="shared" si="12"/>
        <v>100</v>
      </c>
      <c r="X45" s="671"/>
      <c r="Y45" s="3379"/>
      <c r="Z45" s="672">
        <f t="shared" si="13"/>
        <v>111</v>
      </c>
      <c r="AA45" s="1262">
        <f t="shared" si="3"/>
        <v>1</v>
      </c>
      <c r="AB45" s="1262">
        <f t="shared" si="4"/>
        <v>1</v>
      </c>
      <c r="AC45" s="1262">
        <f t="shared" si="5"/>
        <v>1</v>
      </c>
    </row>
    <row r="46" spans="1:29" ht="14.4">
      <c r="A46" s="416" t="s">
        <v>1844</v>
      </c>
      <c r="B46" s="1828" t="s">
        <v>1879</v>
      </c>
      <c r="C46" s="602" t="s">
        <v>0</v>
      </c>
      <c r="D46" s="418"/>
      <c r="E46" s="419"/>
      <c r="F46" s="420"/>
      <c r="G46" s="421"/>
      <c r="H46" s="422"/>
      <c r="I46" s="419"/>
      <c r="J46" s="422"/>
      <c r="K46" s="674"/>
      <c r="L46" s="2490"/>
      <c r="M46" s="2483"/>
      <c r="N46" s="2483"/>
      <c r="O46" s="2483"/>
      <c r="P46" s="3367" t="str">
        <f>A46</f>
        <v>成交单价</v>
      </c>
      <c r="Q46" s="3367"/>
      <c r="R46" s="3368">
        <f>E46</f>
        <v>0</v>
      </c>
      <c r="S46" s="3368"/>
      <c r="T46" s="3368">
        <f>G46</f>
        <v>0</v>
      </c>
      <c r="U46" s="3368"/>
      <c r="V46" s="3368">
        <f>I46</f>
        <v>0</v>
      </c>
      <c r="W46" s="3368"/>
      <c r="X46" s="385"/>
      <c r="Y46" s="673"/>
      <c r="Z46" s="385"/>
      <c r="AA46" s="385"/>
      <c r="AB46" s="385"/>
      <c r="AC46" s="385"/>
    </row>
    <row r="47" spans="1:29" ht="15" thickBot="1">
      <c r="A47" s="423" t="s">
        <v>1793</v>
      </c>
      <c r="B47" s="603"/>
      <c r="C47" s="426" t="e">
        <f>R48</f>
        <v>#DIV/0!</v>
      </c>
      <c r="D47" s="2138" t="s">
        <v>2133</v>
      </c>
      <c r="E47" s="426" t="e">
        <f>R47</f>
        <v>#DIV/0!</v>
      </c>
      <c r="F47" s="2139"/>
      <c r="G47" s="425" t="e">
        <f>T47</f>
        <v>#DIV/0!</v>
      </c>
      <c r="H47" s="2139"/>
      <c r="I47" s="426" t="e">
        <f>V47</f>
        <v>#DIV/0!</v>
      </c>
      <c r="J47" s="2139"/>
      <c r="K47" s="2141">
        <f>F47+H47+J47</f>
        <v>0</v>
      </c>
      <c r="L47" s="2490"/>
      <c r="M47" s="2483"/>
      <c r="N47" s="2483"/>
      <c r="O47" s="2483"/>
      <c r="P47" s="3367" t="str">
        <f>A47</f>
        <v>比较价值（元/平方米）</v>
      </c>
      <c r="Q47" s="3367"/>
      <c r="R47" s="3463" t="e">
        <f>ROUND(PRODUCT(R46,AA7:AA45),0)</f>
        <v>#DIV/0!</v>
      </c>
      <c r="S47" s="3463"/>
      <c r="T47" s="3463" t="e">
        <f>ROUND(PRODUCT(T46,AB7:AB45),0)</f>
        <v>#DIV/0!</v>
      </c>
      <c r="U47" s="3463"/>
      <c r="V47" s="3463" t="e">
        <f>ROUND(PRODUCT(V46,AC7:AC45),0)</f>
        <v>#DIV/0!</v>
      </c>
      <c r="W47" s="3463"/>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0"/>
      <c r="M48" s="2483"/>
      <c r="N48" s="2483"/>
      <c r="O48" s="2483"/>
      <c r="P48" s="3369" t="str">
        <f>A48</f>
        <v>估价对象XX用房的比较价值（楼面单价，元/平方米）</v>
      </c>
      <c r="Q48" s="3370"/>
      <c r="R48" s="3464" t="e">
        <f>ROUND(IF(D47="简单平均",AVERAGE(R47:W47),R47*F47+T47*H47+V47*J47),0)</f>
        <v>#DIV/0!</v>
      </c>
      <c r="S48" s="3464"/>
      <c r="T48" s="3464"/>
      <c r="U48" s="3464"/>
      <c r="V48" s="3464"/>
      <c r="W48" s="3464"/>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4.4" thickBot="1">
      <c r="A54" s="2493"/>
      <c r="B54" s="2496"/>
      <c r="C54" s="657"/>
      <c r="D54" s="655"/>
      <c r="E54" s="655"/>
      <c r="F54" s="655"/>
      <c r="G54" s="655"/>
      <c r="H54" s="655"/>
      <c r="I54" s="655"/>
      <c r="J54" s="655"/>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1881</v>
      </c>
      <c r="B55" s="605" t="s">
        <v>1882</v>
      </c>
      <c r="C55" s="1829" t="s">
        <v>1883</v>
      </c>
      <c r="D55" s="1830" t="s">
        <v>1884</v>
      </c>
      <c r="E55" s="606" t="s">
        <v>1885</v>
      </c>
      <c r="F55" s="837" t="s">
        <v>1886</v>
      </c>
      <c r="G55" s="3385" t="s">
        <v>1887</v>
      </c>
      <c r="H55" s="3465"/>
      <c r="I55" s="127" t="s">
        <v>1888</v>
      </c>
      <c r="J55" s="1831">
        <f>项目基本情况!F35</f>
        <v>0</v>
      </c>
      <c r="K55" s="1832" t="s">
        <v>1889</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1890</v>
      </c>
      <c r="B56" s="609" t="e">
        <f>C48</f>
        <v>#DIV/0!</v>
      </c>
      <c r="C56" s="610">
        <v>1</v>
      </c>
      <c r="D56" s="888">
        <v>1</v>
      </c>
      <c r="E56" s="610">
        <f>'数据-汇总表'!E8+'数据-汇总表'!E9</f>
        <v>245.74</v>
      </c>
      <c r="F56" s="833" t="e">
        <f t="shared" ref="F56:F64" si="15">ROUND(B56*E56/10000,0)</f>
        <v>#DIV/0!</v>
      </c>
      <c r="G56" s="3381"/>
      <c r="H56" s="3367"/>
      <c r="I56" s="838">
        <v>1</v>
      </c>
      <c r="J56" s="841">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1891</v>
      </c>
      <c r="B57" s="210" t="e">
        <f>ROUND($C$48*C57*D57,0)</f>
        <v>#DIV/0!</v>
      </c>
      <c r="C57" s="163">
        <f t="shared" ref="C57:C64" si="16">IF($C$55="北京市系数",I57,J57)</f>
        <v>0.6</v>
      </c>
      <c r="D57" s="889">
        <v>0.25</v>
      </c>
      <c r="E57" s="614"/>
      <c r="F57" s="833" t="e">
        <f t="shared" si="15"/>
        <v>#DIV/0!</v>
      </c>
      <c r="G57" s="2746" t="s">
        <v>1892</v>
      </c>
      <c r="H57" s="834" t="str">
        <f>项目基本情况!B37</f>
        <v>六级</v>
      </c>
      <c r="I57" s="838">
        <f>SUMIF(修正!A57:A68,H57,修正!B57:B68)</f>
        <v>0.6</v>
      </c>
      <c r="J57" s="842"/>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1893</v>
      </c>
      <c r="B58" s="210" t="e">
        <f t="shared" ref="B58:B64" si="17">ROUND($C$48*C58*D58,0)</f>
        <v>#DIV/0!</v>
      </c>
      <c r="C58" s="163">
        <f t="shared" si="16"/>
        <v>0.3</v>
      </c>
      <c r="D58" s="889">
        <v>0.25</v>
      </c>
      <c r="E58" s="614"/>
      <c r="F58" s="833" t="e">
        <f t="shared" si="15"/>
        <v>#DIV/0!</v>
      </c>
      <c r="G58" s="2747"/>
      <c r="H58" s="834" t="str">
        <f>项目基本情况!B37</f>
        <v>六级</v>
      </c>
      <c r="I58" s="838">
        <f>SUMIF(修正!A57:A68,H58,修正!C57:C68)</f>
        <v>0.3</v>
      </c>
      <c r="J58" s="842"/>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1894</v>
      </c>
      <c r="B59" s="210" t="e">
        <f t="shared" si="17"/>
        <v>#DIV/0!</v>
      </c>
      <c r="C59" s="163">
        <f t="shared" si="16"/>
        <v>0.25</v>
      </c>
      <c r="D59" s="889">
        <v>0.25</v>
      </c>
      <c r="E59" s="614"/>
      <c r="F59" s="833" t="e">
        <f t="shared" si="15"/>
        <v>#DIV/0!</v>
      </c>
      <c r="G59" s="2747"/>
      <c r="H59" s="834" t="str">
        <f>项目基本情况!B37</f>
        <v>六级</v>
      </c>
      <c r="I59" s="838">
        <f>SUMIF(修正!A57:A68,H59,修正!D57:D68)</f>
        <v>0.25</v>
      </c>
      <c r="J59" s="842"/>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1895</v>
      </c>
      <c r="B60" s="210" t="e">
        <f t="shared" si="17"/>
        <v>#DIV/0!</v>
      </c>
      <c r="C60" s="163">
        <f t="shared" si="16"/>
        <v>0</v>
      </c>
      <c r="D60" s="889">
        <v>0.25</v>
      </c>
      <c r="E60" s="209">
        <f>'数据-汇总表'!E11</f>
        <v>0</v>
      </c>
      <c r="F60" s="833" t="e">
        <f t="shared" si="15"/>
        <v>#DIV/0!</v>
      </c>
      <c r="G60" s="1833" t="s">
        <v>1896</v>
      </c>
      <c r="H60" s="834">
        <f>项目基本情况!C37</f>
        <v>0</v>
      </c>
      <c r="I60" s="838">
        <f>SUMIF(修正!A57:A68,H60,修正!E57:E68)</f>
        <v>0</v>
      </c>
      <c r="J60" s="842"/>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1897</v>
      </c>
      <c r="B61" s="210" t="e">
        <f t="shared" si="17"/>
        <v>#DIV/0!</v>
      </c>
      <c r="C61" s="163">
        <f t="shared" si="16"/>
        <v>0</v>
      </c>
      <c r="D61" s="889">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1899</v>
      </c>
      <c r="B62" s="210" t="e">
        <f t="shared" si="17"/>
        <v>#DIV/0!</v>
      </c>
      <c r="C62" s="163">
        <f t="shared" si="16"/>
        <v>0</v>
      </c>
      <c r="D62" s="889">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1901</v>
      </c>
      <c r="B63" s="210" t="e">
        <f t="shared" si="17"/>
        <v>#DIV/0!</v>
      </c>
      <c r="C63" s="163">
        <f t="shared" si="16"/>
        <v>0.15</v>
      </c>
      <c r="D63" s="889">
        <v>0.25</v>
      </c>
      <c r="E63" s="209">
        <f>'数据-汇总表'!E14</f>
        <v>0</v>
      </c>
      <c r="F63" s="833" t="e">
        <f t="shared" si="15"/>
        <v>#DIV/0!</v>
      </c>
      <c r="G63" s="1833" t="s">
        <v>1892</v>
      </c>
      <c r="H63" s="834" t="str">
        <f>项目基本情况!B37</f>
        <v>六级</v>
      </c>
      <c r="I63" s="838">
        <f>SUMIF(修正!A57:A68,H63,修正!G57:G68)</f>
        <v>0.15</v>
      </c>
      <c r="J63" s="842"/>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4.4" thickBot="1">
      <c r="A64" s="613" t="s">
        <v>1902</v>
      </c>
      <c r="B64" s="210" t="e">
        <f t="shared" si="17"/>
        <v>#DIV/0!</v>
      </c>
      <c r="C64" s="163">
        <f t="shared" si="16"/>
        <v>0</v>
      </c>
      <c r="D64" s="889">
        <v>0.25</v>
      </c>
      <c r="E64" s="209">
        <f>'数据-汇总表'!E15</f>
        <v>0</v>
      </c>
      <c r="F64" s="833" t="e">
        <f t="shared" si="15"/>
        <v>#DIV/0!</v>
      </c>
      <c r="G64" s="1834" t="s">
        <v>1896</v>
      </c>
      <c r="H64" s="844">
        <f>项目基本情况!C37</f>
        <v>0</v>
      </c>
      <c r="I64" s="840">
        <f>SUMIF(修正!A57:A68,H64,修正!G57:G68)</f>
        <v>0</v>
      </c>
      <c r="J64" s="843"/>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thickBot="1">
      <c r="A65" s="615" t="s">
        <v>1903</v>
      </c>
      <c r="B65" s="616" t="s">
        <v>22</v>
      </c>
      <c r="C65" s="616" t="s">
        <v>23</v>
      </c>
      <c r="D65" s="616" t="s">
        <v>392</v>
      </c>
      <c r="E65" s="616">
        <f>IF(B46="楼面地价",SUM(E56:E64),'数据-汇总表'!D3)</f>
        <v>245.74</v>
      </c>
      <c r="F65" s="617" t="e">
        <f>IF(B46="楼面地价",SUM(F56:F64),ROUND(C48*E65/10000,0))</f>
        <v>#DIV/0!</v>
      </c>
      <c r="G65" s="677"/>
      <c r="H65" s="677"/>
      <c r="I65" s="677"/>
      <c r="J65" s="677"/>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6"/>
      <c r="C66" s="657"/>
      <c r="D66" s="385"/>
      <c r="E66" s="385"/>
      <c r="F66" s="385"/>
      <c r="G66" s="385"/>
      <c r="H66" s="385"/>
      <c r="I66" s="385"/>
      <c r="J66" s="859"/>
      <c r="K66" s="835"/>
      <c r="L66" s="836"/>
      <c r="M66" s="859"/>
      <c r="N66" s="859"/>
      <c r="O66" s="859"/>
      <c r="P66" s="2483"/>
      <c r="Q66" s="2483"/>
      <c r="R66" s="2483"/>
      <c r="S66" s="2483"/>
      <c r="T66" s="2483"/>
      <c r="U66" s="2483"/>
      <c r="V66" s="2483"/>
      <c r="W66" s="2483"/>
      <c r="X66" s="2483"/>
      <c r="Y66" s="2483"/>
      <c r="Z66" s="2483"/>
      <c r="AA66" s="2483"/>
      <c r="AB66" s="2483"/>
      <c r="AC66" s="2483"/>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3"/>
      <c r="Q67" s="2483"/>
      <c r="R67" s="2483"/>
      <c r="S67" s="2483"/>
      <c r="T67" s="2483"/>
      <c r="U67" s="2483"/>
      <c r="V67" s="2483"/>
      <c r="W67" s="2483"/>
      <c r="X67" s="2483"/>
      <c r="Y67" s="2483"/>
      <c r="Z67" s="2483"/>
      <c r="AA67" s="2483"/>
      <c r="AB67" s="2483"/>
      <c r="AC67" s="2483"/>
    </row>
    <row r="68" spans="1:29" ht="22.2" thickBot="1">
      <c r="A68" s="658" t="s">
        <v>1798</v>
      </c>
      <c r="B68" s="385"/>
      <c r="C68" s="659"/>
      <c r="D68" s="659"/>
      <c r="E68" s="659"/>
      <c r="F68" s="660"/>
      <c r="G68" s="660"/>
      <c r="H68" s="659"/>
      <c r="I68" s="659"/>
      <c r="J68" s="884"/>
      <c r="K68" s="885"/>
      <c r="L68" s="886"/>
      <c r="M68" s="884"/>
      <c r="N68" s="2533"/>
      <c r="O68" s="2533"/>
      <c r="P68" s="2533"/>
      <c r="Q68" s="2504"/>
      <c r="R68" s="2483"/>
      <c r="S68" s="2483"/>
      <c r="T68" s="2483"/>
      <c r="U68" s="2483"/>
      <c r="V68" s="2483"/>
      <c r="W68" s="2483"/>
      <c r="X68" s="2483"/>
      <c r="Y68" s="2483"/>
      <c r="Z68" s="2483"/>
      <c r="AA68" s="2483"/>
      <c r="AB68" s="2483"/>
      <c r="AC68" s="2483"/>
    </row>
    <row r="69" spans="1:29" s="442" customFormat="1" ht="14.4">
      <c r="A69" s="1628" t="s">
        <v>1904</v>
      </c>
      <c r="B69" s="1044"/>
      <c r="C69" s="1099" t="str">
        <f>YEAR(C67)&amp;"-"&amp;ROUNDUP(MONTH(C67)/3,0)</f>
        <v>2025-2</v>
      </c>
      <c r="D69" s="1099" t="str">
        <f>YEAR(D67)&amp;"-"&amp;ROUNDUP(MONTH(D67)/3,0)</f>
        <v>2025-1</v>
      </c>
      <c r="E69" s="1099" t="str">
        <f t="shared" ref="E69:O69" si="19">YEAR(E67)&amp;"-"&amp;ROUNDUP(MONTH(E67)/3,0)</f>
        <v>2024-4</v>
      </c>
      <c r="F69" s="1099" t="str">
        <f t="shared" si="19"/>
        <v>2024-3</v>
      </c>
      <c r="G69" s="1099" t="str">
        <f t="shared" si="19"/>
        <v>2024-2</v>
      </c>
      <c r="H69" s="1099" t="str">
        <f t="shared" si="19"/>
        <v>2024-1</v>
      </c>
      <c r="I69" s="1099" t="str">
        <f t="shared" si="19"/>
        <v>2023-4</v>
      </c>
      <c r="J69" s="1099" t="str">
        <f t="shared" si="19"/>
        <v>2023-3</v>
      </c>
      <c r="K69" s="1099" t="str">
        <f t="shared" si="19"/>
        <v>2023-2</v>
      </c>
      <c r="L69" s="1099" t="str">
        <f t="shared" si="19"/>
        <v>2023-1</v>
      </c>
      <c r="M69" s="1099" t="str">
        <f t="shared" si="19"/>
        <v>2022-4</v>
      </c>
      <c r="N69" s="1099" t="str">
        <f t="shared" si="19"/>
        <v>2022-3</v>
      </c>
      <c r="O69" s="1099" t="str">
        <f t="shared" si="19"/>
        <v>2022-2</v>
      </c>
      <c r="P69" s="2506"/>
      <c r="Q69" s="2506"/>
      <c r="R69" s="2506"/>
      <c r="S69" s="2506"/>
      <c r="T69" s="2506"/>
      <c r="U69" s="2506"/>
      <c r="V69" s="2506"/>
      <c r="W69" s="2506"/>
      <c r="X69" s="2506"/>
      <c r="Y69" s="2506"/>
      <c r="Z69" s="2506"/>
      <c r="AA69" s="2506"/>
      <c r="AB69" s="2506"/>
      <c r="AC69" s="2506"/>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4"/>
      <c r="N70" s="6"/>
      <c r="O70" s="1096"/>
      <c r="P70" s="2504"/>
      <c r="Q70" s="2436"/>
      <c r="R70" s="2436"/>
      <c r="S70" s="2436"/>
      <c r="T70" s="2436"/>
      <c r="U70" s="2436"/>
      <c r="V70" s="2436"/>
      <c r="W70" s="2436"/>
      <c r="X70" s="2436"/>
      <c r="Y70" s="2436"/>
      <c r="Z70" s="2436"/>
      <c r="AA70" s="2436"/>
      <c r="AB70" s="2436"/>
      <c r="AC70" s="2436"/>
    </row>
    <row r="71" spans="1:29" s="102" customFormat="1" ht="15" thickBot="1">
      <c r="A71" s="449" t="s">
        <v>1716</v>
      </c>
      <c r="B71" s="450"/>
      <c r="C71" s="451"/>
      <c r="D71" s="452"/>
      <c r="E71" s="452"/>
      <c r="F71" s="452"/>
      <c r="G71" s="452"/>
      <c r="H71" s="452"/>
      <c r="I71" s="452"/>
      <c r="J71" s="452"/>
      <c r="K71" s="452"/>
      <c r="L71" s="452"/>
      <c r="M71" s="453"/>
      <c r="N71" s="452"/>
      <c r="O71" s="887"/>
      <c r="P71" s="2504"/>
      <c r="Q71" s="2504"/>
      <c r="R71" s="2436"/>
      <c r="S71" s="2436"/>
      <c r="T71" s="2436"/>
      <c r="U71" s="2436"/>
      <c r="V71" s="2436"/>
      <c r="W71" s="2436"/>
      <c r="X71" s="2436"/>
      <c r="Y71" s="2436"/>
      <c r="Z71" s="2436"/>
      <c r="AA71" s="2436"/>
      <c r="AB71" s="2436"/>
      <c r="AC71" s="2436"/>
    </row>
    <row r="72" spans="1:29" s="102" customFormat="1" ht="14.4">
      <c r="A72" s="455" t="s">
        <v>1681</v>
      </c>
      <c r="B72" s="444"/>
      <c r="C72" s="456" t="s">
        <v>1776</v>
      </c>
      <c r="D72" s="31"/>
      <c r="E72" s="31"/>
      <c r="F72" s="31"/>
      <c r="G72" s="31"/>
      <c r="H72" s="31"/>
      <c r="I72" s="31"/>
      <c r="J72" s="31"/>
      <c r="K72" s="31"/>
      <c r="L72" s="457"/>
      <c r="M72" s="458"/>
      <c r="N72" s="2516"/>
      <c r="O72" s="2516"/>
      <c r="P72" s="2540"/>
      <c r="Q72" s="2504"/>
      <c r="R72" s="2436"/>
      <c r="S72" s="2436"/>
      <c r="T72" s="2436"/>
      <c r="U72" s="2436"/>
      <c r="V72" s="2436"/>
      <c r="W72" s="2436"/>
      <c r="X72" s="2436"/>
      <c r="Y72" s="2436"/>
      <c r="Z72" s="2436"/>
      <c r="AA72" s="2436"/>
      <c r="AB72" s="2436"/>
      <c r="AC72" s="2436"/>
    </row>
    <row r="73" spans="1:29" s="102" customFormat="1" ht="14.4" thickBot="1">
      <c r="A73" s="455"/>
      <c r="B73" s="444"/>
      <c r="C73" s="563">
        <v>100</v>
      </c>
      <c r="D73" s="446"/>
      <c r="E73" s="446"/>
      <c r="F73" s="446"/>
      <c r="G73" s="446"/>
      <c r="H73" s="446"/>
      <c r="I73" s="446"/>
      <c r="J73" s="446"/>
      <c r="K73" s="446"/>
      <c r="L73" s="446"/>
      <c r="M73" s="448"/>
      <c r="N73" s="2516"/>
      <c r="O73" s="2516"/>
      <c r="P73" s="2504"/>
      <c r="Q73" s="2504"/>
      <c r="R73" s="2436"/>
      <c r="S73" s="2436"/>
      <c r="T73" s="2436"/>
      <c r="U73" s="2436"/>
      <c r="V73" s="2436"/>
      <c r="W73" s="2436"/>
      <c r="X73" s="2436"/>
      <c r="Y73" s="2436"/>
      <c r="Z73" s="2436"/>
      <c r="AA73" s="2436"/>
      <c r="AB73" s="2436"/>
      <c r="AC73" s="2436"/>
    </row>
    <row r="74" spans="1:29" ht="14.4">
      <c r="A74" s="379" t="s">
        <v>1719</v>
      </c>
      <c r="B74" s="460" t="s">
        <v>1685</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4.4"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9.4" thickTop="1">
      <c r="A76" s="367"/>
      <c r="B76" s="469" t="s">
        <v>1688</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4.4"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4.4"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4.4"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4.4"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4.4"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4.4"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4.4"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ht="14.4">
      <c r="A87" s="379" t="s">
        <v>1690</v>
      </c>
      <c r="B87" s="460" t="s">
        <v>1720</v>
      </c>
      <c r="C87" s="504" t="s">
        <v>1721</v>
      </c>
      <c r="D87" s="504" t="s">
        <v>1722</v>
      </c>
      <c r="E87" s="504" t="s">
        <v>1723</v>
      </c>
      <c r="F87" s="504" t="s">
        <v>1724</v>
      </c>
      <c r="G87" s="504" t="s">
        <v>1725</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 thickTop="1">
      <c r="A89" s="367"/>
      <c r="B89" s="469" t="s">
        <v>1906</v>
      </c>
      <c r="C89" s="509" t="s">
        <v>1721</v>
      </c>
      <c r="D89" s="509" t="s">
        <v>1722</v>
      </c>
      <c r="E89" s="509" t="s">
        <v>1723</v>
      </c>
      <c r="F89" s="509" t="s">
        <v>1724</v>
      </c>
      <c r="G89" s="509" t="s">
        <v>1725</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 thickTop="1">
      <c r="A91" s="367"/>
      <c r="B91" s="469" t="s">
        <v>1821</v>
      </c>
      <c r="C91" s="509" t="s">
        <v>1721</v>
      </c>
      <c r="D91" s="509" t="s">
        <v>1722</v>
      </c>
      <c r="E91" s="509" t="s">
        <v>1723</v>
      </c>
      <c r="F91" s="509" t="s">
        <v>1724</v>
      </c>
      <c r="G91" s="509" t="s">
        <v>1725</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 thickTop="1">
      <c r="A93" s="367"/>
      <c r="B93" s="469" t="s">
        <v>1726</v>
      </c>
      <c r="C93" s="509" t="s">
        <v>1721</v>
      </c>
      <c r="D93" s="509" t="s">
        <v>1722</v>
      </c>
      <c r="E93" s="509" t="s">
        <v>1723</v>
      </c>
      <c r="F93" s="509" t="s">
        <v>1724</v>
      </c>
      <c r="G93" s="509" t="s">
        <v>1725</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6"/>
      <c r="O95" s="2516"/>
      <c r="P95" s="2516"/>
      <c r="Q95" s="2504"/>
      <c r="R95" s="2436"/>
      <c r="S95" s="2436"/>
      <c r="T95" s="2436"/>
      <c r="U95" s="2436"/>
      <c r="V95" s="2436"/>
      <c r="W95" s="2436"/>
      <c r="X95" s="2436"/>
      <c r="Y95" s="2436"/>
      <c r="Z95" s="2436"/>
      <c r="AA95" s="2436"/>
      <c r="AB95" s="2436"/>
      <c r="AC95" s="2436"/>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6"/>
      <c r="S96" s="2436"/>
      <c r="T96" s="2436"/>
      <c r="U96" s="2436"/>
      <c r="V96" s="2436"/>
      <c r="W96" s="2436"/>
      <c r="X96" s="2436"/>
      <c r="Y96" s="2436"/>
      <c r="Z96" s="2436"/>
      <c r="AA96" s="2436"/>
      <c r="AB96" s="2436"/>
      <c r="AC96" s="2436"/>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6"/>
      <c r="O97" s="2516"/>
      <c r="P97" s="2516"/>
      <c r="Q97" s="2504"/>
      <c r="R97" s="2436"/>
      <c r="S97" s="2436"/>
      <c r="T97" s="2436"/>
      <c r="U97" s="2436"/>
      <c r="V97" s="2436"/>
      <c r="W97" s="2436"/>
      <c r="X97" s="2436"/>
      <c r="Y97" s="2436"/>
      <c r="Z97" s="2436"/>
      <c r="AA97" s="2436"/>
      <c r="AB97" s="2436"/>
      <c r="AC97" s="2436"/>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6"/>
      <c r="S98" s="2436"/>
      <c r="T98" s="2436"/>
      <c r="U98" s="2436"/>
      <c r="V98" s="2436"/>
      <c r="W98" s="2436"/>
      <c r="X98" s="2436"/>
      <c r="Y98" s="2436"/>
      <c r="Z98" s="2436"/>
      <c r="AA98" s="2436"/>
      <c r="AB98" s="2436"/>
      <c r="AC98" s="2436"/>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3"/>
      <c r="N101" s="2519"/>
      <c r="O101" s="2519"/>
      <c r="P101" s="2519"/>
      <c r="Q101" s="2511"/>
      <c r="R101" s="2489"/>
      <c r="S101" s="2489"/>
      <c r="T101" s="2489"/>
      <c r="U101" s="2489"/>
      <c r="V101" s="2489"/>
      <c r="W101" s="2489"/>
      <c r="X101" s="2489"/>
      <c r="Y101" s="2489"/>
      <c r="Z101" s="2489"/>
      <c r="AA101" s="2489"/>
      <c r="AB101" s="2489"/>
      <c r="AC101" s="2489"/>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3"/>
      <c r="N102" s="2519"/>
      <c r="O102" s="2519"/>
      <c r="P102" s="2519"/>
      <c r="Q102" s="2511"/>
      <c r="R102" s="2489"/>
      <c r="S102" s="2489"/>
      <c r="T102" s="2489"/>
      <c r="U102" s="2489"/>
      <c r="V102" s="2489"/>
      <c r="W102" s="2489"/>
      <c r="X102" s="2489"/>
      <c r="Y102" s="2489"/>
      <c r="Z102" s="2489"/>
      <c r="AA102" s="2489"/>
      <c r="AB102" s="2489"/>
      <c r="AC102" s="2489"/>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9.4" thickTop="1">
      <c r="A105" s="367"/>
      <c r="B105" s="469" t="s">
        <v>1815</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 thickTop="1">
      <c r="A107" s="367"/>
      <c r="B107" s="469" t="s">
        <v>1873</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4.4"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4.4"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4.4"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4.4"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4.4"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4.4"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4.4"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1914</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1915</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1916</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1917</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4.4"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4.4"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4.4"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4.4"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4.4"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4.4"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3"/>
      <c r="D2" s="853"/>
      <c r="E2" s="853"/>
      <c r="F2" s="854"/>
      <c r="G2" s="853"/>
      <c r="H2" s="853"/>
      <c r="I2" s="853"/>
      <c r="J2" s="853"/>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9"/>
      <c r="E3" s="853"/>
      <c r="F3" s="854"/>
      <c r="G3" s="853"/>
      <c r="H3" s="853"/>
      <c r="I3" s="853"/>
      <c r="J3" s="853"/>
      <c r="K3" s="855"/>
      <c r="L3" s="2499"/>
      <c r="M3" s="2500"/>
      <c r="N3" s="2500"/>
      <c r="O3" s="2500"/>
      <c r="P3" s="341"/>
      <c r="Q3" s="341"/>
      <c r="R3" s="341"/>
      <c r="S3" s="341"/>
      <c r="T3" s="341"/>
      <c r="U3" s="341"/>
      <c r="V3" s="341"/>
      <c r="W3" s="341"/>
      <c r="X3" s="341"/>
      <c r="Y3" s="341"/>
      <c r="Z3" s="341"/>
      <c r="AA3" s="341"/>
      <c r="AB3" s="676"/>
      <c r="AC3" s="663"/>
    </row>
    <row r="4" spans="1:29" ht="14.4">
      <c r="A4" s="345" t="s">
        <v>1769</v>
      </c>
      <c r="B4" s="346"/>
      <c r="C4" s="3385" t="s">
        <v>1770</v>
      </c>
      <c r="D4" s="3386"/>
      <c r="E4" s="3387" t="s">
        <v>1771</v>
      </c>
      <c r="F4" s="3388"/>
      <c r="G4" s="3385" t="s">
        <v>1772</v>
      </c>
      <c r="H4" s="3386"/>
      <c r="I4" s="3385" t="s">
        <v>1773</v>
      </c>
      <c r="J4" s="3386"/>
      <c r="K4" s="537" t="s">
        <v>1774</v>
      </c>
      <c r="L4" s="2482"/>
      <c r="M4" s="2483"/>
      <c r="N4" s="2483"/>
      <c r="O4" s="2483"/>
      <c r="P4" s="3389" t="s">
        <v>1775</v>
      </c>
      <c r="Q4" s="3390"/>
      <c r="R4" s="3395" t="s">
        <v>1771</v>
      </c>
      <c r="S4" s="3396"/>
      <c r="T4" s="3395" t="s">
        <v>1772</v>
      </c>
      <c r="U4" s="3396"/>
      <c r="V4" s="3368" t="s">
        <v>1773</v>
      </c>
      <c r="W4" s="3368"/>
      <c r="X4" s="1263"/>
      <c r="Y4" s="3395" t="s">
        <v>1775</v>
      </c>
      <c r="Z4" s="3396"/>
      <c r="AA4" s="3382" t="s">
        <v>1771</v>
      </c>
      <c r="AB4" s="3383" t="s">
        <v>1772</v>
      </c>
      <c r="AC4" s="3382" t="s">
        <v>1773</v>
      </c>
    </row>
    <row r="5" spans="1:29">
      <c r="A5" s="348"/>
      <c r="B5" s="349"/>
      <c r="C5" s="3403" t="s">
        <v>1673</v>
      </c>
      <c r="D5" s="3404"/>
      <c r="E5" s="3411" t="s">
        <v>1674</v>
      </c>
      <c r="F5" s="3412"/>
      <c r="G5" s="3403" t="s">
        <v>1675</v>
      </c>
      <c r="H5" s="3404"/>
      <c r="I5" s="3403" t="s">
        <v>1676</v>
      </c>
      <c r="J5" s="3404"/>
      <c r="K5" s="537"/>
      <c r="L5" s="2482"/>
      <c r="M5" s="2483"/>
      <c r="N5" s="2483"/>
      <c r="O5" s="2483"/>
      <c r="P5" s="3391"/>
      <c r="Q5" s="3392"/>
      <c r="R5" s="3397"/>
      <c r="S5" s="3398"/>
      <c r="T5" s="3397"/>
      <c r="U5" s="3398"/>
      <c r="V5" s="3368"/>
      <c r="W5" s="3368"/>
      <c r="X5" s="1263"/>
      <c r="Y5" s="3397"/>
      <c r="Z5" s="3398"/>
      <c r="AA5" s="3383"/>
      <c r="AB5" s="3383"/>
      <c r="AC5" s="3383"/>
    </row>
    <row r="6" spans="1:29" ht="15" thickBot="1">
      <c r="A6" s="350"/>
      <c r="B6" s="351"/>
      <c r="C6" s="3466" t="s">
        <v>1919</v>
      </c>
      <c r="D6" s="3467"/>
      <c r="E6" s="3468" t="s">
        <v>1919</v>
      </c>
      <c r="F6" s="3469"/>
      <c r="G6" s="3466" t="s">
        <v>1919</v>
      </c>
      <c r="H6" s="3467"/>
      <c r="I6" s="3466" t="s">
        <v>1919</v>
      </c>
      <c r="J6" s="3467"/>
      <c r="K6" s="537" t="s">
        <v>1678</v>
      </c>
      <c r="L6" s="2482"/>
      <c r="M6" s="2483"/>
      <c r="N6" s="2483"/>
      <c r="O6" s="2483"/>
      <c r="P6" s="3393"/>
      <c r="Q6" s="3394"/>
      <c r="R6" s="3397"/>
      <c r="S6" s="3398"/>
      <c r="T6" s="3399"/>
      <c r="U6" s="3400"/>
      <c r="V6" s="3368"/>
      <c r="W6" s="3368"/>
      <c r="X6" s="1263"/>
      <c r="Y6" s="3399"/>
      <c r="Z6" s="3400"/>
      <c r="AA6" s="3384"/>
      <c r="AB6" s="3384"/>
      <c r="AC6" s="3384"/>
    </row>
    <row r="7" spans="1:29" s="102" customFormat="1" ht="15" thickBot="1">
      <c r="A7" s="352" t="s">
        <v>1679</v>
      </c>
      <c r="B7" s="353"/>
      <c r="C7" s="354">
        <f>'数据-取费表'!B2</f>
        <v>45793</v>
      </c>
      <c r="D7" s="355">
        <v>100</v>
      </c>
      <c r="E7" s="356"/>
      <c r="F7" s="357">
        <f>SUMIF(65:65,YEAR(E7)&amp;"-"&amp;INT((MONTH(E7)+2)/3),66:66)</f>
        <v>0</v>
      </c>
      <c r="G7" s="1820"/>
      <c r="H7" s="355">
        <f>SUMIF(65:65,YEAR(G7)&amp;"-"&amp;INT((MONTH(G7)+2)/3),66:66)</f>
        <v>0</v>
      </c>
      <c r="I7" s="1820"/>
      <c r="J7" s="355">
        <f>SUMIF(65:65,YEAR(I7)&amp;"-"&amp;INT((MONTH(I7)+2)/3),66:66)</f>
        <v>0</v>
      </c>
      <c r="K7" s="38"/>
      <c r="L7" s="2484"/>
      <c r="M7" s="2436"/>
      <c r="N7" s="2436"/>
      <c r="O7" s="2436"/>
      <c r="P7" s="3405" t="s">
        <v>1680</v>
      </c>
      <c r="Q7" s="3407"/>
      <c r="R7" s="664" t="s">
        <v>14</v>
      </c>
      <c r="S7" s="665">
        <f t="shared" ref="S7:S15" si="0">F7</f>
        <v>0</v>
      </c>
      <c r="T7" s="664" t="s">
        <v>14</v>
      </c>
      <c r="U7" s="665">
        <f t="shared" ref="U7:U15" si="1">H7</f>
        <v>0</v>
      </c>
      <c r="V7" s="664" t="s">
        <v>14</v>
      </c>
      <c r="W7" s="665">
        <f t="shared" ref="W7:W15" si="2">J7</f>
        <v>0</v>
      </c>
      <c r="X7" s="666"/>
      <c r="Y7" s="3405" t="s">
        <v>1680</v>
      </c>
      <c r="Z7" s="3406"/>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6"/>
      <c r="N8" s="2436"/>
      <c r="O8" s="2436"/>
      <c r="P8" s="3405" t="s">
        <v>1683</v>
      </c>
      <c r="Q8" s="3406"/>
      <c r="R8" s="664" t="s">
        <v>14</v>
      </c>
      <c r="S8" s="665">
        <f t="shared" si="0"/>
        <v>0</v>
      </c>
      <c r="T8" s="664" t="s">
        <v>14</v>
      </c>
      <c r="U8" s="665">
        <f t="shared" si="1"/>
        <v>0</v>
      </c>
      <c r="V8" s="664" t="s">
        <v>14</v>
      </c>
      <c r="W8" s="665">
        <f t="shared" si="2"/>
        <v>0</v>
      </c>
      <c r="X8" s="666"/>
      <c r="Y8" s="3405" t="s">
        <v>1683</v>
      </c>
      <c r="Z8" s="3406"/>
      <c r="AA8" s="50" t="e">
        <f t="shared" ref="AA8:AA40" si="3">D8/F8</f>
        <v>#DIV/0!</v>
      </c>
      <c r="AB8" s="50" t="e">
        <f t="shared" ref="AB8:AB40" si="4">D8/H8</f>
        <v>#DIV/0!</v>
      </c>
      <c r="AC8" s="50" t="e">
        <f t="shared" ref="AC8:AC40" si="5">D8/J8</f>
        <v>#DIV/0!</v>
      </c>
    </row>
    <row r="9" spans="1:29" s="102" customFormat="1" ht="14.4">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4"/>
      <c r="M9" s="2436"/>
      <c r="N9" s="2436"/>
      <c r="O9" s="2536"/>
      <c r="P9" s="3367" t="s">
        <v>1686</v>
      </c>
      <c r="Q9" s="530" t="str">
        <f t="shared" ref="Q9:Q15" si="6">B9</f>
        <v>用途</v>
      </c>
      <c r="R9" s="664" t="s">
        <v>14</v>
      </c>
      <c r="S9" s="665">
        <f t="shared" si="0"/>
        <v>100</v>
      </c>
      <c r="T9" s="664" t="s">
        <v>14</v>
      </c>
      <c r="U9" s="665">
        <f t="shared" si="1"/>
        <v>100</v>
      </c>
      <c r="V9" s="664" t="s">
        <v>14</v>
      </c>
      <c r="W9" s="665">
        <f t="shared" si="2"/>
        <v>100</v>
      </c>
      <c r="X9" s="666"/>
      <c r="Y9" s="327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5"/>
      <c r="M10" s="2486"/>
      <c r="N10" s="2486"/>
      <c r="O10" s="2537"/>
      <c r="P10" s="3367"/>
      <c r="Q10" s="530" t="str">
        <f t="shared" si="6"/>
        <v>土地使用年限（年）</v>
      </c>
      <c r="R10" s="664" t="s">
        <v>14</v>
      </c>
      <c r="S10" s="665" t="e">
        <f t="shared" si="0"/>
        <v>#DIV/0!</v>
      </c>
      <c r="T10" s="664" t="s">
        <v>14</v>
      </c>
      <c r="U10" s="665" t="e">
        <f t="shared" si="1"/>
        <v>#DIV/0!</v>
      </c>
      <c r="V10" s="664" t="s">
        <v>14</v>
      </c>
      <c r="W10" s="665" t="e">
        <f t="shared" si="2"/>
        <v>#DIV/0!</v>
      </c>
      <c r="X10" s="666"/>
      <c r="Y10" s="327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367"/>
      <c r="Q11" s="530" t="str">
        <f t="shared" si="6"/>
        <v>容积率</v>
      </c>
      <c r="R11" s="664" t="s">
        <v>14</v>
      </c>
      <c r="S11" s="665" t="e">
        <f t="shared" si="0"/>
        <v>#N/A</v>
      </c>
      <c r="T11" s="664" t="s">
        <v>14</v>
      </c>
      <c r="U11" s="665" t="e">
        <f t="shared" si="1"/>
        <v>#N/A</v>
      </c>
      <c r="V11" s="664" t="s">
        <v>14</v>
      </c>
      <c r="W11" s="665" t="e">
        <f t="shared" si="2"/>
        <v>#N/A</v>
      </c>
      <c r="X11" s="666"/>
      <c r="Y11" s="327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6"/>
      <c r="N12" s="2436"/>
      <c r="O12" s="2536"/>
      <c r="P12" s="3367"/>
      <c r="Q12" s="530">
        <f t="shared" si="6"/>
        <v>111</v>
      </c>
      <c r="R12" s="664" t="s">
        <v>14</v>
      </c>
      <c r="S12" s="665">
        <f t="shared" si="0"/>
        <v>100</v>
      </c>
      <c r="T12" s="664" t="s">
        <v>14</v>
      </c>
      <c r="U12" s="665">
        <f t="shared" si="1"/>
        <v>100</v>
      </c>
      <c r="V12" s="664" t="s">
        <v>14</v>
      </c>
      <c r="W12" s="665">
        <f t="shared" si="2"/>
        <v>100</v>
      </c>
      <c r="X12" s="666"/>
      <c r="Y12" s="327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367"/>
      <c r="Q13" s="530">
        <f t="shared" si="6"/>
        <v>111</v>
      </c>
      <c r="R13" s="664" t="s">
        <v>14</v>
      </c>
      <c r="S13" s="665">
        <f t="shared" si="0"/>
        <v>100</v>
      </c>
      <c r="T13" s="664" t="s">
        <v>14</v>
      </c>
      <c r="U13" s="665">
        <f t="shared" si="1"/>
        <v>100</v>
      </c>
      <c r="V13" s="664" t="s">
        <v>14</v>
      </c>
      <c r="W13" s="665">
        <f t="shared" si="2"/>
        <v>100</v>
      </c>
      <c r="X13" s="666"/>
      <c r="Y13" s="3271"/>
      <c r="Z13" s="50">
        <f t="shared" si="7"/>
        <v>111</v>
      </c>
      <c r="AA13" s="50">
        <f t="shared" si="3"/>
        <v>1</v>
      </c>
      <c r="AB13" s="50">
        <f t="shared" si="4"/>
        <v>1</v>
      </c>
      <c r="AC13" s="50">
        <f t="shared" si="5"/>
        <v>1</v>
      </c>
    </row>
    <row r="14" spans="1:29" ht="15.6"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367"/>
      <c r="Q14" s="530">
        <f t="shared" si="6"/>
        <v>111</v>
      </c>
      <c r="R14" s="664" t="s">
        <v>14</v>
      </c>
      <c r="S14" s="665">
        <f t="shared" si="0"/>
        <v>100</v>
      </c>
      <c r="T14" s="664" t="s">
        <v>14</v>
      </c>
      <c r="U14" s="665">
        <f t="shared" si="1"/>
        <v>100</v>
      </c>
      <c r="V14" s="664" t="s">
        <v>14</v>
      </c>
      <c r="W14" s="665">
        <f t="shared" si="2"/>
        <v>100</v>
      </c>
      <c r="X14" s="666"/>
      <c r="Y14" s="3271"/>
      <c r="Z14" s="50">
        <f t="shared" si="7"/>
        <v>111</v>
      </c>
      <c r="AA14" s="50">
        <f t="shared" si="3"/>
        <v>1</v>
      </c>
      <c r="AB14" s="50">
        <f t="shared" si="4"/>
        <v>1</v>
      </c>
      <c r="AC14" s="50">
        <f t="shared" si="5"/>
        <v>1</v>
      </c>
    </row>
    <row r="15" spans="1:29" ht="69">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374" t="s">
        <v>1691</v>
      </c>
      <c r="Q15" s="1261" t="str">
        <f t="shared" si="6"/>
        <v>产业集聚程度</v>
      </c>
      <c r="R15" s="667" t="s">
        <v>14</v>
      </c>
      <c r="S15" s="668">
        <f t="shared" si="0"/>
        <v>100</v>
      </c>
      <c r="T15" s="667" t="s">
        <v>14</v>
      </c>
      <c r="U15" s="668">
        <f t="shared" si="1"/>
        <v>100</v>
      </c>
      <c r="V15" s="667" t="s">
        <v>14</v>
      </c>
      <c r="W15" s="668">
        <f t="shared" si="2"/>
        <v>100</v>
      </c>
      <c r="X15" s="1263"/>
      <c r="Y15" s="3374" t="s">
        <v>1691</v>
      </c>
      <c r="Z15" s="1262" t="str">
        <f t="shared" si="7"/>
        <v>产业集聚程度</v>
      </c>
      <c r="AA15" s="1262">
        <f t="shared" si="3"/>
        <v>1</v>
      </c>
      <c r="AB15" s="1262">
        <f t="shared" si="4"/>
        <v>1</v>
      </c>
      <c r="AC15" s="1262">
        <f t="shared" si="5"/>
        <v>1</v>
      </c>
    </row>
    <row r="16" spans="1:29" ht="15">
      <c r="A16" s="367"/>
      <c r="B16" s="555"/>
      <c r="C16" s="386"/>
      <c r="D16" s="387"/>
      <c r="E16" s="1756"/>
      <c r="F16" s="387"/>
      <c r="G16" s="1756"/>
      <c r="H16" s="389"/>
      <c r="I16" s="1756"/>
      <c r="J16" s="387"/>
      <c r="K16" s="592"/>
      <c r="L16" s="2488"/>
      <c r="M16" s="2483"/>
      <c r="N16" s="2483"/>
      <c r="O16" s="2538"/>
      <c r="P16" s="3375"/>
      <c r="Q16" s="1261"/>
      <c r="R16" s="667"/>
      <c r="S16" s="668"/>
      <c r="T16" s="667"/>
      <c r="U16" s="668"/>
      <c r="V16" s="667"/>
      <c r="W16" s="668"/>
      <c r="X16" s="1263"/>
      <c r="Y16" s="3375"/>
      <c r="Z16" s="1262"/>
      <c r="AA16" s="1262">
        <v>1</v>
      </c>
      <c r="AB16" s="1262">
        <v>1</v>
      </c>
      <c r="AC16" s="1262">
        <v>1</v>
      </c>
    </row>
    <row r="17" spans="1:29" ht="96.6">
      <c r="A17" s="367"/>
      <c r="B17" s="556" t="s">
        <v>1833</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375"/>
      <c r="Q17" s="1261" t="str">
        <f>B17</f>
        <v>交通便捷度</v>
      </c>
      <c r="R17" s="667" t="s">
        <v>14</v>
      </c>
      <c r="S17" s="668">
        <f>F17</f>
        <v>100</v>
      </c>
      <c r="T17" s="667" t="s">
        <v>14</v>
      </c>
      <c r="U17" s="668">
        <f>H17</f>
        <v>100</v>
      </c>
      <c r="V17" s="667" t="s">
        <v>14</v>
      </c>
      <c r="W17" s="668">
        <f>J17</f>
        <v>100</v>
      </c>
      <c r="X17" s="1263"/>
      <c r="Y17" s="3375"/>
      <c r="Z17" s="1262" t="str">
        <f>Q17</f>
        <v>交通便捷度</v>
      </c>
      <c r="AA17" s="1262">
        <f t="shared" si="3"/>
        <v>1</v>
      </c>
      <c r="AB17" s="1262">
        <f t="shared" si="4"/>
        <v>1</v>
      </c>
      <c r="AC17" s="1262">
        <f t="shared" si="5"/>
        <v>1</v>
      </c>
    </row>
    <row r="18" spans="1:29" ht="15">
      <c r="A18" s="367"/>
      <c r="B18" s="401"/>
      <c r="C18" s="386"/>
      <c r="D18" s="387"/>
      <c r="E18" s="1750"/>
      <c r="F18" s="387"/>
      <c r="G18" s="1750"/>
      <c r="H18" s="387"/>
      <c r="I18" s="1749"/>
      <c r="J18" s="387"/>
      <c r="K18" s="592"/>
      <c r="L18" s="2488"/>
      <c r="M18" s="2483"/>
      <c r="N18" s="2483"/>
      <c r="O18" s="2538"/>
      <c r="P18" s="3375"/>
      <c r="Q18" s="1261"/>
      <c r="R18" s="667"/>
      <c r="S18" s="668"/>
      <c r="T18" s="667"/>
      <c r="U18" s="668"/>
      <c r="V18" s="667"/>
      <c r="W18" s="668"/>
      <c r="X18" s="1263"/>
      <c r="Y18" s="3375"/>
      <c r="Z18" s="1262"/>
      <c r="AA18" s="1262">
        <v>1</v>
      </c>
      <c r="AB18" s="1262">
        <v>1</v>
      </c>
      <c r="AC18" s="1262">
        <v>1</v>
      </c>
    </row>
    <row r="19" spans="1:29" ht="28.8">
      <c r="A19" s="367"/>
      <c r="B19" s="556" t="s">
        <v>1871</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375"/>
      <c r="Q19" s="1261" t="str">
        <f t="shared" ref="Q19:Q33" si="8">B19</f>
        <v>区域土地利用方向</v>
      </c>
      <c r="R19" s="667" t="s">
        <v>14</v>
      </c>
      <c r="S19" s="668">
        <f>F19</f>
        <v>100</v>
      </c>
      <c r="T19" s="667" t="s">
        <v>14</v>
      </c>
      <c r="U19" s="668">
        <f>H19</f>
        <v>100</v>
      </c>
      <c r="V19" s="667" t="s">
        <v>14</v>
      </c>
      <c r="W19" s="668">
        <f>J19</f>
        <v>100</v>
      </c>
      <c r="X19" s="1263"/>
      <c r="Y19" s="3375"/>
      <c r="Z19" s="1262" t="str">
        <f>Q19</f>
        <v>区域土地利用方向</v>
      </c>
      <c r="AA19" s="1262">
        <f t="shared" si="3"/>
        <v>1</v>
      </c>
      <c r="AB19" s="1262">
        <f t="shared" si="4"/>
        <v>1</v>
      </c>
      <c r="AC19" s="1262">
        <f t="shared" si="5"/>
        <v>1</v>
      </c>
    </row>
    <row r="20" spans="1:29" ht="15">
      <c r="A20" s="348"/>
      <c r="B20" s="401"/>
      <c r="C20" s="386"/>
      <c r="D20" s="387"/>
      <c r="E20" s="1750"/>
      <c r="F20" s="387"/>
      <c r="G20" s="1750"/>
      <c r="H20" s="387"/>
      <c r="I20" s="1750"/>
      <c r="J20" s="387"/>
      <c r="K20" s="698"/>
      <c r="L20" s="2488"/>
      <c r="M20" s="2483"/>
      <c r="N20" s="2483"/>
      <c r="O20" s="2538"/>
      <c r="P20" s="3375"/>
      <c r="Q20" s="1261"/>
      <c r="R20" s="667"/>
      <c r="S20" s="668"/>
      <c r="T20" s="667"/>
      <c r="U20" s="668"/>
      <c r="V20" s="667"/>
      <c r="W20" s="668"/>
      <c r="X20" s="1263"/>
      <c r="Y20" s="3375"/>
      <c r="Z20" s="1262"/>
      <c r="AA20" s="1262"/>
      <c r="AB20" s="1262"/>
      <c r="AC20" s="1262"/>
    </row>
    <row r="21" spans="1:29" ht="82.8">
      <c r="A21" s="348"/>
      <c r="B21" s="556" t="s">
        <v>1921</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375"/>
      <c r="Q21" s="1261" t="str">
        <f t="shared" si="8"/>
        <v>环境状况</v>
      </c>
      <c r="R21" s="667" t="s">
        <v>14</v>
      </c>
      <c r="S21" s="668">
        <f>F21</f>
        <v>100</v>
      </c>
      <c r="T21" s="667" t="s">
        <v>14</v>
      </c>
      <c r="U21" s="668">
        <f>H21</f>
        <v>100</v>
      </c>
      <c r="V21" s="667" t="s">
        <v>14</v>
      </c>
      <c r="W21" s="668">
        <f>J21</f>
        <v>100</v>
      </c>
      <c r="X21" s="1263"/>
      <c r="Y21" s="3375"/>
      <c r="Z21" s="1262" t="str">
        <f>Q21</f>
        <v>环境状况</v>
      </c>
      <c r="AA21" s="1262">
        <f t="shared" si="3"/>
        <v>1</v>
      </c>
      <c r="AB21" s="1262">
        <f t="shared" si="4"/>
        <v>1</v>
      </c>
      <c r="AC21" s="1262">
        <f t="shared" si="5"/>
        <v>1</v>
      </c>
    </row>
    <row r="22" spans="1:29" ht="15">
      <c r="A22" s="348"/>
      <c r="B22" s="401"/>
      <c r="C22" s="386"/>
      <c r="D22" s="387"/>
      <c r="E22" s="1756"/>
      <c r="F22" s="387"/>
      <c r="G22" s="1756"/>
      <c r="H22" s="387"/>
      <c r="I22" s="386"/>
      <c r="J22" s="387"/>
      <c r="K22" s="592"/>
      <c r="L22" s="2488"/>
      <c r="M22" s="2483"/>
      <c r="N22" s="2483"/>
      <c r="O22" s="2538"/>
      <c r="P22" s="3375"/>
      <c r="Q22" s="1261"/>
      <c r="R22" s="667"/>
      <c r="S22" s="668"/>
      <c r="T22" s="667"/>
      <c r="U22" s="668"/>
      <c r="V22" s="667"/>
      <c r="W22" s="668"/>
      <c r="X22" s="1263"/>
      <c r="Y22" s="3375"/>
      <c r="Z22" s="1262"/>
      <c r="AA22" s="1262">
        <v>1</v>
      </c>
      <c r="AB22" s="1262">
        <v>1</v>
      </c>
      <c r="AC22" s="1262">
        <v>1</v>
      </c>
    </row>
    <row r="23" spans="1:29" s="102" customFormat="1" ht="41.4">
      <c r="A23" s="443"/>
      <c r="B23" s="557" t="s">
        <v>1778</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4"/>
      <c r="M23" s="2436"/>
      <c r="N23" s="2436"/>
      <c r="O23" s="2536"/>
      <c r="P23" s="3375"/>
      <c r="Q23" s="530" t="str">
        <f t="shared" si="8"/>
        <v>公共配套设施</v>
      </c>
      <c r="R23" s="664" t="s">
        <v>14</v>
      </c>
      <c r="S23" s="665">
        <f>F23</f>
        <v>100</v>
      </c>
      <c r="T23" s="664" t="s">
        <v>14</v>
      </c>
      <c r="U23" s="665">
        <f>H23</f>
        <v>100</v>
      </c>
      <c r="V23" s="664" t="s">
        <v>14</v>
      </c>
      <c r="W23" s="665">
        <f>J23</f>
        <v>100</v>
      </c>
      <c r="X23" s="666"/>
      <c r="Y23" s="3375"/>
      <c r="Z23" s="50" t="str">
        <f>Q23</f>
        <v>公共配套设施</v>
      </c>
      <c r="AA23" s="1262">
        <f>D23/F23</f>
        <v>1</v>
      </c>
      <c r="AB23" s="1262">
        <f>D23/H23</f>
        <v>1</v>
      </c>
      <c r="AC23" s="1262">
        <f>D23/J23</f>
        <v>1</v>
      </c>
    </row>
    <row r="24" spans="1:29" s="102" customFormat="1" ht="15">
      <c r="A24" s="443"/>
      <c r="B24" s="401"/>
      <c r="C24" s="1824"/>
      <c r="D24" s="387"/>
      <c r="E24" s="1756"/>
      <c r="F24" s="387"/>
      <c r="G24" s="1756"/>
      <c r="H24" s="387"/>
      <c r="I24" s="386"/>
      <c r="J24" s="387"/>
      <c r="K24" s="592"/>
      <c r="L24" s="2484"/>
      <c r="M24" s="2436"/>
      <c r="N24" s="2436"/>
      <c r="O24" s="2536"/>
      <c r="P24" s="3375"/>
      <c r="Q24" s="530"/>
      <c r="R24" s="664"/>
      <c r="S24" s="665"/>
      <c r="T24" s="664"/>
      <c r="U24" s="665"/>
      <c r="V24" s="664"/>
      <c r="W24" s="665"/>
      <c r="X24" s="666"/>
      <c r="Y24" s="3375"/>
      <c r="Z24" s="50"/>
      <c r="AA24" s="50">
        <v>1</v>
      </c>
      <c r="AB24" s="50">
        <v>1</v>
      </c>
      <c r="AC24" s="50">
        <v>1</v>
      </c>
    </row>
    <row r="25" spans="1:29" s="102" customFormat="1" ht="41.4">
      <c r="A25" s="443"/>
      <c r="B25" s="557" t="s">
        <v>1779</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4"/>
      <c r="M25" s="2436"/>
      <c r="N25" s="2436"/>
      <c r="O25" s="2536"/>
      <c r="P25" s="3375"/>
      <c r="Q25" s="530" t="str">
        <f t="shared" ref="Q25" si="9">B25</f>
        <v>基础设施水平</v>
      </c>
      <c r="R25" s="664" t="s">
        <v>14</v>
      </c>
      <c r="S25" s="665">
        <f>F25</f>
        <v>100</v>
      </c>
      <c r="T25" s="664" t="s">
        <v>14</v>
      </c>
      <c r="U25" s="665">
        <f>H25</f>
        <v>100</v>
      </c>
      <c r="V25" s="664" t="s">
        <v>14</v>
      </c>
      <c r="W25" s="665">
        <f>J25</f>
        <v>100</v>
      </c>
      <c r="X25" s="666"/>
      <c r="Y25" s="3375"/>
      <c r="Z25" s="50" t="str">
        <f>Q25</f>
        <v>基础设施水平</v>
      </c>
      <c r="AA25" s="1262">
        <f>D25/F25</f>
        <v>1</v>
      </c>
      <c r="AB25" s="1262">
        <f>D25/H25</f>
        <v>1</v>
      </c>
      <c r="AC25" s="1262">
        <f>D25/J25</f>
        <v>1</v>
      </c>
    </row>
    <row r="26" spans="1:29" s="102" customFormat="1" ht="15">
      <c r="A26" s="443"/>
      <c r="B26" s="401"/>
      <c r="C26" s="1824"/>
      <c r="D26" s="387"/>
      <c r="E26" s="1825"/>
      <c r="F26" s="387"/>
      <c r="G26" s="1825"/>
      <c r="H26" s="387"/>
      <c r="I26" s="1825"/>
      <c r="J26" s="387"/>
      <c r="K26" s="592"/>
      <c r="L26" s="2484"/>
      <c r="M26" s="2436"/>
      <c r="N26" s="2436"/>
      <c r="O26" s="2536"/>
      <c r="P26" s="3375"/>
      <c r="Q26" s="530"/>
      <c r="R26" s="664"/>
      <c r="S26" s="665"/>
      <c r="T26" s="664"/>
      <c r="U26" s="665"/>
      <c r="V26" s="664"/>
      <c r="W26" s="665"/>
      <c r="X26" s="666"/>
      <c r="Y26" s="337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375"/>
      <c r="Q27" s="1261" t="str">
        <f t="shared" si="8"/>
        <v>临街状况</v>
      </c>
      <c r="R27" s="667" t="s">
        <v>14</v>
      </c>
      <c r="S27" s="668">
        <f t="shared" ref="S27:S40" si="10">F27</f>
        <v>100</v>
      </c>
      <c r="T27" s="667" t="s">
        <v>14</v>
      </c>
      <c r="U27" s="668">
        <f t="shared" ref="U27:U40" si="11">H27</f>
        <v>100</v>
      </c>
      <c r="V27" s="667" t="s">
        <v>14</v>
      </c>
      <c r="W27" s="668">
        <f t="shared" ref="W27:W40" si="12">J27</f>
        <v>100</v>
      </c>
      <c r="X27" s="1263"/>
      <c r="Y27" s="3375"/>
      <c r="Z27" s="1262" t="str">
        <f t="shared" ref="Z27:Z40" si="13">Q27</f>
        <v>临街状况</v>
      </c>
      <c r="AA27" s="1262">
        <f t="shared" si="3"/>
        <v>1</v>
      </c>
      <c r="AB27" s="1262">
        <f t="shared" si="4"/>
        <v>1</v>
      </c>
      <c r="AC27" s="1262">
        <f t="shared" si="5"/>
        <v>1</v>
      </c>
    </row>
    <row r="28" spans="1:29" ht="28.8">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375"/>
      <c r="Q28" s="1261" t="str">
        <f t="shared" si="8"/>
        <v>毗邻道路的类型与等级</v>
      </c>
      <c r="R28" s="667" t="s">
        <v>14</v>
      </c>
      <c r="S28" s="668">
        <f t="shared" si="10"/>
        <v>100</v>
      </c>
      <c r="T28" s="667" t="s">
        <v>14</v>
      </c>
      <c r="U28" s="668">
        <f t="shared" si="11"/>
        <v>100</v>
      </c>
      <c r="V28" s="667" t="s">
        <v>14</v>
      </c>
      <c r="W28" s="668">
        <f t="shared" si="12"/>
        <v>100</v>
      </c>
      <c r="X28" s="1263"/>
      <c r="Y28" s="3375"/>
      <c r="Z28" s="1262" t="str">
        <f t="shared" si="13"/>
        <v>毗邻道路的类型与等级</v>
      </c>
      <c r="AA28" s="1262">
        <f t="shared" si="3"/>
        <v>1</v>
      </c>
      <c r="AB28" s="1262">
        <f t="shared" si="4"/>
        <v>1</v>
      </c>
      <c r="AC28" s="1262">
        <f t="shared" si="5"/>
        <v>1</v>
      </c>
    </row>
    <row r="29" spans="1:29" ht="15">
      <c r="A29" s="367"/>
      <c r="B29" s="401"/>
      <c r="C29" s="386"/>
      <c r="D29" s="387"/>
      <c r="E29" s="1756"/>
      <c r="F29" s="387"/>
      <c r="G29" s="1756"/>
      <c r="H29" s="387"/>
      <c r="I29" s="1756"/>
      <c r="J29" s="387"/>
      <c r="K29" s="539"/>
      <c r="L29" s="2488"/>
      <c r="M29" s="2483"/>
      <c r="N29" s="2483"/>
      <c r="O29" s="2538"/>
      <c r="P29" s="3375"/>
      <c r="Q29" s="1261"/>
      <c r="R29" s="667"/>
      <c r="S29" s="668"/>
      <c r="T29" s="667"/>
      <c r="U29" s="668"/>
      <c r="V29" s="667"/>
      <c r="W29" s="668"/>
      <c r="X29" s="1263"/>
      <c r="Y29" s="3375"/>
      <c r="Z29" s="1262"/>
      <c r="AA29" s="1262">
        <v>1</v>
      </c>
      <c r="AB29" s="1262">
        <v>1</v>
      </c>
      <c r="AC29" s="1262">
        <v>1</v>
      </c>
    </row>
    <row r="30" spans="1:29" ht="15">
      <c r="A30" s="367"/>
      <c r="B30" s="119" t="s">
        <v>1873</v>
      </c>
      <c r="C30" s="1067">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375"/>
      <c r="Q30" s="1261" t="str">
        <f t="shared" si="8"/>
        <v>土地级别</v>
      </c>
      <c r="R30" s="667" t="s">
        <v>14</v>
      </c>
      <c r="S30" s="668">
        <f t="shared" si="10"/>
        <v>100</v>
      </c>
      <c r="T30" s="667" t="s">
        <v>14</v>
      </c>
      <c r="U30" s="668">
        <f t="shared" si="11"/>
        <v>100</v>
      </c>
      <c r="V30" s="667" t="s">
        <v>14</v>
      </c>
      <c r="W30" s="668">
        <f t="shared" si="12"/>
        <v>100</v>
      </c>
      <c r="X30" s="1263"/>
      <c r="Y30" s="3375"/>
      <c r="Z30" s="1262" t="str">
        <f t="shared" si="13"/>
        <v>土地级别</v>
      </c>
      <c r="AA30" s="1262">
        <f t="shared" si="3"/>
        <v>1</v>
      </c>
      <c r="AB30" s="1262">
        <f t="shared" si="4"/>
        <v>1</v>
      </c>
      <c r="AC30" s="1262">
        <f t="shared" si="5"/>
        <v>1</v>
      </c>
    </row>
    <row r="31" spans="1:29" ht="15">
      <c r="A31" s="348"/>
      <c r="B31" s="1097">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375"/>
      <c r="Q31" s="1261">
        <f t="shared" si="8"/>
        <v>111</v>
      </c>
      <c r="R31" s="667" t="s">
        <v>14</v>
      </c>
      <c r="S31" s="668">
        <f t="shared" si="10"/>
        <v>100</v>
      </c>
      <c r="T31" s="667" t="s">
        <v>14</v>
      </c>
      <c r="U31" s="668">
        <f t="shared" si="11"/>
        <v>100</v>
      </c>
      <c r="V31" s="667" t="s">
        <v>14</v>
      </c>
      <c r="W31" s="668">
        <f t="shared" si="12"/>
        <v>100</v>
      </c>
      <c r="X31" s="1263"/>
      <c r="Y31" s="3375"/>
      <c r="Z31" s="1262">
        <f t="shared" si="13"/>
        <v>111</v>
      </c>
      <c r="AA31" s="1262">
        <f t="shared" si="3"/>
        <v>1</v>
      </c>
      <c r="AB31" s="1262">
        <f t="shared" si="4"/>
        <v>1</v>
      </c>
      <c r="AC31" s="1262">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461" t="s">
        <v>1696</v>
      </c>
      <c r="Q32" s="1261">
        <f t="shared" si="8"/>
        <v>111</v>
      </c>
      <c r="R32" s="667" t="s">
        <v>14</v>
      </c>
      <c r="S32" s="668">
        <f t="shared" si="10"/>
        <v>100</v>
      </c>
      <c r="T32" s="667" t="s">
        <v>14</v>
      </c>
      <c r="U32" s="668">
        <f t="shared" si="11"/>
        <v>100</v>
      </c>
      <c r="V32" s="667" t="s">
        <v>14</v>
      </c>
      <c r="W32" s="668">
        <f t="shared" si="12"/>
        <v>100</v>
      </c>
      <c r="X32" s="1263"/>
      <c r="Y32" s="3379" t="s">
        <v>1696</v>
      </c>
      <c r="Z32" s="1262">
        <f t="shared" si="13"/>
        <v>111</v>
      </c>
      <c r="AA32" s="1262">
        <f t="shared" si="3"/>
        <v>1</v>
      </c>
      <c r="AB32" s="1262">
        <f t="shared" si="4"/>
        <v>1</v>
      </c>
      <c r="AC32" s="1262">
        <f t="shared" si="5"/>
        <v>1</v>
      </c>
    </row>
    <row r="33" spans="1:31" s="408" customFormat="1" ht="15.6"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379"/>
      <c r="Q33" s="1261">
        <f t="shared" si="8"/>
        <v>111</v>
      </c>
      <c r="R33" s="669" t="s">
        <v>14</v>
      </c>
      <c r="S33" s="670">
        <f t="shared" si="10"/>
        <v>100</v>
      </c>
      <c r="T33" s="669" t="s">
        <v>14</v>
      </c>
      <c r="U33" s="670">
        <f t="shared" si="11"/>
        <v>100</v>
      </c>
      <c r="V33" s="669" t="s">
        <v>14</v>
      </c>
      <c r="W33" s="670">
        <f t="shared" si="12"/>
        <v>100</v>
      </c>
      <c r="X33" s="671"/>
      <c r="Y33" s="3379"/>
      <c r="Z33" s="672">
        <f t="shared" si="13"/>
        <v>111</v>
      </c>
      <c r="AA33" s="1262">
        <f t="shared" si="3"/>
        <v>1</v>
      </c>
      <c r="AB33" s="1262">
        <f t="shared" si="4"/>
        <v>1</v>
      </c>
      <c r="AC33" s="1262">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379"/>
      <c r="Q34" s="1261" t="str">
        <f>B34</f>
        <v>宗地面积</v>
      </c>
      <c r="R34" s="667" t="s">
        <v>14</v>
      </c>
      <c r="S34" s="668" t="e">
        <f t="shared" si="10"/>
        <v>#N/A</v>
      </c>
      <c r="T34" s="667" t="s">
        <v>14</v>
      </c>
      <c r="U34" s="668" t="e">
        <f t="shared" si="11"/>
        <v>#N/A</v>
      </c>
      <c r="V34" s="667" t="s">
        <v>14</v>
      </c>
      <c r="W34" s="668" t="e">
        <f t="shared" si="12"/>
        <v>#N/A</v>
      </c>
      <c r="X34" s="1263"/>
      <c r="Y34" s="3379"/>
      <c r="Z34" s="1262" t="str">
        <f t="shared" si="13"/>
        <v>宗地面积</v>
      </c>
      <c r="AA34" s="1262" t="e">
        <f t="shared" si="3"/>
        <v>#N/A</v>
      </c>
      <c r="AB34" s="1262" t="e">
        <f t="shared" si="4"/>
        <v>#N/A</v>
      </c>
      <c r="AC34" s="1262" t="e">
        <f t="shared" si="5"/>
        <v>#N/A</v>
      </c>
    </row>
    <row r="35" spans="1:31" ht="15">
      <c r="A35" s="409"/>
      <c r="B35" s="364" t="s">
        <v>1875</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88"/>
      <c r="M35" s="2483"/>
      <c r="N35" s="2483"/>
      <c r="O35" s="2538"/>
      <c r="P35" s="3379"/>
      <c r="Q35" s="1261" t="str">
        <f t="shared" ref="Q35:Q40" si="14">B35</f>
        <v>宗地形状</v>
      </c>
      <c r="R35" s="667" t="s">
        <v>14</v>
      </c>
      <c r="S35" s="668">
        <f t="shared" si="10"/>
        <v>100</v>
      </c>
      <c r="T35" s="667" t="s">
        <v>14</v>
      </c>
      <c r="U35" s="668">
        <f t="shared" si="11"/>
        <v>100</v>
      </c>
      <c r="V35" s="667" t="s">
        <v>14</v>
      </c>
      <c r="W35" s="668">
        <f t="shared" si="12"/>
        <v>100</v>
      </c>
      <c r="X35" s="1263"/>
      <c r="Y35" s="3379"/>
      <c r="Z35" s="1262" t="str">
        <f t="shared" si="13"/>
        <v>宗地形状</v>
      </c>
      <c r="AA35" s="1262">
        <f t="shared" si="3"/>
        <v>1</v>
      </c>
      <c r="AB35" s="1262">
        <f t="shared" si="4"/>
        <v>1</v>
      </c>
      <c r="AC35" s="1262">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4"/>
      <c r="M36" s="2436"/>
      <c r="N36" s="2436"/>
      <c r="O36" s="2536"/>
      <c r="P36" s="3379"/>
      <c r="Q36" s="1261" t="str">
        <f t="shared" si="14"/>
        <v>宗地开发程度</v>
      </c>
      <c r="R36" s="664" t="s">
        <v>14</v>
      </c>
      <c r="S36" s="665">
        <f t="shared" si="10"/>
        <v>100</v>
      </c>
      <c r="T36" s="664" t="s">
        <v>14</v>
      </c>
      <c r="U36" s="665">
        <f t="shared" si="11"/>
        <v>100</v>
      </c>
      <c r="V36" s="664" t="s">
        <v>14</v>
      </c>
      <c r="W36" s="665">
        <f t="shared" si="12"/>
        <v>100</v>
      </c>
      <c r="X36" s="666"/>
      <c r="Y36" s="3379"/>
      <c r="Z36" s="50" t="str">
        <f t="shared" si="13"/>
        <v>宗地开发程度</v>
      </c>
      <c r="AA36" s="50">
        <f t="shared" si="3"/>
        <v>1</v>
      </c>
      <c r="AB36" s="50">
        <f t="shared" si="4"/>
        <v>1</v>
      </c>
      <c r="AC36" s="50">
        <f t="shared" si="5"/>
        <v>1</v>
      </c>
    </row>
    <row r="37" spans="1:31" ht="15">
      <c r="A37" s="409"/>
      <c r="B37" s="364" t="s">
        <v>1878</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88"/>
      <c r="M37" s="2483"/>
      <c r="N37" s="2483"/>
      <c r="O37" s="2538"/>
      <c r="P37" s="3379" t="s">
        <v>1696</v>
      </c>
      <c r="Q37" s="1261" t="str">
        <f t="shared" si="14"/>
        <v>工程地质条件</v>
      </c>
      <c r="R37" s="667" t="s">
        <v>14</v>
      </c>
      <c r="S37" s="668">
        <f t="shared" si="10"/>
        <v>100</v>
      </c>
      <c r="T37" s="667" t="s">
        <v>14</v>
      </c>
      <c r="U37" s="668">
        <f t="shared" si="11"/>
        <v>100</v>
      </c>
      <c r="V37" s="667" t="s">
        <v>14</v>
      </c>
      <c r="W37" s="668">
        <f t="shared" si="12"/>
        <v>100</v>
      </c>
      <c r="X37" s="1263"/>
      <c r="Y37" s="3379" t="s">
        <v>1696</v>
      </c>
      <c r="Z37" s="1262" t="str">
        <f t="shared" si="13"/>
        <v>工程地质条件</v>
      </c>
      <c r="AA37" s="1262">
        <f t="shared" si="3"/>
        <v>1</v>
      </c>
      <c r="AB37" s="1262">
        <f t="shared" si="4"/>
        <v>1</v>
      </c>
      <c r="AC37" s="1262">
        <f t="shared" si="5"/>
        <v>1</v>
      </c>
    </row>
    <row r="38" spans="1:31" ht="15">
      <c r="A38" s="409"/>
      <c r="B38" s="1065">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379"/>
      <c r="Q38" s="1261">
        <f t="shared" si="14"/>
        <v>111</v>
      </c>
      <c r="R38" s="667" t="s">
        <v>14</v>
      </c>
      <c r="S38" s="668">
        <f t="shared" si="10"/>
        <v>100</v>
      </c>
      <c r="T38" s="667" t="s">
        <v>14</v>
      </c>
      <c r="U38" s="668">
        <f t="shared" si="11"/>
        <v>100</v>
      </c>
      <c r="V38" s="667" t="s">
        <v>14</v>
      </c>
      <c r="W38" s="668">
        <f t="shared" si="12"/>
        <v>100</v>
      </c>
      <c r="X38" s="1263"/>
      <c r="Y38" s="3379"/>
      <c r="Z38" s="1262">
        <f t="shared" si="13"/>
        <v>111</v>
      </c>
      <c r="AA38" s="1262">
        <f t="shared" si="3"/>
        <v>1</v>
      </c>
      <c r="AB38" s="1262">
        <f t="shared" si="4"/>
        <v>1</v>
      </c>
      <c r="AC38" s="1262">
        <f t="shared" si="5"/>
        <v>1</v>
      </c>
    </row>
    <row r="39" spans="1:31" ht="15">
      <c r="A39" s="409"/>
      <c r="B39" s="1065">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379"/>
      <c r="Q39" s="1261">
        <f t="shared" si="14"/>
        <v>111</v>
      </c>
      <c r="R39" s="667" t="s">
        <v>14</v>
      </c>
      <c r="S39" s="668">
        <f t="shared" si="10"/>
        <v>100</v>
      </c>
      <c r="T39" s="667" t="s">
        <v>14</v>
      </c>
      <c r="U39" s="668">
        <f t="shared" si="11"/>
        <v>100</v>
      </c>
      <c r="V39" s="667" t="s">
        <v>14</v>
      </c>
      <c r="W39" s="668">
        <f t="shared" si="12"/>
        <v>100</v>
      </c>
      <c r="X39" s="1263"/>
      <c r="Y39" s="3379"/>
      <c r="Z39" s="1262">
        <f t="shared" si="13"/>
        <v>111</v>
      </c>
      <c r="AA39" s="1262">
        <f t="shared" si="3"/>
        <v>1</v>
      </c>
      <c r="AB39" s="1262">
        <f t="shared" si="4"/>
        <v>1</v>
      </c>
      <c r="AC39" s="1262">
        <f t="shared" si="5"/>
        <v>1</v>
      </c>
    </row>
    <row r="40" spans="1:31" s="408" customFormat="1" ht="15.6" thickBot="1">
      <c r="A40" s="406"/>
      <c r="B40" s="1065">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379"/>
      <c r="Q40" s="1261">
        <f t="shared" si="14"/>
        <v>111</v>
      </c>
      <c r="R40" s="669" t="s">
        <v>14</v>
      </c>
      <c r="S40" s="670">
        <f t="shared" si="10"/>
        <v>100</v>
      </c>
      <c r="T40" s="669" t="s">
        <v>14</v>
      </c>
      <c r="U40" s="670">
        <f t="shared" si="11"/>
        <v>100</v>
      </c>
      <c r="V40" s="669" t="s">
        <v>14</v>
      </c>
      <c r="W40" s="670">
        <f t="shared" si="12"/>
        <v>100</v>
      </c>
      <c r="X40" s="671"/>
      <c r="Y40" s="3379"/>
      <c r="Z40" s="672">
        <f t="shared" si="13"/>
        <v>111</v>
      </c>
      <c r="AA40" s="1262">
        <f t="shared" si="3"/>
        <v>1</v>
      </c>
      <c r="AB40" s="1262">
        <f t="shared" si="4"/>
        <v>1</v>
      </c>
      <c r="AC40" s="1262">
        <f t="shared" si="5"/>
        <v>1</v>
      </c>
    </row>
    <row r="41" spans="1:31" ht="14.4">
      <c r="A41" s="416" t="s">
        <v>1844</v>
      </c>
      <c r="B41" s="1828" t="s">
        <v>1922</v>
      </c>
      <c r="C41" s="602" t="s">
        <v>0</v>
      </c>
      <c r="D41" s="418"/>
      <c r="E41" s="419"/>
      <c r="F41" s="420"/>
      <c r="G41" s="421"/>
      <c r="H41" s="422"/>
      <c r="I41" s="419"/>
      <c r="J41" s="422"/>
      <c r="K41" s="674"/>
      <c r="L41" s="2490"/>
      <c r="M41" s="2483"/>
      <c r="N41" s="2483"/>
      <c r="O41" s="2483"/>
      <c r="P41" s="3367" t="str">
        <f>A41</f>
        <v>成交单价</v>
      </c>
      <c r="Q41" s="3367"/>
      <c r="R41" s="3368">
        <f>E41</f>
        <v>0</v>
      </c>
      <c r="S41" s="3368"/>
      <c r="T41" s="3368">
        <f>G41</f>
        <v>0</v>
      </c>
      <c r="U41" s="3368"/>
      <c r="V41" s="3368">
        <f>I41</f>
        <v>0</v>
      </c>
      <c r="W41" s="3368"/>
      <c r="X41" s="385"/>
      <c r="Y41" s="673"/>
      <c r="Z41" s="385"/>
      <c r="AA41" s="385"/>
      <c r="AB41" s="385"/>
      <c r="AC41" s="385"/>
    </row>
    <row r="42" spans="1:31" ht="15" thickBot="1">
      <c r="A42" s="423" t="s">
        <v>1793</v>
      </c>
      <c r="B42" s="603"/>
      <c r="C42" s="426" t="e">
        <f>R43</f>
        <v>#DIV/0!</v>
      </c>
      <c r="D42" s="2138" t="s">
        <v>2133</v>
      </c>
      <c r="E42" s="426" t="e">
        <f>R42</f>
        <v>#DIV/0!</v>
      </c>
      <c r="F42" s="2139"/>
      <c r="G42" s="425" t="e">
        <f>T42</f>
        <v>#DIV/0!</v>
      </c>
      <c r="H42" s="2139"/>
      <c r="I42" s="426" t="e">
        <f>V42</f>
        <v>#DIV/0!</v>
      </c>
      <c r="J42" s="2139"/>
      <c r="K42" s="2141">
        <f>F42+H42+J42</f>
        <v>0</v>
      </c>
      <c r="L42" s="2490"/>
      <c r="M42" s="2483"/>
      <c r="N42" s="2483"/>
      <c r="O42" s="2483"/>
      <c r="P42" s="3367" t="str">
        <f>A42</f>
        <v>比较价值（元/平方米）</v>
      </c>
      <c r="Q42" s="3367"/>
      <c r="R42" s="3463" t="e">
        <f>ROUND(PRODUCT(R41,AA7:AA40),0)</f>
        <v>#DIV/0!</v>
      </c>
      <c r="S42" s="3463"/>
      <c r="T42" s="3463" t="e">
        <f>ROUND(PRODUCT(T41,AB7:AB40),0)</f>
        <v>#DIV/0!</v>
      </c>
      <c r="U42" s="3463"/>
      <c r="V42" s="3463" t="e">
        <f>ROUND(PRODUCT(V41,AC7:AC40),0)</f>
        <v>#DIV/0!</v>
      </c>
      <c r="W42" s="3463"/>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0"/>
      <c r="M43" s="2483"/>
      <c r="N43" s="2483"/>
      <c r="O43" s="2483"/>
      <c r="P43" s="3369" t="str">
        <f>A43</f>
        <v>估价对象XX用房的比较价值（楼面单价，元/平方米）</v>
      </c>
      <c r="Q43" s="3370"/>
      <c r="R43" s="3464" t="e">
        <f>ROUND(IF(D42="简单平均",AVERAGE(R42:W42),R42*F42+T42*H42+V42*J42),0)</f>
        <v>#DIV/0!</v>
      </c>
      <c r="S43" s="3464"/>
      <c r="T43" s="3464"/>
      <c r="U43" s="3464"/>
      <c r="V43" s="3464"/>
      <c r="W43" s="3464"/>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4.4" thickBot="1">
      <c r="A49" s="2493"/>
      <c r="B49" s="2496"/>
      <c r="C49" s="657"/>
      <c r="D49" s="655"/>
      <c r="E49" s="655"/>
      <c r="F49" s="655"/>
      <c r="G49" s="655"/>
      <c r="H49" s="655"/>
      <c r="I49" s="655"/>
      <c r="J49" s="655"/>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8.8">
      <c r="A50" s="604" t="s">
        <v>1881</v>
      </c>
      <c r="B50" s="605" t="s">
        <v>1882</v>
      </c>
      <c r="C50" s="1829" t="s">
        <v>1883</v>
      </c>
      <c r="D50" s="1830" t="s">
        <v>1884</v>
      </c>
      <c r="E50" s="606" t="s">
        <v>1885</v>
      </c>
      <c r="F50" s="607" t="s">
        <v>1886</v>
      </c>
      <c r="G50" s="3385" t="s">
        <v>1887</v>
      </c>
      <c r="H50" s="3465"/>
      <c r="I50" s="1262" t="s">
        <v>1923</v>
      </c>
      <c r="J50" s="1262">
        <f>项目基本情况!F35</f>
        <v>0</v>
      </c>
      <c r="K50" s="1832"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1890</v>
      </c>
      <c r="B51" s="609" t="e">
        <f>C43</f>
        <v>#DIV/0!</v>
      </c>
      <c r="C51" s="610">
        <v>1</v>
      </c>
      <c r="D51" s="888">
        <v>1</v>
      </c>
      <c r="E51" s="610">
        <f>'数据-汇总表'!E8+'数据-汇总表'!E9</f>
        <v>245.74</v>
      </c>
      <c r="F51" s="611" t="e">
        <f t="shared" ref="F51:F60" si="15">ROUND(B51*E51/10000,0)</f>
        <v>#DIV/0!</v>
      </c>
      <c r="G51" s="3381"/>
      <c r="H51" s="3367"/>
      <c r="I51" s="727">
        <v>1</v>
      </c>
      <c r="J51" s="727">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1891</v>
      </c>
      <c r="B52" s="210" t="e">
        <f>ROUND($C$43*C52*D52,0)</f>
        <v>#DIV/0!</v>
      </c>
      <c r="C52" s="163">
        <f t="shared" ref="C52:C60" si="16">IF($C$50="北京市系数",I52,J52)</f>
        <v>0.6</v>
      </c>
      <c r="D52" s="889">
        <v>0.25</v>
      </c>
      <c r="E52" s="614"/>
      <c r="F52" s="611" t="e">
        <f t="shared" si="15"/>
        <v>#DIV/0!</v>
      </c>
      <c r="G52" s="2746" t="s">
        <v>1892</v>
      </c>
      <c r="H52" s="834" t="str">
        <f>项目基本情况!B37</f>
        <v>六级</v>
      </c>
      <c r="I52" s="727">
        <f>SUMIF(修正!A57:A68,H52,修正!B57:B68)</f>
        <v>0.6</v>
      </c>
      <c r="J52" s="728"/>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1893</v>
      </c>
      <c r="B53" s="210" t="e">
        <f t="shared" ref="B53:B60" si="17">ROUND($C$43*C53*D53,0)</f>
        <v>#DIV/0!</v>
      </c>
      <c r="C53" s="163">
        <f t="shared" si="16"/>
        <v>0.3</v>
      </c>
      <c r="D53" s="889">
        <v>0.25</v>
      </c>
      <c r="E53" s="614"/>
      <c r="F53" s="611" t="e">
        <f t="shared" si="15"/>
        <v>#DIV/0!</v>
      </c>
      <c r="G53" s="2747"/>
      <c r="H53" s="834" t="str">
        <f>项目基本情况!B37</f>
        <v>六级</v>
      </c>
      <c r="I53" s="727">
        <f>SUMIF(修正!A57:A68,H53,修正!C57:C68)</f>
        <v>0.3</v>
      </c>
      <c r="J53" s="728"/>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1894</v>
      </c>
      <c r="B54" s="210" t="e">
        <f t="shared" si="17"/>
        <v>#DIV/0!</v>
      </c>
      <c r="C54" s="163">
        <f t="shared" si="16"/>
        <v>0.25</v>
      </c>
      <c r="D54" s="889">
        <v>0.25</v>
      </c>
      <c r="E54" s="614"/>
      <c r="F54" s="611" t="e">
        <f t="shared" si="15"/>
        <v>#DIV/0!</v>
      </c>
      <c r="G54" s="2747"/>
      <c r="H54" s="834" t="str">
        <f>项目基本情况!B37</f>
        <v>六级</v>
      </c>
      <c r="I54" s="727">
        <f>SUMIF(修正!A57:A68,H54,修正!D57:D68)</f>
        <v>0.25</v>
      </c>
      <c r="J54" s="728"/>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89"/>
      <c r="E55" s="614"/>
      <c r="F55" s="611"/>
      <c r="G55" s="2748"/>
      <c r="H55" s="834"/>
      <c r="I55" s="727"/>
      <c r="J55" s="728"/>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1895</v>
      </c>
      <c r="B56" s="210" t="e">
        <f t="shared" si="17"/>
        <v>#DIV/0!</v>
      </c>
      <c r="C56" s="163">
        <f t="shared" si="16"/>
        <v>0</v>
      </c>
      <c r="D56" s="889">
        <v>0.25</v>
      </c>
      <c r="E56" s="209">
        <f>'数据-汇总表'!E11</f>
        <v>0</v>
      </c>
      <c r="F56" s="611" t="e">
        <f t="shared" si="15"/>
        <v>#DIV/0!</v>
      </c>
      <c r="G56" s="1833" t="s">
        <v>1896</v>
      </c>
      <c r="H56" s="834">
        <f>项目基本情况!C37</f>
        <v>0</v>
      </c>
      <c r="I56" s="727">
        <f>SUMIF(修正!A57:A68,H56,修正!E57:E68)</f>
        <v>0</v>
      </c>
      <c r="J56" s="728"/>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1897</v>
      </c>
      <c r="B57" s="210" t="e">
        <f t="shared" si="17"/>
        <v>#DIV/0!</v>
      </c>
      <c r="C57" s="163">
        <f t="shared" si="16"/>
        <v>0</v>
      </c>
      <c r="D57" s="889">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1899</v>
      </c>
      <c r="B58" s="210" t="e">
        <f t="shared" si="17"/>
        <v>#DIV/0!</v>
      </c>
      <c r="C58" s="163">
        <f t="shared" si="16"/>
        <v>0</v>
      </c>
      <c r="D58" s="889">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1901</v>
      </c>
      <c r="B59" s="210" t="e">
        <f t="shared" si="17"/>
        <v>#DIV/0!</v>
      </c>
      <c r="C59" s="163">
        <f t="shared" si="16"/>
        <v>0.15</v>
      </c>
      <c r="D59" s="889">
        <v>0.25</v>
      </c>
      <c r="E59" s="209">
        <f>'数据-汇总表'!E14</f>
        <v>0</v>
      </c>
      <c r="F59" s="611" t="e">
        <f t="shared" si="15"/>
        <v>#DIV/0!</v>
      </c>
      <c r="G59" s="1833" t="s">
        <v>1892</v>
      </c>
      <c r="H59" s="834" t="str">
        <f>项目基本情况!B37</f>
        <v>六级</v>
      </c>
      <c r="I59" s="727">
        <f>SUMIF(修正!A57:A68,H59,修正!G57:G68)</f>
        <v>0.15</v>
      </c>
      <c r="J59" s="728"/>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4.4" thickBot="1">
      <c r="A60" s="613" t="s">
        <v>1902</v>
      </c>
      <c r="B60" s="210" t="e">
        <f t="shared" si="17"/>
        <v>#DIV/0!</v>
      </c>
      <c r="C60" s="163">
        <f t="shared" si="16"/>
        <v>0</v>
      </c>
      <c r="D60" s="889">
        <v>0.25</v>
      </c>
      <c r="E60" s="209">
        <f>'数据-汇总表'!E15</f>
        <v>0</v>
      </c>
      <c r="F60" s="611" t="e">
        <f t="shared" si="15"/>
        <v>#DIV/0!</v>
      </c>
      <c r="G60" s="1834" t="s">
        <v>1896</v>
      </c>
      <c r="H60" s="844">
        <f>项目基本情况!C37</f>
        <v>0</v>
      </c>
      <c r="I60" s="727">
        <f>SUMIF(修正!A57:A68,H60,修正!G57:G68)</f>
        <v>0</v>
      </c>
      <c r="J60" s="728"/>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3"/>
      <c r="H61" s="883"/>
      <c r="I61" s="883"/>
      <c r="J61" s="883"/>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59"/>
      <c r="B62" s="873"/>
      <c r="C62" s="875"/>
      <c r="D62" s="859"/>
      <c r="E62" s="859"/>
      <c r="F62" s="859"/>
      <c r="G62" s="859"/>
      <c r="H62" s="859"/>
      <c r="I62" s="859"/>
      <c r="J62" s="859"/>
      <c r="K62" s="835"/>
      <c r="L62" s="836"/>
      <c r="M62" s="859"/>
      <c r="N62" s="859"/>
      <c r="O62" s="859"/>
      <c r="P62" s="2483"/>
      <c r="Q62" s="2483"/>
      <c r="R62" s="2483"/>
      <c r="S62" s="2483"/>
      <c r="T62" s="2483"/>
      <c r="U62" s="2483"/>
      <c r="V62" s="2483"/>
      <c r="W62" s="2483"/>
      <c r="X62" s="2483"/>
      <c r="Y62" s="2483"/>
      <c r="Z62" s="2483"/>
      <c r="AA62" s="2483"/>
      <c r="AB62" s="2483"/>
      <c r="AC62" s="2483"/>
      <c r="AD62" s="2483"/>
      <c r="AE62" s="2483"/>
    </row>
    <row r="63" spans="1:31">
      <c r="A63" s="859"/>
      <c r="B63" s="873"/>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3"/>
      <c r="Q63" s="2483"/>
      <c r="R63" s="2483"/>
      <c r="S63" s="2483"/>
      <c r="T63" s="2483"/>
      <c r="U63" s="2483"/>
      <c r="V63" s="2483"/>
      <c r="W63" s="2483"/>
      <c r="X63" s="2483"/>
      <c r="Y63" s="2483"/>
      <c r="Z63" s="2483"/>
      <c r="AA63" s="2483"/>
      <c r="AB63" s="2483"/>
      <c r="AC63" s="2483"/>
      <c r="AD63" s="2483"/>
      <c r="AE63" s="2483"/>
    </row>
    <row r="64" spans="1:31" ht="22.2" thickBot="1">
      <c r="A64" s="658" t="s">
        <v>1798</v>
      </c>
      <c r="B64" s="385"/>
      <c r="C64" s="659"/>
      <c r="D64" s="659"/>
      <c r="E64" s="659"/>
      <c r="F64" s="660"/>
      <c r="G64" s="660"/>
      <c r="H64" s="659"/>
      <c r="I64" s="659"/>
      <c r="J64" s="659"/>
      <c r="K64" s="661"/>
      <c r="L64" s="662"/>
      <c r="M64" s="659"/>
      <c r="N64" s="659"/>
      <c r="O64" s="884"/>
      <c r="P64" s="2533"/>
      <c r="Q64" s="2504"/>
      <c r="R64" s="2483"/>
      <c r="S64" s="2483"/>
      <c r="T64" s="2483"/>
      <c r="U64" s="2483"/>
      <c r="V64" s="2483"/>
      <c r="W64" s="2483"/>
      <c r="X64" s="2483"/>
      <c r="Y64" s="2483"/>
      <c r="Z64" s="2483"/>
      <c r="AA64" s="2483"/>
      <c r="AB64" s="2483"/>
      <c r="AC64" s="2483"/>
      <c r="AD64" s="2483"/>
      <c r="AE64" s="2483"/>
    </row>
    <row r="65" spans="1:31" s="442" customFormat="1" ht="14.4">
      <c r="A65" s="1628" t="s">
        <v>1904</v>
      </c>
      <c r="B65" s="1044"/>
      <c r="C65" s="1099" t="str">
        <f>YEAR(C63)&amp;"-"&amp;ROUNDUP(MONTH(C63)/3,0)</f>
        <v>2025-2</v>
      </c>
      <c r="D65" s="1099" t="str">
        <f t="shared" ref="D65:O65" si="19">YEAR(D63)&amp;"-"&amp;ROUNDUP(MONTH(D63)/3,0)</f>
        <v>2025-1</v>
      </c>
      <c r="E65" s="1099" t="str">
        <f t="shared" si="19"/>
        <v>2024-4</v>
      </c>
      <c r="F65" s="1099" t="str">
        <f t="shared" si="19"/>
        <v>2024-3</v>
      </c>
      <c r="G65" s="1099" t="str">
        <f t="shared" si="19"/>
        <v>2024-2</v>
      </c>
      <c r="H65" s="1099" t="str">
        <f t="shared" si="19"/>
        <v>2024-1</v>
      </c>
      <c r="I65" s="1099" t="str">
        <f t="shared" si="19"/>
        <v>2023-4</v>
      </c>
      <c r="J65" s="1099" t="str">
        <f t="shared" si="19"/>
        <v>2023-3</v>
      </c>
      <c r="K65" s="1099" t="str">
        <f t="shared" si="19"/>
        <v>2023-2</v>
      </c>
      <c r="L65" s="1099" t="str">
        <f t="shared" si="19"/>
        <v>2023-1</v>
      </c>
      <c r="M65" s="1099" t="str">
        <f t="shared" si="19"/>
        <v>2022-4</v>
      </c>
      <c r="N65" s="1099" t="str">
        <f t="shared" si="19"/>
        <v>2022-3</v>
      </c>
      <c r="O65" s="1099" t="str">
        <f t="shared" si="19"/>
        <v>2022-2</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4"/>
      <c r="N66" s="1064"/>
      <c r="O66" s="1097"/>
      <c r="P66" s="2504"/>
      <c r="Q66" s="2436"/>
      <c r="R66" s="2436"/>
      <c r="S66" s="2436"/>
      <c r="T66" s="2436"/>
      <c r="U66" s="2436"/>
      <c r="V66" s="2436"/>
      <c r="W66" s="2436"/>
      <c r="X66" s="2436"/>
      <c r="Y66" s="2436"/>
      <c r="Z66" s="2436"/>
      <c r="AA66" s="2436"/>
      <c r="AB66" s="2436"/>
      <c r="AC66" s="2436"/>
      <c r="AD66" s="2436"/>
      <c r="AE66" s="2436"/>
    </row>
    <row r="67" spans="1:31" s="102" customFormat="1" ht="15" thickBot="1">
      <c r="A67" s="449" t="s">
        <v>1716</v>
      </c>
      <c r="B67" s="450"/>
      <c r="C67" s="451"/>
      <c r="D67" s="452"/>
      <c r="E67" s="452"/>
      <c r="F67" s="452"/>
      <c r="G67" s="452"/>
      <c r="H67" s="452"/>
      <c r="I67" s="452"/>
      <c r="J67" s="452"/>
      <c r="K67" s="452"/>
      <c r="L67" s="452"/>
      <c r="M67" s="453"/>
      <c r="N67" s="453"/>
      <c r="O67" s="454"/>
      <c r="P67" s="2504"/>
      <c r="Q67" s="2504"/>
      <c r="R67" s="2436"/>
      <c r="S67" s="2436"/>
      <c r="T67" s="2436"/>
      <c r="U67" s="2436"/>
      <c r="V67" s="2436"/>
      <c r="W67" s="2436"/>
      <c r="X67" s="2436"/>
      <c r="Y67" s="2436"/>
      <c r="Z67" s="2436"/>
      <c r="AA67" s="2436"/>
      <c r="AB67" s="2436"/>
      <c r="AC67" s="2436"/>
      <c r="AD67" s="2436"/>
      <c r="AE67" s="2436"/>
    </row>
    <row r="68" spans="1:31" s="102" customFormat="1" ht="14.4">
      <c r="A68" s="455" t="s">
        <v>1681</v>
      </c>
      <c r="B68" s="444"/>
      <c r="C68" s="456" t="s">
        <v>1776</v>
      </c>
      <c r="D68" s="31"/>
      <c r="E68" s="31"/>
      <c r="F68" s="31"/>
      <c r="G68" s="31"/>
      <c r="H68" s="31"/>
      <c r="I68" s="31"/>
      <c r="J68" s="31"/>
      <c r="K68" s="31"/>
      <c r="L68" s="457"/>
      <c r="M68" s="458"/>
      <c r="N68" s="2516"/>
      <c r="O68" s="2516"/>
      <c r="P68" s="2540"/>
      <c r="Q68" s="2504"/>
      <c r="R68" s="2436"/>
      <c r="S68" s="2436"/>
      <c r="T68" s="2436"/>
      <c r="U68" s="2436"/>
      <c r="V68" s="2436"/>
      <c r="W68" s="2436"/>
      <c r="X68" s="2436"/>
      <c r="Y68" s="2436"/>
      <c r="Z68" s="2436"/>
      <c r="AA68" s="2436"/>
      <c r="AB68" s="2436"/>
      <c r="AC68" s="2436"/>
      <c r="AD68" s="2436"/>
      <c r="AE68" s="2436"/>
    </row>
    <row r="69" spans="1:31" s="102" customFormat="1" ht="14.4" thickBot="1">
      <c r="A69" s="455"/>
      <c r="B69" s="444"/>
      <c r="C69" s="563">
        <v>100</v>
      </c>
      <c r="D69" s="446"/>
      <c r="E69" s="446"/>
      <c r="F69" s="446"/>
      <c r="G69" s="446"/>
      <c r="H69" s="446"/>
      <c r="I69" s="446"/>
      <c r="J69" s="446"/>
      <c r="K69" s="446"/>
      <c r="L69" s="446"/>
      <c r="M69" s="448"/>
      <c r="N69" s="2516"/>
      <c r="O69" s="2516"/>
      <c r="P69" s="2504"/>
      <c r="Q69" s="2504"/>
      <c r="R69" s="2436"/>
      <c r="S69" s="2436"/>
      <c r="T69" s="2436"/>
      <c r="U69" s="2436"/>
      <c r="V69" s="2436"/>
      <c r="W69" s="2436"/>
      <c r="X69" s="2436"/>
      <c r="Y69" s="2436"/>
      <c r="Z69" s="2436"/>
      <c r="AA69" s="2436"/>
      <c r="AB69" s="2436"/>
      <c r="AC69" s="2436"/>
      <c r="AD69" s="2436"/>
      <c r="AE69" s="2436"/>
    </row>
    <row r="70" spans="1:31" ht="14.4">
      <c r="A70" s="379" t="s">
        <v>1719</v>
      </c>
      <c r="B70" s="460" t="s">
        <v>1685</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4.4"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9.4" thickTop="1">
      <c r="A72" s="367"/>
      <c r="B72" s="469" t="s">
        <v>1688</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4.4"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4.4"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4.4"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4.4"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4.4"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4.4"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4.4"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ht="14.4">
      <c r="A83" s="379" t="s">
        <v>1690</v>
      </c>
      <c r="B83" s="460" t="s">
        <v>1829</v>
      </c>
      <c r="C83" s="504" t="s">
        <v>1721</v>
      </c>
      <c r="D83" s="504" t="s">
        <v>1722</v>
      </c>
      <c r="E83" s="504" t="s">
        <v>1723</v>
      </c>
      <c r="F83" s="504" t="s">
        <v>1724</v>
      </c>
      <c r="G83" s="504" t="s">
        <v>1725</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 thickTop="1">
      <c r="A85" s="367"/>
      <c r="B85" s="469" t="s">
        <v>1726</v>
      </c>
      <c r="C85" s="509" t="s">
        <v>1721</v>
      </c>
      <c r="D85" s="509" t="s">
        <v>1722</v>
      </c>
      <c r="E85" s="509" t="s">
        <v>1723</v>
      </c>
      <c r="F85" s="509" t="s">
        <v>1724</v>
      </c>
      <c r="G85" s="509" t="s">
        <v>1725</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6"/>
      <c r="O87" s="2516"/>
      <c r="P87" s="2516"/>
      <c r="Q87" s="2504"/>
      <c r="R87" s="2436"/>
      <c r="S87" s="2436"/>
      <c r="T87" s="2436"/>
      <c r="U87" s="2436"/>
      <c r="V87" s="2436"/>
      <c r="W87" s="2436"/>
      <c r="X87" s="2436"/>
      <c r="Y87" s="2436"/>
      <c r="Z87" s="2436"/>
      <c r="AA87" s="2436"/>
      <c r="AB87" s="2436"/>
      <c r="AC87" s="2436"/>
      <c r="AD87" s="2436"/>
      <c r="AE87" s="2436"/>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6"/>
      <c r="S88" s="2436"/>
      <c r="T88" s="2436"/>
      <c r="U88" s="2436"/>
      <c r="V88" s="2436"/>
      <c r="W88" s="2436"/>
      <c r="X88" s="2436"/>
      <c r="Y88" s="2436"/>
      <c r="Z88" s="2436"/>
      <c r="AA88" s="2436"/>
      <c r="AB88" s="2436"/>
      <c r="AC88" s="2436"/>
      <c r="AD88" s="2436"/>
      <c r="AE88" s="2436"/>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6"/>
      <c r="O89" s="2516"/>
      <c r="P89" s="2516"/>
      <c r="Q89" s="2504"/>
      <c r="R89" s="2436"/>
      <c r="S89" s="2436"/>
      <c r="T89" s="2436"/>
      <c r="U89" s="2436"/>
      <c r="V89" s="2436"/>
      <c r="W89" s="2436"/>
      <c r="X89" s="2436"/>
      <c r="Y89" s="2436"/>
      <c r="Z89" s="2436"/>
      <c r="AA89" s="2436"/>
      <c r="AB89" s="2436"/>
      <c r="AC89" s="2436"/>
      <c r="AD89" s="2436"/>
      <c r="AE89" s="2436"/>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6"/>
      <c r="S90" s="2436"/>
      <c r="T90" s="2436"/>
      <c r="U90" s="2436"/>
      <c r="V90" s="2436"/>
      <c r="W90" s="2436"/>
      <c r="X90" s="2436"/>
      <c r="Y90" s="2436"/>
      <c r="Z90" s="2436"/>
      <c r="AA90" s="2436"/>
      <c r="AB90" s="2436"/>
      <c r="AC90" s="2436"/>
      <c r="AD90" s="2436"/>
      <c r="AE90" s="2436"/>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3"/>
      <c r="N94" s="2519"/>
      <c r="O94" s="2519"/>
      <c r="P94" s="2519"/>
      <c r="Q94" s="2511"/>
      <c r="R94" s="2489"/>
      <c r="S94" s="2489"/>
      <c r="T94" s="2489"/>
      <c r="U94" s="2489"/>
      <c r="V94" s="2489"/>
      <c r="W94" s="2489"/>
      <c r="X94" s="2489"/>
      <c r="Y94" s="2489"/>
      <c r="Z94" s="2489"/>
      <c r="AA94" s="2489"/>
      <c r="AB94" s="2489"/>
      <c r="AC94" s="2489"/>
      <c r="AD94" s="2489"/>
      <c r="AE94" s="2489"/>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9.4" thickTop="1">
      <c r="A97" s="367"/>
      <c r="B97" s="469" t="s">
        <v>1815</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 thickTop="1">
      <c r="A99" s="367"/>
      <c r="B99" s="469" t="s">
        <v>1873</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4.4"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4.4"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4.4"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4.4"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4.4"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4.4"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4" t="str">
        <f t="shared" si="25"/>
        <v>(含)-</v>
      </c>
      <c r="L107" s="1244" t="str">
        <f t="shared" si="25"/>
        <v>(含)-</v>
      </c>
      <c r="M107" s="1245"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4.4"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1914</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1916</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1917</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4.4"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4.4"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4.4"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4.4"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4.4"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4.4"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3" t="s">
        <v>2081</v>
      </c>
      <c r="B1" s="4"/>
      <c r="C1" s="4"/>
      <c r="D1" s="4"/>
      <c r="E1" s="4"/>
      <c r="F1" s="2540"/>
      <c r="G1" s="2540"/>
      <c r="H1" s="2540"/>
      <c r="I1" s="2540"/>
      <c r="J1" s="2540"/>
      <c r="K1" s="2540"/>
      <c r="L1" s="2540"/>
      <c r="M1" s="2540"/>
      <c r="N1" s="2540"/>
      <c r="O1" s="2540"/>
      <c r="P1" s="2540"/>
    </row>
    <row r="2" spans="1:16" ht="15.6">
      <c r="A2" s="1982" t="s">
        <v>2073</v>
      </c>
      <c r="B2" s="2384">
        <f ca="1">SUMIF(B6:B13,"&lt;&gt;#ref!",B6:B13)</f>
        <v>336</v>
      </c>
      <c r="C2" s="1982" t="s">
        <v>2074</v>
      </c>
      <c r="D2" s="1982" t="s">
        <v>2075</v>
      </c>
      <c r="E2" s="2394">
        <f ca="1">SUMIF(E6:E13,"&lt;&gt;#ref!",E6:E13)</f>
        <v>0</v>
      </c>
      <c r="F2" s="2540"/>
      <c r="G2" s="2540"/>
      <c r="H2" s="2540"/>
      <c r="I2" s="2540"/>
      <c r="J2" s="2540"/>
      <c r="K2" s="2540"/>
      <c r="L2" s="2540"/>
      <c r="M2" s="2540"/>
      <c r="N2" s="2540"/>
      <c r="O2" s="2540"/>
      <c r="P2" s="2540"/>
    </row>
    <row r="3" spans="1:16" ht="15.6">
      <c r="A3" s="1982" t="s">
        <v>2076</v>
      </c>
      <c r="B3" s="2384" t="e">
        <f ca="1">ROUND(B2*10000/E2,0)</f>
        <v>#DIV/0!</v>
      </c>
      <c r="C3" s="1982" t="s">
        <v>2082</v>
      </c>
      <c r="D3" s="2540"/>
      <c r="E3" s="2540"/>
      <c r="F3" s="2540"/>
      <c r="G3" s="2540"/>
      <c r="H3" s="2540"/>
      <c r="I3" s="2540"/>
      <c r="J3" s="2540"/>
      <c r="K3" s="2540"/>
      <c r="L3" s="2540"/>
      <c r="M3" s="2540"/>
      <c r="N3" s="2540"/>
      <c r="O3" s="2540"/>
      <c r="P3" s="2540"/>
    </row>
    <row r="4" spans="1:16" ht="15.6">
      <c r="A4" s="2552"/>
      <c r="B4" s="2540"/>
      <c r="C4" s="2540"/>
      <c r="D4" s="2540"/>
      <c r="E4" s="2540"/>
      <c r="F4" s="2540"/>
      <c r="G4" s="2540"/>
      <c r="H4" s="2540"/>
      <c r="I4" s="2540"/>
      <c r="J4" s="2540"/>
      <c r="K4" s="2540"/>
      <c r="L4" s="2540"/>
      <c r="M4" s="2540"/>
      <c r="N4" s="2540"/>
      <c r="O4" s="2540"/>
      <c r="P4" s="2540"/>
    </row>
    <row r="5" spans="1:16" ht="31.2">
      <c r="A5" s="2390" t="s">
        <v>2077</v>
      </c>
      <c r="B5" s="2392" t="s">
        <v>2078</v>
      </c>
      <c r="C5" s="1983"/>
      <c r="D5" s="2540"/>
      <c r="E5" s="2393" t="s">
        <v>2079</v>
      </c>
      <c r="F5" s="2540"/>
      <c r="G5" s="2540"/>
      <c r="H5" s="2540"/>
      <c r="I5" s="2540"/>
      <c r="J5" s="2540"/>
      <c r="K5" s="2540"/>
      <c r="L5" s="2540"/>
      <c r="M5" s="2540"/>
      <c r="N5" s="2540"/>
      <c r="O5" s="2540"/>
      <c r="P5" s="2540"/>
    </row>
    <row r="6" spans="1:16" ht="15.6">
      <c r="A6" s="2391" t="s">
        <v>2080</v>
      </c>
      <c r="B6" s="2384">
        <f ca="1">SUMIF(INDIRECT("'"&amp;A6&amp;"'"&amp;"!A:A"),"总价",INDIRECT("'"&amp;A6&amp;"'"&amp;"!B:B"))</f>
        <v>336</v>
      </c>
      <c r="C6" s="1982" t="s">
        <v>2074</v>
      </c>
      <c r="D6" s="2540"/>
      <c r="E6" s="2394">
        <f ca="1">SUMIF(INDIRECT("'"&amp;A6&amp;"'"&amp;"!C:C"),"建筑面积",INDIRECT("'"&amp;A6&amp;"'"&amp;"!D:D"))</f>
        <v>0</v>
      </c>
      <c r="F6" s="2540"/>
      <c r="G6" s="2540"/>
      <c r="H6" s="2540"/>
      <c r="I6" s="2540"/>
      <c r="J6" s="2540"/>
      <c r="K6" s="2540"/>
      <c r="L6" s="2540"/>
      <c r="M6" s="2540"/>
      <c r="N6" s="2540"/>
      <c r="O6" s="2540"/>
      <c r="P6" s="2540"/>
    </row>
    <row r="7" spans="1:16" ht="15.6">
      <c r="A7" s="2391"/>
      <c r="B7" s="2384" t="e">
        <f ca="1">SUMIF(INDIRECT("'"&amp;A7&amp;"'"&amp;"!A:A"),"总价",INDIRECT("'"&amp;A7&amp;"'"&amp;"!B:B"))</f>
        <v>#REF!</v>
      </c>
      <c r="C7" s="1982" t="s">
        <v>2074</v>
      </c>
      <c r="D7" s="2540"/>
      <c r="E7" s="2394" t="e">
        <f t="shared" ref="E7:E13" ca="1" si="0">SUMIF(INDIRECT("'"&amp;A7&amp;"'"&amp;"!C:C"),"建筑面积",INDIRECT("'"&amp;A7&amp;"'"&amp;"!D:D"))</f>
        <v>#REF!</v>
      </c>
      <c r="F7" s="2540"/>
      <c r="G7" s="2540"/>
      <c r="H7" s="2540"/>
      <c r="I7" s="2540"/>
      <c r="J7" s="2540"/>
      <c r="K7" s="2540"/>
      <c r="L7" s="2540"/>
      <c r="M7" s="2540"/>
      <c r="N7" s="2540"/>
      <c r="O7" s="2540"/>
      <c r="P7" s="2540"/>
    </row>
    <row r="8" spans="1:16" ht="15.6">
      <c r="A8" s="2391"/>
      <c r="B8" s="2384" t="e">
        <f t="shared" ref="B8:B13" ca="1" si="1">SUMIF(INDIRECT("'"&amp;A8&amp;"'"&amp;"!A:A"),"总价",INDIRECT("'"&amp;A8&amp;"'"&amp;"!B:B"))</f>
        <v>#REF!</v>
      </c>
      <c r="C8" s="1982" t="s">
        <v>2074</v>
      </c>
      <c r="D8" s="2540"/>
      <c r="E8" s="2394" t="e">
        <f t="shared" ca="1" si="0"/>
        <v>#REF!</v>
      </c>
      <c r="F8" s="2540"/>
      <c r="G8" s="2540"/>
      <c r="H8" s="2540"/>
      <c r="I8" s="2540"/>
      <c r="J8" s="2540"/>
      <c r="K8" s="2540"/>
      <c r="L8" s="2540"/>
      <c r="M8" s="2540"/>
      <c r="N8" s="2540"/>
      <c r="O8" s="2540"/>
      <c r="P8" s="2540"/>
    </row>
    <row r="9" spans="1:16" ht="15.6">
      <c r="A9" s="2391"/>
      <c r="B9" s="2384" t="e">
        <f t="shared" ca="1" si="1"/>
        <v>#REF!</v>
      </c>
      <c r="C9" s="1982" t="s">
        <v>2074</v>
      </c>
      <c r="D9" s="2540"/>
      <c r="E9" s="2394" t="e">
        <f t="shared" ca="1" si="0"/>
        <v>#REF!</v>
      </c>
      <c r="F9" s="2540"/>
      <c r="G9" s="2540"/>
      <c r="H9" s="2540"/>
      <c r="I9" s="2540"/>
      <c r="J9" s="2540"/>
      <c r="K9" s="2540"/>
      <c r="L9" s="2540"/>
      <c r="M9" s="2540"/>
      <c r="N9" s="2540"/>
      <c r="O9" s="2540"/>
      <c r="P9" s="2540"/>
    </row>
    <row r="10" spans="1:16" ht="15.6">
      <c r="A10" s="2391"/>
      <c r="B10" s="2384" t="e">
        <f t="shared" ca="1" si="1"/>
        <v>#REF!</v>
      </c>
      <c r="C10" s="1982" t="s">
        <v>2074</v>
      </c>
      <c r="D10" s="2540"/>
      <c r="E10" s="2394" t="e">
        <f t="shared" ca="1" si="0"/>
        <v>#REF!</v>
      </c>
      <c r="F10" s="2540"/>
      <c r="G10" s="2540"/>
      <c r="H10" s="2540"/>
      <c r="I10" s="2540"/>
      <c r="J10" s="2540"/>
      <c r="K10" s="2540"/>
      <c r="L10" s="2540"/>
      <c r="M10" s="2540"/>
      <c r="N10" s="2540"/>
      <c r="O10" s="2540"/>
      <c r="P10" s="2540"/>
    </row>
    <row r="11" spans="1:16" ht="15.6">
      <c r="A11" s="2391"/>
      <c r="B11" s="2384" t="e">
        <f t="shared" ca="1" si="1"/>
        <v>#REF!</v>
      </c>
      <c r="C11" s="1982" t="s">
        <v>2074</v>
      </c>
      <c r="D11" s="2540"/>
      <c r="E11" s="2394" t="e">
        <f t="shared" ca="1" si="0"/>
        <v>#REF!</v>
      </c>
      <c r="F11" s="2540"/>
      <c r="G11" s="2540"/>
      <c r="H11" s="2540"/>
      <c r="I11" s="2540"/>
      <c r="J11" s="2540"/>
      <c r="K11" s="2540"/>
      <c r="L11" s="2540"/>
      <c r="M11" s="2540"/>
      <c r="N11" s="2540"/>
      <c r="O11" s="2540"/>
      <c r="P11" s="2540"/>
    </row>
    <row r="12" spans="1:16" ht="15.6">
      <c r="A12" s="2391"/>
      <c r="B12" s="2384" t="e">
        <f t="shared" ca="1" si="1"/>
        <v>#REF!</v>
      </c>
      <c r="C12" s="1982" t="s">
        <v>2074</v>
      </c>
      <c r="D12" s="2540"/>
      <c r="E12" s="2394" t="e">
        <f t="shared" ca="1" si="0"/>
        <v>#REF!</v>
      </c>
      <c r="F12" s="2540"/>
      <c r="G12" s="2540"/>
      <c r="H12" s="2540"/>
      <c r="I12" s="2540"/>
      <c r="J12" s="2540"/>
      <c r="K12" s="2540"/>
      <c r="L12" s="2540"/>
      <c r="M12" s="2540"/>
      <c r="N12" s="2540"/>
      <c r="O12" s="2540"/>
      <c r="P12" s="2540"/>
    </row>
    <row r="13" spans="1:16" ht="15.6">
      <c r="A13" s="2391"/>
      <c r="B13" s="2384" t="e">
        <f t="shared" ca="1" si="1"/>
        <v>#REF!</v>
      </c>
      <c r="C13" s="1982" t="s">
        <v>2074</v>
      </c>
      <c r="D13" s="2540"/>
      <c r="E13" s="2394"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1B127-2305-49BC-A1FE-F245238136BB}">
  <sheetPr>
    <tabColor rgb="FF7030A0"/>
  </sheetPr>
  <dimension ref="A1"/>
  <sheetViews>
    <sheetView workbookViewId="0">
      <selection activeCell="R87" sqref="R87"/>
    </sheetView>
  </sheetViews>
  <sheetFormatPr defaultRowHeight="14.4"/>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L20" sqref="L20"/>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2">
        <v>102</v>
      </c>
      <c r="C1" s="1715" t="s">
        <v>1563</v>
      </c>
      <c r="D1" s="190"/>
      <c r="E1" s="190"/>
      <c r="F1" s="190"/>
      <c r="G1" s="1060">
        <f>MATCH(B1,'数据-取费表'!A6:A16,0)+5</f>
        <v>6</v>
      </c>
      <c r="H1" s="996" t="str">
        <f>IF(ISERROR(FIND("住宅",B1)),"非住宅","住宅")</f>
        <v>非住宅</v>
      </c>
    </row>
    <row r="2" spans="1:8" s="192" customFormat="1" ht="18" customHeight="1">
      <c r="A2" s="193" t="s">
        <v>1462</v>
      </c>
      <c r="B2" s="3118">
        <f ca="1">ROUND(IF(D2="——",C52/10000,C52/10000-E2),4)</f>
        <v>587.86030000000005</v>
      </c>
      <c r="C2" s="191" t="s">
        <v>1463</v>
      </c>
      <c r="D2" s="1709" t="s">
        <v>43</v>
      </c>
      <c r="E2" s="1087" t="e">
        <f ca="1">SUMIF(INDIRECT("'"&amp;G2&amp;"'"&amp;"!A:A"),"承租人权益价值",INDIRECT("'"&amp;G2&amp;"'"&amp;"!c:c"))</f>
        <v>#REF!</v>
      </c>
      <c r="F2" s="1710" t="s">
        <v>1463</v>
      </c>
      <c r="G2" s="1711"/>
    </row>
    <row r="3" spans="1:8" s="192" customFormat="1" ht="18" customHeight="1" thickBot="1">
      <c r="A3" s="195" t="s">
        <v>1464</v>
      </c>
      <c r="B3" s="196">
        <f ca="1">ROUND(B2*10000/(IF(B1="",'数据-汇总表'!E3,INDIRECT("'数据-取费表'!k"&amp;$G$1))),0)</f>
        <v>23922</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3519648</v>
      </c>
      <c r="D5" s="203" t="s">
        <v>1469</v>
      </c>
      <c r="E5" s="204" t="s">
        <v>1470</v>
      </c>
      <c r="F5" s="204" t="s">
        <v>1471</v>
      </c>
      <c r="G5" s="205"/>
    </row>
    <row r="6" spans="1:8" s="206" customFormat="1" ht="13.5" customHeight="1">
      <c r="A6" s="732" t="s">
        <v>1472</v>
      </c>
      <c r="B6" s="207" t="s">
        <v>1473</v>
      </c>
      <c r="C6" s="208">
        <f>ROUND(基准地价修正!U2*基准地价修正!T2+基准地价修正!U3*基准地价修正!T3,0)</f>
        <v>3367783</v>
      </c>
      <c r="D6" s="209"/>
      <c r="E6" s="210"/>
      <c r="F6" s="210"/>
      <c r="G6" s="211"/>
    </row>
    <row r="7" spans="1:8" s="206" customFormat="1" ht="13.5" customHeight="1">
      <c r="A7" s="732" t="s">
        <v>1474</v>
      </c>
      <c r="B7" s="207" t="s">
        <v>1475</v>
      </c>
      <c r="C7" s="212">
        <f>ROUND(C6*F7,0)</f>
        <v>102717</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49148</v>
      </c>
      <c r="D8" s="214"/>
      <c r="E8" s="212"/>
      <c r="F8" s="213"/>
      <c r="G8" s="1712" t="s">
        <v>3452</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49148</v>
      </c>
      <c r="D10" s="795">
        <f ca="1">IF(B1="",'数据-汇总表'!E6,IF(INDIRECT("'数据-取费表'!c"&amp;$G$1)="住宅",INDIRECT("'数据-取费表'!s"&amp;$G$1),INDIRECT("'数据-取费表'!k"&amp;$G$1)+INDIRECT("'数据-取费表'!s"&amp;$G$1)))</f>
        <v>245.74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245.74</v>
      </c>
      <c r="E19" s="203">
        <f>'数据-取费表'!B31</f>
        <v>200</v>
      </c>
      <c r="F19" s="223"/>
      <c r="G19" s="1712" t="s">
        <v>3453</v>
      </c>
    </row>
    <row r="20" spans="1:7" s="206" customFormat="1" ht="13.5" customHeight="1">
      <c r="A20" s="247" t="s">
        <v>1574</v>
      </c>
      <c r="B20" s="202" t="s">
        <v>1575</v>
      </c>
      <c r="C20" s="224">
        <f ca="1">ROUND((C5+C19)*F20,0)</f>
        <v>70393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223783</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221601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2182</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538506</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538506</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4714906</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1100915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982960</v>
      </c>
      <c r="D34" s="209"/>
      <c r="E34" s="212"/>
      <c r="F34" s="249"/>
      <c r="G34" s="211"/>
    </row>
    <row r="35" spans="1:7" ht="13.5" customHeight="1">
      <c r="A35" s="734" t="s">
        <v>351</v>
      </c>
      <c r="B35" s="207" t="s">
        <v>1527</v>
      </c>
      <c r="C35" s="212">
        <f ca="1">ROUND(C34*F35,0)</f>
        <v>49148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49148</v>
      </c>
      <c r="D37" s="209">
        <f ca="1">D19</f>
        <v>245.74</v>
      </c>
      <c r="E37" s="241">
        <f>'数据-取费表'!B35</f>
        <v>200</v>
      </c>
      <c r="F37" s="251"/>
      <c r="G37" s="253"/>
    </row>
    <row r="38" spans="1:7" ht="13.5" customHeight="1">
      <c r="A38" s="734" t="s">
        <v>354</v>
      </c>
      <c r="B38" s="207" t="s">
        <v>1533</v>
      </c>
      <c r="C38" s="212">
        <f ca="1">ROUND(C34*F38,0)</f>
        <v>19659</v>
      </c>
      <c r="D38" s="212"/>
      <c r="E38" s="212"/>
      <c r="F38" s="251">
        <f>'数据-取费表'!B36</f>
        <v>0.02</v>
      </c>
      <c r="G38" s="211" t="s">
        <v>1528</v>
      </c>
    </row>
    <row r="39" spans="1:7" s="206" customFormat="1" ht="13.5" customHeight="1">
      <c r="A39" s="247" t="s">
        <v>1534</v>
      </c>
      <c r="B39" s="202" t="s">
        <v>1535</v>
      </c>
      <c r="C39" s="224">
        <f ca="1">ROUND(C33*F20,0)</f>
        <v>22018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34811</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34128</v>
      </c>
      <c r="D42" s="230"/>
      <c r="E42" s="230"/>
      <c r="F42" s="231"/>
      <c r="G42" s="3364" t="s">
        <v>1591</v>
      </c>
    </row>
    <row r="43" spans="1:7" ht="13.5" customHeight="1">
      <c r="A43" s="734" t="s">
        <v>347</v>
      </c>
      <c r="B43" s="207" t="s">
        <v>1545</v>
      </c>
      <c r="C43" s="230">
        <f ca="1">ROUND(IF('数据-取费表'!B22&lt;=1,C39*F22*'数据-取费表'!B20/2,C39*(POWER((1+F22),'数据-取费表'!B20/2)-1)),0)</f>
        <v>683</v>
      </c>
      <c r="D43" s="230"/>
      <c r="E43" s="230"/>
      <c r="F43" s="231"/>
      <c r="G43" s="3365"/>
    </row>
    <row r="44" spans="1:7" ht="13.5" customHeight="1">
      <c r="A44" s="734" t="s">
        <v>348</v>
      </c>
      <c r="B44" s="207" t="s">
        <v>1546</v>
      </c>
      <c r="C44" s="230">
        <f ca="1">ROUND(IF('数据-取费表'!B22&lt;=1,C40*F22*'数据-取费表'!B20/2,C40*(POWER((1+F22),'数据-取费表'!B20/2)-1)),4)</f>
        <v>5.9999999999999995E-4</v>
      </c>
      <c r="D44" s="230"/>
      <c r="E44" s="230"/>
      <c r="F44" s="231"/>
      <c r="G44" s="3366"/>
    </row>
    <row r="45" spans="1:7" s="206" customFormat="1" ht="13.5" customHeight="1">
      <c r="A45" s="247" t="s">
        <v>1547</v>
      </c>
      <c r="B45" s="236" t="s">
        <v>1513</v>
      </c>
      <c r="C45" s="237">
        <f ca="1">C46</f>
        <v>168440</v>
      </c>
      <c r="D45" s="227">
        <f ca="1">C47</f>
        <v>3.0000000000000001E-3</v>
      </c>
      <c r="E45" s="228" t="s">
        <v>1539</v>
      </c>
      <c r="F45" s="238">
        <f ca="1">F27</f>
        <v>0.15</v>
      </c>
      <c r="G45" s="239" t="s">
        <v>1548</v>
      </c>
    </row>
    <row r="46" spans="1:7" s="206" customFormat="1" ht="13.5" customHeight="1">
      <c r="A46" s="734" t="s">
        <v>346</v>
      </c>
      <c r="B46" s="240" t="s">
        <v>1549</v>
      </c>
      <c r="C46" s="241">
        <f ca="1">ROUND((C33+C39)*F27,0)</f>
        <v>168440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1436663</v>
      </c>
      <c r="D49" s="224"/>
      <c r="E49" s="224"/>
      <c r="F49" s="256"/>
      <c r="G49" s="226" t="s">
        <v>1554</v>
      </c>
    </row>
    <row r="50" spans="1:7" s="250" customFormat="1">
      <c r="A50" s="247" t="s">
        <v>1555</v>
      </c>
      <c r="B50" s="202" t="s">
        <v>1556</v>
      </c>
      <c r="C50" s="224"/>
      <c r="D50" s="224"/>
      <c r="E50" s="224"/>
      <c r="F50" s="256">
        <f>IF('数据-取费表'!B24=0,'数据-取费表'!N16,1)</f>
        <v>0.81</v>
      </c>
      <c r="G50" s="239"/>
    </row>
    <row r="51" spans="1:7" ht="16.5" customHeight="1">
      <c r="A51" s="247" t="s">
        <v>1558</v>
      </c>
      <c r="B51" s="202" t="s">
        <v>1593</v>
      </c>
      <c r="C51" s="224">
        <f ca="1">ROUND(C49*F50,0)</f>
        <v>1163697</v>
      </c>
      <c r="D51" s="224"/>
      <c r="E51" s="224"/>
      <c r="F51" s="256"/>
      <c r="G51" s="226" t="s">
        <v>1560</v>
      </c>
    </row>
    <row r="52" spans="1:7" s="200" customFormat="1" ht="16.8" thickBot="1">
      <c r="A52" s="257" t="s">
        <v>1561</v>
      </c>
      <c r="B52" s="258"/>
      <c r="C52" s="259">
        <f ca="1">C31+C51</f>
        <v>5878603</v>
      </c>
      <c r="D52" s="258"/>
      <c r="E52" s="258"/>
      <c r="F52" s="258"/>
      <c r="G52" s="260"/>
    </row>
    <row r="55" spans="1:7" ht="15">
      <c r="B55" s="262" t="s">
        <v>1562</v>
      </c>
      <c r="C55" s="263"/>
    </row>
    <row r="56" spans="1:7">
      <c r="B56" s="265" t="s">
        <v>802</v>
      </c>
      <c r="C56" s="267">
        <f ca="1">1-C57</f>
        <v>0.80200000000000005</v>
      </c>
    </row>
    <row r="57" spans="1:7">
      <c r="B57" s="265" t="s">
        <v>803</v>
      </c>
      <c r="C57" s="266">
        <f ca="1">ROUND(C51/C52,3)</f>
        <v>0.19800000000000001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8" customWidth="1"/>
    <col min="2" max="2" width="37.21875" style="1388" customWidth="1"/>
    <col min="3" max="3" width="11.33203125" style="1388" customWidth="1"/>
    <col min="4" max="4" width="31.77734375" style="1388" customWidth="1"/>
    <col min="5" max="5" width="0.44140625" style="1388" customWidth="1"/>
    <col min="6" max="7" width="13" style="1388" customWidth="1"/>
    <col min="8" max="16384" width="9" style="1388"/>
  </cols>
  <sheetData>
    <row r="1" spans="1:5" ht="17.399999999999999">
      <c r="A1" s="1387" t="s">
        <v>908</v>
      </c>
    </row>
    <row r="2" spans="1:5" ht="78" customHeight="1">
      <c r="A2" s="31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7"/>
      <c r="C2" s="3187"/>
      <c r="D2" s="3187"/>
      <c r="E2" s="3187"/>
    </row>
    <row r="3" spans="1:5" ht="17.399999999999999">
      <c r="A3" s="3188" t="str">
        <f>IF(项目基本情况!B9="房地产市场价值","估价结果一览表（市场价值不需“结果表-1”）","估价结果一览表")</f>
        <v>估价结果一览表</v>
      </c>
      <c r="B3" s="3188"/>
      <c r="C3" s="3188"/>
      <c r="D3" s="3188"/>
      <c r="E3" s="3188"/>
    </row>
    <row r="4" spans="1:5" ht="18" thickBot="1">
      <c r="A4" s="1389"/>
      <c r="B4" s="3186" t="s">
        <v>917</v>
      </c>
      <c r="C4" s="3186"/>
      <c r="D4" s="3186"/>
      <c r="E4" s="1389"/>
    </row>
    <row r="5" spans="1:5" ht="16.2" thickTop="1">
      <c r="B5" s="3184" t="s">
        <v>909</v>
      </c>
      <c r="C5" s="1390" t="s">
        <v>910</v>
      </c>
      <c r="D5" s="797">
        <f ca="1">结果表!H101</f>
        <v>887</v>
      </c>
    </row>
    <row r="6" spans="1:5" ht="15.6">
      <c r="B6" s="3184"/>
      <c r="C6" s="1390" t="s">
        <v>911</v>
      </c>
      <c r="D6" s="797" t="str">
        <f ca="1">NUMBERSTRING(INT(D5*10000),2)&amp;"元整"</f>
        <v>捌佰捌拾柒万元整</v>
      </c>
    </row>
    <row r="7" spans="1:5" ht="15.6">
      <c r="B7" s="3189"/>
      <c r="C7" s="1391" t="s">
        <v>912</v>
      </c>
      <c r="D7" s="798">
        <f ca="1">结果表!H102</f>
        <v>36113</v>
      </c>
    </row>
    <row r="8" spans="1:5" ht="15.6">
      <c r="B8" s="3190" t="str">
        <f>结果表!E103</f>
        <v>2.估价师知悉的法定优先受偿款</v>
      </c>
      <c r="C8" s="1392" t="s">
        <v>913</v>
      </c>
      <c r="D8" s="798">
        <f>结果表!H103</f>
        <v>0</v>
      </c>
    </row>
    <row r="9" spans="1:5" ht="15.6">
      <c r="B9" s="3192"/>
      <c r="C9" s="1390" t="s">
        <v>911</v>
      </c>
      <c r="D9" s="797" t="str">
        <f>NUMBERSTRING(INT(D8*10000),2)&amp;"元整"</f>
        <v>零元整</v>
      </c>
    </row>
    <row r="10" spans="1:5" ht="15.6">
      <c r="B10" s="1393" t="s">
        <v>916</v>
      </c>
      <c r="C10" s="1394" t="s">
        <v>914</v>
      </c>
      <c r="D10" s="799">
        <f>结果表!H104</f>
        <v>0</v>
      </c>
    </row>
    <row r="11" spans="1:5" ht="15.6">
      <c r="B11" s="1393" t="s">
        <v>918</v>
      </c>
      <c r="C11" s="1394" t="s">
        <v>919</v>
      </c>
      <c r="D11" s="799">
        <f>结果表!H105</f>
        <v>0</v>
      </c>
    </row>
    <row r="12" spans="1:5" ht="15.6">
      <c r="B12" s="1393" t="s">
        <v>920</v>
      </c>
      <c r="C12" s="1394" t="s">
        <v>919</v>
      </c>
      <c r="D12" s="799">
        <f>结果表!H106</f>
        <v>0</v>
      </c>
    </row>
    <row r="13" spans="1:5" ht="15.6">
      <c r="B13" s="3183" t="str">
        <f>结果表!E107</f>
        <v>3.房地产抵押价值</v>
      </c>
      <c r="C13" s="1395" t="s">
        <v>910</v>
      </c>
      <c r="D13" s="800">
        <f ca="1">结果表!H107</f>
        <v>887</v>
      </c>
    </row>
    <row r="14" spans="1:5" ht="15.6">
      <c r="B14" s="3184"/>
      <c r="C14" s="1390" t="s">
        <v>911</v>
      </c>
      <c r="D14" s="797" t="str">
        <f ca="1">NUMBERSTRING(INT(D13*10000),2)&amp;"元整"</f>
        <v>捌佰捌拾柒万元整</v>
      </c>
    </row>
    <row r="15" spans="1:5" ht="15.6">
      <c r="B15" s="3189"/>
      <c r="C15" s="1391" t="s">
        <v>921</v>
      </c>
      <c r="D15" s="806">
        <f ca="1">结果表!H108</f>
        <v>36113</v>
      </c>
    </row>
    <row r="16" spans="1:5" ht="15.6">
      <c r="B16" s="3190" t="str">
        <f>结果表!E109</f>
        <v>——</v>
      </c>
      <c r="C16" s="1395" t="s">
        <v>922</v>
      </c>
      <c r="D16" s="1396" t="str">
        <f>结果表!H109</f>
        <v>——</v>
      </c>
    </row>
    <row r="17" spans="1:5" ht="15.6">
      <c r="B17" s="3191"/>
      <c r="C17" s="1390" t="s">
        <v>923</v>
      </c>
      <c r="D17" s="797" t="e">
        <f>NUMBERSTRING(INT(D16*10000),2)&amp;"元整"</f>
        <v>#VALUE!</v>
      </c>
    </row>
    <row r="18" spans="1:5" ht="15.6">
      <c r="B18" s="3192"/>
      <c r="C18" s="1391" t="s">
        <v>912</v>
      </c>
      <c r="D18" s="806" t="str">
        <f>结果表!H110</f>
        <v>——</v>
      </c>
    </row>
    <row r="19" spans="1:5" ht="15.6">
      <c r="B19" s="3183" t="str">
        <f>结果表!E111</f>
        <v>——</v>
      </c>
      <c r="C19" s="1395" t="s">
        <v>910</v>
      </c>
      <c r="D19" s="798" t="str">
        <f>结果表!H111</f>
        <v>——</v>
      </c>
    </row>
    <row r="20" spans="1:5" ht="15.6">
      <c r="B20" s="3184"/>
      <c r="C20" s="1390" t="s">
        <v>923</v>
      </c>
      <c r="D20" s="797" t="e">
        <f>NUMBERSTRING(INT(D19*10000),2)&amp;"元整"</f>
        <v>#VALUE!</v>
      </c>
    </row>
    <row r="21" spans="1:5" ht="16.2" thickBot="1">
      <c r="B21" s="3185"/>
      <c r="C21" s="1397" t="s">
        <v>921</v>
      </c>
      <c r="D21" s="807" t="str">
        <f>结果表!H112</f>
        <v>——</v>
      </c>
    </row>
    <row r="22" spans="1:5" ht="14.4" thickTop="1">
      <c r="B22" s="1398" t="s">
        <v>924</v>
      </c>
    </row>
    <row r="24" spans="1:5" ht="17.399999999999999">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U4" sqref="U4"/>
    </sheetView>
  </sheetViews>
  <sheetFormatPr defaultColWidth="12" defaultRowHeight="13.2"/>
  <cols>
    <col min="1" max="1" width="9.77734375" style="1893" customWidth="1"/>
    <col min="2" max="2" width="22.44140625" style="1981" customWidth="1"/>
    <col min="3" max="3" width="12" style="1843"/>
    <col min="4" max="4" width="14.88671875" style="1843" customWidth="1"/>
    <col min="5" max="5" width="14.6640625" style="1843" customWidth="1"/>
    <col min="6" max="8" width="12" style="1843"/>
    <col min="9" max="9" width="12.21875" style="1843" bestFit="1" customWidth="1"/>
    <col min="10" max="10" width="12" style="1843"/>
    <col min="11" max="11" width="8.109375" style="1889" customWidth="1"/>
    <col min="12" max="12" width="19.44140625" style="1843" customWidth="1"/>
    <col min="13" max="13" width="8.44140625" style="1843" customWidth="1"/>
    <col min="14" max="14" width="9.77734375" style="1843" customWidth="1"/>
    <col min="15" max="25" width="12" style="1843"/>
    <col min="26" max="26" width="9.33203125" style="1893" customWidth="1"/>
    <col min="27" max="32" width="9.33203125" style="1056" customWidth="1"/>
    <col min="33" max="36" width="9.33203125" style="1893" customWidth="1"/>
    <col min="37" max="38" width="9.33203125" style="1843" customWidth="1"/>
    <col min="39" max="16384" width="12" style="1843"/>
  </cols>
  <sheetData>
    <row r="1" spans="1:36" ht="31.2">
      <c r="A1" s="188" t="s">
        <v>1926</v>
      </c>
      <c r="B1" s="189"/>
      <c r="C1" s="193" t="s">
        <v>1927</v>
      </c>
      <c r="D1" s="333">
        <f>SUM(D33:D34,D37:D42)</f>
        <v>0</v>
      </c>
      <c r="E1" s="1840"/>
      <c r="F1" s="1840"/>
      <c r="G1" s="1840"/>
      <c r="H1" s="1840"/>
      <c r="I1" s="1840"/>
      <c r="J1" s="1840"/>
      <c r="K1" s="1054"/>
      <c r="L1" s="1841" t="s">
        <v>1928</v>
      </c>
      <c r="M1" s="810">
        <f>SUMPRODUCT((区片价!B5:B9=I2)*(区片价!C3:G3=E2)*(区片价!C5:G9))</f>
        <v>0</v>
      </c>
      <c r="N1" s="813">
        <f>SUMPRODUCT((因素修正幅度!B5:B9=I2)*(因素修正幅度!C3:G3=E2)*(因素修正幅度!C5:G9))</f>
        <v>0</v>
      </c>
      <c r="O1" s="1842"/>
      <c r="P1" s="1842"/>
      <c r="Q1" s="1054"/>
      <c r="R1" s="1127" t="s">
        <v>1929</v>
      </c>
      <c r="S1" s="1127" t="s">
        <v>1930</v>
      </c>
      <c r="T1" s="1127" t="s">
        <v>1931</v>
      </c>
      <c r="U1" s="1127" t="s">
        <v>1932</v>
      </c>
      <c r="V1" s="1127" t="s">
        <v>1933</v>
      </c>
      <c r="W1" s="1131"/>
      <c r="X1" s="1131"/>
      <c r="Y1" s="1131"/>
      <c r="Z1" s="1131"/>
      <c r="AA1" s="1131"/>
      <c r="AB1" s="1131"/>
      <c r="AC1" s="1132"/>
      <c r="AD1" s="1133"/>
      <c r="AE1" s="1133"/>
      <c r="AF1" s="1133"/>
      <c r="AG1" s="1133"/>
      <c r="AH1" s="1133"/>
      <c r="AI1" s="1133"/>
      <c r="AJ1" s="1134"/>
    </row>
    <row r="2" spans="1:36" ht="15.6">
      <c r="A2" s="193" t="s">
        <v>1934</v>
      </c>
      <c r="B2" s="196">
        <f>C30</f>
        <v>336</v>
      </c>
      <c r="C2" s="1844" t="s">
        <v>1935</v>
      </c>
      <c r="D2" s="162" t="s">
        <v>1936</v>
      </c>
      <c r="E2" s="3116" t="s">
        <v>673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Ⅵ-08</v>
      </c>
      <c r="J2" s="1840"/>
      <c r="K2" s="1054"/>
      <c r="L2" s="1845" t="s">
        <v>1939</v>
      </c>
      <c r="M2" s="811">
        <f>SUMPRODUCT((区片价!B10:B29=I2)*(区片价!C3:G3=E2)*(区片价!C10:G29))</f>
        <v>0</v>
      </c>
      <c r="N2" s="813">
        <f>SUMPRODUCT((因素修正幅度!B10:B29=I2)*(因素修正幅度!C3:G3=E2)*(因素修正幅度!C10:G29))</f>
        <v>0</v>
      </c>
      <c r="O2" s="1054"/>
      <c r="P2" s="1054"/>
      <c r="Q2" s="1054"/>
      <c r="R2" s="1127">
        <v>1</v>
      </c>
      <c r="S2" s="3059">
        <f>ROUND(SUMPRODUCT((B106:B110=R2)*(C105:N105=G2)*(C106:N110)),4)</f>
        <v>1.5019</v>
      </c>
      <c r="T2" s="3059">
        <f t="shared" ref="T2:T16" si="0">ROUND($C$5*$C$22*$C$23*$C$24*S2*$C$28,0)</f>
        <v>14934</v>
      </c>
      <c r="U2" s="3168">
        <f>信息!B9</f>
        <v>150.23000000000002</v>
      </c>
      <c r="V2" s="3059">
        <f>ROUND(T2*U2/10000,0)</f>
        <v>224</v>
      </c>
      <c r="W2" s="1131"/>
      <c r="X2" s="1131"/>
      <c r="Y2" s="1131"/>
      <c r="Z2" s="1131"/>
      <c r="AA2" s="1131"/>
      <c r="AB2" s="1131"/>
      <c r="AC2" s="1132"/>
      <c r="AD2" s="1133"/>
      <c r="AE2" s="1133"/>
      <c r="AF2" s="1133"/>
      <c r="AG2" s="1133"/>
      <c r="AH2" s="1133"/>
      <c r="AI2" s="1133"/>
      <c r="AJ2" s="1134"/>
    </row>
    <row r="3" spans="1:36" ht="15.6">
      <c r="A3" s="195" t="s">
        <v>1940</v>
      </c>
      <c r="B3" s="196" t="e">
        <f>ROUND(B2*10000/D1,0)</f>
        <v>#DIV/0!</v>
      </c>
      <c r="C3" s="1844" t="s">
        <v>1941</v>
      </c>
      <c r="D3" s="162" t="s">
        <v>1942</v>
      </c>
      <c r="E3" s="3114" t="s">
        <v>2434</v>
      </c>
      <c r="F3" s="1846"/>
      <c r="G3" s="708">
        <f>IF(F3="宗地容积率",'数据-汇总表'!I4,IF(F3="估价对象容积率",'数据-汇总表'!I6,'数据-汇总表'!I7))</f>
        <v>0</v>
      </c>
      <c r="H3" s="162" t="s">
        <v>1943</v>
      </c>
      <c r="I3" s="729"/>
      <c r="J3" s="1840" t="s">
        <v>1944</v>
      </c>
      <c r="K3" s="1054"/>
      <c r="L3" s="1845" t="s">
        <v>1945</v>
      </c>
      <c r="M3" s="811">
        <f>SUMPRODUCT((区片价!B30:B54=I2)*(区片价!C3:G3=E2)*(区片价!C30:G54))</f>
        <v>0</v>
      </c>
      <c r="N3" s="813">
        <f>SUMPRODUCT((因素修正幅度!B30:B54=I2)*(因素修正幅度!C3:G3=E2)*(因素修正幅度!C30:G54))</f>
        <v>0</v>
      </c>
      <c r="O3" s="1054"/>
      <c r="P3" s="1054"/>
      <c r="Q3" s="1054"/>
      <c r="R3" s="1127">
        <v>2</v>
      </c>
      <c r="S3" s="3059">
        <f>ROUND(SUMPRODUCT((B106:B110=R3)*(C105:N105=G2)*(C106:N110)),4)</f>
        <v>1.1838</v>
      </c>
      <c r="T3" s="3059">
        <f t="shared" si="0"/>
        <v>11771</v>
      </c>
      <c r="U3" s="3168">
        <f>信息!B10</f>
        <v>95.51</v>
      </c>
      <c r="V3" s="3059">
        <f t="shared" ref="V3:V16" si="1">ROUND(T3*U3/10000,0)</f>
        <v>112</v>
      </c>
      <c r="W3" s="1131"/>
      <c r="X3" s="1131"/>
      <c r="Y3" s="1131"/>
      <c r="Z3" s="1131"/>
      <c r="AA3" s="1131"/>
      <c r="AB3" s="1131"/>
      <c r="AC3" s="1132"/>
      <c r="AD3" s="1133"/>
      <c r="AE3" s="1133"/>
      <c r="AF3" s="1133"/>
      <c r="AG3" s="1133"/>
      <c r="AH3" s="1133"/>
      <c r="AI3" s="1133"/>
      <c r="AJ3" s="1134"/>
    </row>
    <row r="4" spans="1:36" ht="15.6">
      <c r="A4" s="3477"/>
      <c r="B4" s="3478"/>
      <c r="C4" s="3478"/>
      <c r="D4" s="3479"/>
      <c r="E4" s="3479"/>
      <c r="F4" s="3479"/>
      <c r="G4" s="3479"/>
      <c r="H4" s="3479"/>
      <c r="I4" s="3479"/>
      <c r="J4" s="3480"/>
      <c r="K4" s="1054"/>
      <c r="L4" s="1845" t="s">
        <v>1946</v>
      </c>
      <c r="M4" s="811">
        <f>SUMPRODUCT((区片价!B55:B86=I2)*(区片价!C3:G3=E2)*(区片价!C55:G86))</f>
        <v>0</v>
      </c>
      <c r="N4" s="813">
        <f>SUMPRODUCT((因素修正幅度!B55:B86=I2)*(因素修正幅度!C3:G3=E2)*(因素修正幅度!C55:G86))</f>
        <v>0</v>
      </c>
      <c r="O4" s="1054"/>
      <c r="P4" s="1054"/>
      <c r="Q4" s="1054"/>
      <c r="R4" s="1127">
        <v>3</v>
      </c>
      <c r="S4" s="3059">
        <f>ROUND(SUMPRODUCT((B106:B110=R4)*(C105:N105=G2)*(C106:N110)),4)</f>
        <v>1.0004999999999999</v>
      </c>
      <c r="T4" s="3059">
        <f t="shared" si="0"/>
        <v>9949</v>
      </c>
      <c r="U4" s="3168"/>
      <c r="V4" s="3059">
        <f t="shared" si="1"/>
        <v>0</v>
      </c>
      <c r="W4" s="1131"/>
      <c r="X4" s="1131"/>
      <c r="Y4" s="1131"/>
      <c r="Z4" s="1131"/>
      <c r="AA4" s="1131"/>
      <c r="AB4" s="1131"/>
      <c r="AC4" s="1132"/>
      <c r="AD4" s="1133"/>
      <c r="AE4" s="1133"/>
      <c r="AF4" s="1133"/>
      <c r="AG4" s="1133"/>
      <c r="AH4" s="1133"/>
      <c r="AI4" s="1133"/>
      <c r="AJ4" s="1134"/>
    </row>
    <row r="5" spans="1:36" s="1856" customFormat="1" ht="15.6" thickBot="1">
      <c r="A5" s="1847" t="s">
        <v>362</v>
      </c>
      <c r="B5" s="1848" t="s">
        <v>1947</v>
      </c>
      <c r="C5" s="709">
        <f>ROUND(IF(E2="商业",C6*C7*C17+C20,(IF(E2="住宅",C6*C13*C17+C20,IF(E2="办公",C6*C12*C17+C20,C6+C20)))),0)</f>
        <v>10800</v>
      </c>
      <c r="D5" s="1250">
        <f>ROUND(C6*C17+C20,0)</f>
        <v>10800</v>
      </c>
      <c r="E5" s="1250"/>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4"/>
      <c r="P5" s="1054"/>
      <c r="Q5" s="1054"/>
      <c r="R5" s="1127">
        <v>4</v>
      </c>
      <c r="S5" s="3059">
        <f>ROUND(SUMPRODUCT((B106:B110=R5)*(C105:N105=G2)*(C106:N110)),4)</f>
        <v>0.88239999999999996</v>
      </c>
      <c r="T5" s="3059">
        <f t="shared" si="0"/>
        <v>8774</v>
      </c>
      <c r="U5" s="1128"/>
      <c r="V5" s="3059">
        <f t="shared" si="1"/>
        <v>0</v>
      </c>
      <c r="W5" s="1131"/>
      <c r="X5" s="1131"/>
      <c r="Y5" s="1131"/>
      <c r="Z5" s="1131"/>
      <c r="AA5" s="1131"/>
      <c r="AB5" s="1131"/>
      <c r="AC5" s="1853"/>
      <c r="AD5" s="1854"/>
      <c r="AE5" s="1854"/>
      <c r="AF5" s="1854"/>
      <c r="AG5" s="1854"/>
      <c r="AH5" s="1854"/>
      <c r="AI5" s="1854"/>
      <c r="AJ5" s="1855"/>
    </row>
    <row r="6" spans="1:36" ht="15.6" thickBot="1">
      <c r="A6" s="1857" t="s">
        <v>1949</v>
      </c>
      <c r="B6" s="1858" t="s">
        <v>1950</v>
      </c>
      <c r="C6" s="710">
        <f>SUMIF(L1:L12,G2,M1:M12)</f>
        <v>10800</v>
      </c>
      <c r="D6" s="1859"/>
      <c r="E6" s="1860"/>
      <c r="F6" s="1860"/>
      <c r="G6" s="1861"/>
      <c r="H6" s="1861"/>
      <c r="I6" s="1861"/>
      <c r="J6" s="1862"/>
      <c r="K6" s="1290"/>
      <c r="L6" s="1845" t="s">
        <v>1951</v>
      </c>
      <c r="M6" s="811">
        <f>SUMPRODUCT((区片价!B127:B189=I2)*(区片价!C3:G3=E2)*(区片价!C127:G189))</f>
        <v>10800</v>
      </c>
      <c r="N6" s="813">
        <f>SUMPRODUCT((因素修正幅度!B127:B189=I2)*(因素修正幅度!C3:G3=E2)*(因素修正幅度!C127:G189))</f>
        <v>0.121</v>
      </c>
      <c r="O6" s="1054"/>
      <c r="P6" s="1054"/>
      <c r="Q6" s="1054"/>
      <c r="R6" s="1127">
        <v>5</v>
      </c>
      <c r="S6" s="3059">
        <f>ROUND(SUMPRODUCT((B106:B110=R6)*(C105:N105=G2)*(C106:N110)),4)</f>
        <v>0.84799999999999998</v>
      </c>
      <c r="T6" s="3059">
        <f t="shared" si="0"/>
        <v>8432</v>
      </c>
      <c r="U6" s="1128"/>
      <c r="V6" s="3059">
        <f t="shared" si="1"/>
        <v>0</v>
      </c>
      <c r="W6" s="1131"/>
      <c r="X6" s="1131"/>
      <c r="Y6" s="1131"/>
      <c r="Z6" s="1131"/>
      <c r="AA6" s="1131"/>
      <c r="AB6" s="1131"/>
      <c r="AC6" s="1853"/>
      <c r="AD6" s="1854"/>
      <c r="AE6" s="1854"/>
      <c r="AF6" s="1854"/>
      <c r="AG6" s="1854"/>
      <c r="AH6" s="1854"/>
      <c r="AI6" s="1854"/>
      <c r="AJ6" s="1855"/>
    </row>
    <row r="7" spans="1:36" ht="24.6" thickBot="1">
      <c r="A7" s="3008" t="s">
        <v>3232</v>
      </c>
      <c r="B7" s="1863" t="s">
        <v>1952</v>
      </c>
      <c r="C7" s="711">
        <f>IF(C8="不临65条商业街",1,ROUND(1+(1.6*E8+1.2*E9+0.8*E10+0.4*E11)*C9,4))</f>
        <v>1</v>
      </c>
      <c r="D7" s="1864" t="s">
        <v>1953</v>
      </c>
      <c r="E7" s="730"/>
      <c r="F7" s="1865"/>
      <c r="G7" s="1866"/>
      <c r="H7" s="1866"/>
      <c r="I7" s="1866"/>
      <c r="J7" s="1867"/>
      <c r="K7" s="1290"/>
      <c r="L7" s="1845" t="s">
        <v>1954</v>
      </c>
      <c r="M7" s="811">
        <f>SUMPRODUCT((区片价!B190:B233=I2)*(区片价!C3:G3=E2)*(区片价!C190:G233))</f>
        <v>0</v>
      </c>
      <c r="N7" s="813">
        <f>SUMPRODUCT((因素修正幅度!B190:B233=I2)*(因素修正幅度!C3:G3=E2)*(因素修正幅度!C190:G233))</f>
        <v>0</v>
      </c>
      <c r="O7" s="1054"/>
      <c r="P7" s="1054"/>
      <c r="Q7" s="1054"/>
      <c r="R7" s="1127">
        <v>6</v>
      </c>
      <c r="S7" s="3113"/>
      <c r="T7" s="3059">
        <f t="shared" si="0"/>
        <v>0</v>
      </c>
      <c r="U7" s="1128"/>
      <c r="V7" s="3059">
        <f t="shared" si="1"/>
        <v>0</v>
      </c>
      <c r="W7" s="1265" t="s">
        <v>1955</v>
      </c>
      <c r="X7" s="1129" t="str">
        <f>G2</f>
        <v>六级</v>
      </c>
      <c r="Y7" s="1129" t="s">
        <v>1956</v>
      </c>
      <c r="Z7" s="1130">
        <f>G3</f>
        <v>0</v>
      </c>
      <c r="AA7" s="1131"/>
      <c r="AB7" s="1131"/>
      <c r="AC7" s="1132"/>
      <c r="AD7" s="1133"/>
      <c r="AE7" s="1133"/>
      <c r="AF7" s="1133"/>
      <c r="AG7" s="1133"/>
      <c r="AH7" s="1133"/>
      <c r="AI7" s="1133"/>
      <c r="AJ7" s="1134"/>
    </row>
    <row r="8" spans="1:36" ht="26.4">
      <c r="A8" s="3005"/>
      <c r="B8" s="162" t="s">
        <v>1957</v>
      </c>
      <c r="C8" s="1868" t="s">
        <v>3445</v>
      </c>
      <c r="D8" s="712" t="s">
        <v>112</v>
      </c>
      <c r="E8" s="713" t="e">
        <f>ROUND(C11/E7,4)</f>
        <v>#DIV/0!</v>
      </c>
      <c r="F8" s="1869" t="s">
        <v>1958</v>
      </c>
      <c r="G8" s="1870"/>
      <c r="H8" s="1870"/>
      <c r="I8" s="1870"/>
      <c r="J8" s="1871"/>
      <c r="K8" s="1054"/>
      <c r="L8" s="1845" t="s">
        <v>1959</v>
      </c>
      <c r="M8" s="811">
        <f>SUMPRODUCT((区片价!B234:B276=I2)*(区片价!C3:G3=E2)*(区片价!C234:G276))</f>
        <v>0</v>
      </c>
      <c r="N8" s="813">
        <f>SUMPRODUCT((因素修正幅度!B234:B276=I2)*(因素修正幅度!C3:G3=E2)*(因素修正幅度!C234:G276))</f>
        <v>0</v>
      </c>
      <c r="O8" s="1054"/>
      <c r="P8" s="1054"/>
      <c r="Q8" s="1054"/>
      <c r="R8" s="1127">
        <v>7</v>
      </c>
      <c r="S8" s="1128"/>
      <c r="T8" s="3059">
        <f t="shared" si="0"/>
        <v>0</v>
      </c>
      <c r="U8" s="1128"/>
      <c r="V8" s="3059">
        <f t="shared" si="1"/>
        <v>0</v>
      </c>
      <c r="W8" s="3474" t="s">
        <v>1960</v>
      </c>
      <c r="X8" s="3475"/>
      <c r="Y8" s="1135" t="s">
        <v>1961</v>
      </c>
      <c r="Z8" s="1135" t="s">
        <v>1962</v>
      </c>
      <c r="AA8" s="1135" t="s">
        <v>1963</v>
      </c>
      <c r="AB8" s="1135" t="s">
        <v>1964</v>
      </c>
      <c r="AC8" s="1135" t="s">
        <v>1965</v>
      </c>
      <c r="AD8" s="1135" t="s">
        <v>1966</v>
      </c>
      <c r="AE8" s="1135" t="s">
        <v>1967</v>
      </c>
      <c r="AF8" s="1135" t="s">
        <v>1968</v>
      </c>
      <c r="AG8" s="1135" t="s">
        <v>1969</v>
      </c>
      <c r="AH8" s="1135" t="s">
        <v>1970</v>
      </c>
      <c r="AI8" s="1135" t="s">
        <v>1971</v>
      </c>
      <c r="AJ8" s="1135" t="s">
        <v>1972</v>
      </c>
    </row>
    <row r="9" spans="1:36" ht="15">
      <c r="A9" s="3005"/>
      <c r="B9" s="162" t="s">
        <v>1973</v>
      </c>
      <c r="C9" s="714">
        <f>SUMIF(修正!C71:C138,C8,修正!E71:E138)</f>
        <v>0</v>
      </c>
      <c r="D9" s="163" t="s">
        <v>113</v>
      </c>
      <c r="E9" s="163" t="e">
        <f>ROUND(C11/E7,4)</f>
        <v>#DIV/0!</v>
      </c>
      <c r="F9" s="1869" t="s">
        <v>1974</v>
      </c>
      <c r="G9" s="1870"/>
      <c r="H9" s="1870"/>
      <c r="I9" s="1870"/>
      <c r="J9" s="1871"/>
      <c r="K9" s="1054"/>
      <c r="L9" s="1845" t="s">
        <v>1975</v>
      </c>
      <c r="M9" s="811">
        <f>SUMPRODUCT((区片价!B277:B326=I2)*(区片价!C3:G3=E2)*(区片价!C277:G326))</f>
        <v>0</v>
      </c>
      <c r="N9" s="813">
        <f>SUMPRODUCT((因素修正幅度!B277:B326=I2)*(因素修正幅度!C3:G3=E2)*(因素修正幅度!C277:G326))</f>
        <v>0</v>
      </c>
      <c r="O9" s="1054"/>
      <c r="P9" s="1054"/>
      <c r="Q9" s="1054"/>
      <c r="R9" s="1127">
        <v>8</v>
      </c>
      <c r="S9" s="1128"/>
      <c r="T9" s="3059">
        <f t="shared" si="0"/>
        <v>0</v>
      </c>
      <c r="U9" s="1128"/>
      <c r="V9" s="3059">
        <f t="shared" si="1"/>
        <v>0</v>
      </c>
      <c r="W9" s="3476"/>
      <c r="X9" s="3060" t="s">
        <v>3263</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1976</v>
      </c>
      <c r="C10" s="163">
        <f>SUMIF(修正!C71:C138,C8,修正!F71:F138)</f>
        <v>0</v>
      </c>
      <c r="D10" s="163" t="s">
        <v>114</v>
      </c>
      <c r="E10" s="163" t="e">
        <f>ROUND(C11/E7,4)</f>
        <v>#DIV/0!</v>
      </c>
      <c r="F10" s="1869" t="s">
        <v>1977</v>
      </c>
      <c r="G10" s="1870"/>
      <c r="H10" s="1870"/>
      <c r="I10" s="1870"/>
      <c r="J10" s="1871"/>
      <c r="K10" s="1054"/>
      <c r="L10" s="1845" t="s">
        <v>1978</v>
      </c>
      <c r="M10" s="811">
        <f>SUMPRODUCT((区片价!B327:B357=I2)*(区片价!C3:G3=E2)*(区片价!C327:G357))</f>
        <v>0</v>
      </c>
      <c r="N10" s="813">
        <f>SUMPRODUCT((因素修正幅度!B327:B357=I2)*(因素修正幅度!C3:G3=E2)*(因素修正幅度!C327:G357))</f>
        <v>0</v>
      </c>
      <c r="O10" s="1054"/>
      <c r="P10" s="1054"/>
      <c r="Q10" s="1054"/>
      <c r="R10" s="1127">
        <v>9</v>
      </c>
      <c r="S10" s="1128"/>
      <c r="T10" s="3059">
        <f t="shared" si="0"/>
        <v>0</v>
      </c>
      <c r="U10" s="1128"/>
      <c r="V10" s="3059">
        <f t="shared" si="1"/>
        <v>0</v>
      </c>
      <c r="W10" s="3476"/>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6" thickBot="1">
      <c r="A11" s="3007"/>
      <c r="B11" s="1872" t="s">
        <v>1979</v>
      </c>
      <c r="C11" s="715">
        <f>C10/4</f>
        <v>0</v>
      </c>
      <c r="D11" s="715" t="s">
        <v>115</v>
      </c>
      <c r="E11" s="715" t="e">
        <f>ROUND(C11/E7,4)</f>
        <v>#DIV/0!</v>
      </c>
      <c r="F11" s="1873" t="s">
        <v>1980</v>
      </c>
      <c r="G11" s="1874"/>
      <c r="H11" s="1874"/>
      <c r="I11" s="1874"/>
      <c r="J11" s="1875"/>
      <c r="K11" s="1054"/>
      <c r="L11" s="1845" t="s">
        <v>1981</v>
      </c>
      <c r="M11" s="811">
        <f>SUMPRODUCT((区片价!B358:B377=I2)*(区片价!C3:G3=E2)*(区片价!C358:G377))</f>
        <v>0</v>
      </c>
      <c r="N11" s="813">
        <f>SUMPRODUCT((因素修正幅度!B358:B377=I2)*(因素修正幅度!C3:G3=E2)*(因素修正幅度!C358:G377))</f>
        <v>0</v>
      </c>
      <c r="O11" s="1054"/>
      <c r="P11" s="1054"/>
      <c r="Q11" s="1054"/>
      <c r="R11" s="1127">
        <v>10</v>
      </c>
      <c r="S11" s="1128"/>
      <c r="T11" s="3059">
        <f t="shared" si="0"/>
        <v>0</v>
      </c>
      <c r="U11" s="1128"/>
      <c r="V11" s="3059">
        <f t="shared" si="1"/>
        <v>0</v>
      </c>
      <c r="W11" s="1131"/>
      <c r="X11" s="1131"/>
      <c r="Y11" s="1131"/>
      <c r="Z11" s="1131"/>
      <c r="AA11" s="1131"/>
      <c r="AB11" s="1131"/>
      <c r="AC11" s="1132"/>
      <c r="AD11" s="2549"/>
      <c r="AE11" s="2549"/>
      <c r="AF11" s="2549"/>
      <c r="AG11" s="2549"/>
      <c r="AH11" s="2549"/>
      <c r="AI11" s="2549"/>
      <c r="AJ11" s="2550"/>
    </row>
    <row r="12" spans="1:36" ht="25.8" thickBot="1">
      <c r="A12" s="3008" t="s">
        <v>3233</v>
      </c>
      <c r="B12" s="3009" t="s">
        <v>3234</v>
      </c>
      <c r="C12" s="3010"/>
      <c r="D12" s="3011" t="s">
        <v>3235</v>
      </c>
      <c r="E12" s="3012" t="s">
        <v>3236</v>
      </c>
      <c r="F12" s="3013"/>
      <c r="G12" s="3014"/>
      <c r="H12" s="3014"/>
      <c r="I12" s="3014"/>
      <c r="J12" s="3015"/>
      <c r="K12" s="1054"/>
      <c r="L12" s="1794" t="s">
        <v>1984</v>
      </c>
      <c r="M12" s="812">
        <f>SUMPRODUCT((区片价!B378:B384=I2)*(区片价!C3:G3=E2)*(区片价!C378:G384))</f>
        <v>0</v>
      </c>
      <c r="N12" s="813">
        <f>SUMPRODUCT((因素修正幅度!B378:B384=I2)*(因素修正幅度!C3:G3=E2)*(因素修正幅度!C378:G384))</f>
        <v>0</v>
      </c>
      <c r="O12" s="1054"/>
      <c r="P12" s="1054"/>
      <c r="Q12" s="1054"/>
      <c r="R12" s="1127">
        <v>11</v>
      </c>
      <c r="S12" s="1128"/>
      <c r="T12" s="3059">
        <f t="shared" si="0"/>
        <v>0</v>
      </c>
      <c r="U12" s="1128"/>
      <c r="V12" s="3059">
        <f t="shared" si="1"/>
        <v>0</v>
      </c>
      <c r="W12" s="1131"/>
      <c r="X12" s="1131"/>
      <c r="Y12" s="1131"/>
      <c r="Z12" s="1131"/>
      <c r="AA12" s="1131"/>
      <c r="AB12" s="1131"/>
      <c r="AC12" s="1132"/>
      <c r="AD12" s="2549"/>
      <c r="AE12" s="2549"/>
      <c r="AF12" s="2549"/>
      <c r="AG12" s="2549"/>
      <c r="AH12" s="2549"/>
      <c r="AI12" s="2549"/>
      <c r="AJ12" s="2550"/>
    </row>
    <row r="13" spans="1:36" ht="24.6" thickBot="1">
      <c r="A13" s="3008" t="s">
        <v>3237</v>
      </c>
      <c r="B13" s="1876" t="s">
        <v>1982</v>
      </c>
      <c r="C13" s="711">
        <f>ROUND(C16*D16*E16*F16*G16*H16*I16*J16,4)</f>
        <v>0</v>
      </c>
      <c r="D13" s="1877" t="s">
        <v>1983</v>
      </c>
      <c r="E13" s="1878"/>
      <c r="F13" s="1878"/>
      <c r="G13" s="1879"/>
      <c r="H13" s="1879"/>
      <c r="I13" s="1879"/>
      <c r="J13" s="1880"/>
      <c r="K13" s="1054"/>
      <c r="L13" s="3"/>
      <c r="M13" s="4"/>
      <c r="N13" s="3006"/>
      <c r="O13" s="1054"/>
      <c r="P13" s="1054"/>
      <c r="Q13" s="1054"/>
      <c r="R13" s="1127">
        <v>12</v>
      </c>
      <c r="S13" s="1128"/>
      <c r="T13" s="3059">
        <f t="shared" si="0"/>
        <v>0</v>
      </c>
      <c r="U13" s="1128"/>
      <c r="V13" s="3059">
        <f t="shared" si="1"/>
        <v>0</v>
      </c>
      <c r="W13" s="1131"/>
      <c r="X13" s="1131"/>
      <c r="Y13" s="1131"/>
      <c r="Z13" s="1131"/>
      <c r="AA13" s="1131"/>
      <c r="AB13" s="1131"/>
      <c r="AC13" s="1132"/>
      <c r="AD13" s="2549"/>
      <c r="AE13" s="2549"/>
      <c r="AF13" s="2549"/>
      <c r="AG13" s="2549"/>
      <c r="AH13" s="2549"/>
      <c r="AI13" s="2549"/>
      <c r="AJ13" s="2550"/>
    </row>
    <row r="14" spans="1:36" ht="24">
      <c r="A14" s="3004"/>
      <c r="B14" s="1881" t="s">
        <v>1985</v>
      </c>
      <c r="C14" s="1882" t="s">
        <v>1986</v>
      </c>
      <c r="D14" s="1259" t="s">
        <v>1987</v>
      </c>
      <c r="E14" s="27" t="s">
        <v>1988</v>
      </c>
      <c r="F14" s="3016" t="s">
        <v>3238</v>
      </c>
      <c r="G14" s="3016" t="s">
        <v>3238</v>
      </c>
      <c r="H14" s="3016" t="s">
        <v>3238</v>
      </c>
      <c r="I14" s="3016" t="s">
        <v>3238</v>
      </c>
      <c r="J14" s="3016" t="s">
        <v>3238</v>
      </c>
      <c r="K14" s="1054"/>
      <c r="L14" s="1054"/>
      <c r="M14" s="1054"/>
      <c r="N14" s="1054"/>
      <c r="O14" s="1054"/>
      <c r="P14" s="1054"/>
      <c r="Q14" s="1054"/>
      <c r="R14" s="1127">
        <v>13</v>
      </c>
      <c r="S14" s="1128"/>
      <c r="T14" s="3059">
        <f t="shared" si="0"/>
        <v>0</v>
      </c>
      <c r="U14" s="1128"/>
      <c r="V14" s="3059">
        <f t="shared" si="1"/>
        <v>0</v>
      </c>
      <c r="W14" s="1131"/>
      <c r="X14" s="1131"/>
      <c r="Y14" s="1131"/>
      <c r="Z14" s="1131"/>
      <c r="AA14" s="1131"/>
      <c r="AB14" s="1131"/>
      <c r="AC14" s="1132"/>
      <c r="AD14" s="2549"/>
      <c r="AE14" s="2549"/>
      <c r="AF14" s="2549"/>
      <c r="AG14" s="2549"/>
      <c r="AH14" s="2549"/>
      <c r="AI14" s="2549"/>
      <c r="AJ14" s="2550"/>
    </row>
    <row r="15" spans="1:36" ht="15">
      <c r="A15" s="3004"/>
      <c r="B15" s="1883"/>
      <c r="C15" s="1884"/>
      <c r="D15" s="1885"/>
      <c r="E15" s="1886"/>
      <c r="F15" s="1468" t="s">
        <v>3239</v>
      </c>
      <c r="G15" s="1926"/>
      <c r="H15" s="3017"/>
      <c r="I15" s="3018"/>
      <c r="J15" s="3019"/>
      <c r="K15" s="1054"/>
      <c r="L15" s="1054"/>
      <c r="M15" s="1054"/>
      <c r="N15" s="1054"/>
      <c r="O15" s="1054"/>
      <c r="P15" s="1054"/>
      <c r="Q15" s="1054"/>
      <c r="R15" s="1127">
        <v>14</v>
      </c>
      <c r="S15" s="1128"/>
      <c r="T15" s="3059">
        <f t="shared" si="0"/>
        <v>0</v>
      </c>
      <c r="U15" s="1128"/>
      <c r="V15" s="3059">
        <f t="shared" si="1"/>
        <v>0</v>
      </c>
      <c r="W15" s="1131"/>
      <c r="X15" s="1131"/>
      <c r="Y15" s="1131"/>
      <c r="Z15" s="1131"/>
      <c r="AA15" s="1131"/>
      <c r="AB15" s="1131"/>
      <c r="AC15" s="1132"/>
      <c r="AD15" s="2549"/>
      <c r="AE15" s="2549"/>
      <c r="AF15" s="2549"/>
      <c r="AG15" s="2549"/>
      <c r="AH15" s="2549"/>
      <c r="AI15" s="2549"/>
      <c r="AJ15" s="2550"/>
    </row>
    <row r="16" spans="1:36" ht="15.6" thickBot="1">
      <c r="A16" s="3004"/>
      <c r="B16" s="3022" t="s">
        <v>1989</v>
      </c>
      <c r="C16" s="3020"/>
      <c r="D16" s="3020"/>
      <c r="E16" s="3020"/>
      <c r="F16" s="3020">
        <v>1</v>
      </c>
      <c r="G16" s="3020">
        <v>1</v>
      </c>
      <c r="H16" s="3020">
        <v>1</v>
      </c>
      <c r="I16" s="3020">
        <v>1</v>
      </c>
      <c r="J16" s="3021">
        <v>1</v>
      </c>
      <c r="K16" s="1054"/>
      <c r="L16" s="1842"/>
      <c r="M16" s="1842"/>
      <c r="N16" s="1842"/>
      <c r="O16" s="1842"/>
      <c r="P16" s="1842"/>
      <c r="Q16" s="1054"/>
      <c r="R16" s="1127">
        <v>15</v>
      </c>
      <c r="S16" s="1128"/>
      <c r="T16" s="3059">
        <f t="shared" si="0"/>
        <v>0</v>
      </c>
      <c r="U16" s="1128"/>
      <c r="V16" s="3059">
        <f t="shared" si="1"/>
        <v>0</v>
      </c>
      <c r="W16" s="1131"/>
      <c r="X16" s="1131"/>
      <c r="Y16" s="1131"/>
      <c r="Z16" s="1131"/>
      <c r="AA16" s="1131"/>
      <c r="AB16" s="1131"/>
      <c r="AC16" s="1132"/>
      <c r="AD16" s="2549"/>
      <c r="AE16" s="2549"/>
      <c r="AF16" s="2549"/>
      <c r="AG16" s="2549"/>
      <c r="AH16" s="2549"/>
      <c r="AI16" s="2549"/>
      <c r="AJ16" s="2550"/>
    </row>
    <row r="17" spans="1:37" ht="24">
      <c r="A17" s="3031" t="s">
        <v>3240</v>
      </c>
      <c r="B17" s="3023" t="s">
        <v>3241</v>
      </c>
      <c r="C17" s="3032">
        <f>ROUND(IF(OR(E2="工业",E2="公共服务"),1,IF(AND(E18=0,E19=0),1,IF(AND(E18=J24,E19=G19),0.8,IF(E19=0,1+E17*(-0.2),1+E17*G17*(-0.2))))),4)</f>
        <v>1</v>
      </c>
      <c r="D17" s="3024" t="s">
        <v>3242</v>
      </c>
      <c r="E17" s="3032">
        <f>ROUND(G18/I18,2)</f>
        <v>0</v>
      </c>
      <c r="F17" s="3024" t="s">
        <v>3245</v>
      </c>
      <c r="G17" s="3032" t="e">
        <f>ROUND(E19/G19,2)</f>
        <v>#DIV/0!</v>
      </c>
      <c r="H17" s="3032"/>
      <c r="I17" s="3032"/>
      <c r="J17" s="3033"/>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3.8">
      <c r="A18" s="3034"/>
      <c r="B18" s="2306"/>
      <c r="C18" s="3030"/>
      <c r="D18" s="3025" t="s">
        <v>3243</v>
      </c>
      <c r="E18" s="2353"/>
      <c r="F18" s="3026" t="s">
        <v>3246</v>
      </c>
      <c r="G18" s="3030">
        <f>ROUND(1-(1/(POWER(1+G24,E18))),4)</f>
        <v>0</v>
      </c>
      <c r="H18" s="3026" t="s">
        <v>3248</v>
      </c>
      <c r="I18" s="3030">
        <f>ROUND(1-(1/(POWER(1+G24,J24))),4)</f>
        <v>0.88249999999999995</v>
      </c>
      <c r="J18" s="3035"/>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48"/>
    </row>
    <row r="19" spans="1:37" s="1856" customFormat="1" ht="14.4" thickBot="1">
      <c r="A19" s="3036"/>
      <c r="B19" s="3037"/>
      <c r="C19" s="3038"/>
      <c r="D19" s="3038" t="s">
        <v>3244</v>
      </c>
      <c r="E19" s="3039"/>
      <c r="F19" s="3040" t="s">
        <v>3247</v>
      </c>
      <c r="G19" s="3039"/>
      <c r="H19" s="3038"/>
      <c r="I19" s="3038"/>
      <c r="J19" s="3041"/>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1"/>
      <c r="AH19" s="1978"/>
      <c r="AI19" s="561"/>
      <c r="AJ19" s="561"/>
      <c r="AK19" s="1897"/>
    </row>
    <row r="20" spans="1:37" s="1856" customFormat="1" ht="13.8">
      <c r="A20" s="3481" t="s">
        <v>3249</v>
      </c>
      <c r="B20" s="159" t="s">
        <v>1994</v>
      </c>
      <c r="C20" s="3027">
        <f>ROUND(IF(F21="与级别开发程度一致",0,(G21-E21)/C21),0)</f>
        <v>0</v>
      </c>
      <c r="D20" s="3042" t="s">
        <v>1998</v>
      </c>
      <c r="E20" s="3043"/>
      <c r="F20" s="3487" t="s">
        <v>1995</v>
      </c>
      <c r="G20" s="3488"/>
      <c r="H20" s="3028"/>
      <c r="I20" s="3028"/>
      <c r="J20" s="3029"/>
      <c r="K20" s="1887"/>
      <c r="L20" s="1887"/>
      <c r="M20" s="1887"/>
      <c r="N20" s="1887"/>
      <c r="O20" s="1888"/>
      <c r="P20" s="1842"/>
      <c r="Q20" s="1058"/>
      <c r="R20" s="1058"/>
      <c r="S20" s="1058"/>
      <c r="T20" s="1055"/>
      <c r="U20" s="1055"/>
      <c r="V20" s="1055"/>
      <c r="W20" s="1054"/>
      <c r="X20" s="1054"/>
      <c r="Y20" s="1054"/>
      <c r="Z20" s="1059"/>
      <c r="AA20" s="1059"/>
      <c r="AB20" s="1059"/>
      <c r="AC20" s="1059"/>
      <c r="AD20" s="1059"/>
      <c r="AE20" s="1059"/>
      <c r="AF20" s="1059"/>
      <c r="AG20" s="2548"/>
      <c r="AH20" s="2548"/>
      <c r="AI20" s="2548"/>
      <c r="AJ20" s="2548"/>
    </row>
    <row r="21" spans="1:37" s="1856" customFormat="1" ht="27" thickBot="1">
      <c r="A21" s="3482"/>
      <c r="B21" s="1999" t="s">
        <v>1997</v>
      </c>
      <c r="C21" s="2000">
        <f>IF(E3="M4科研用地",SUMPRODUCT((修正!A2:A7=E3)*(修正!B1:M1=G2)*(修正!B2:M7)),SUMPRODUCT((修正!A2:A7=E2)*(修正!B1:M1=G2)*(修正!B2:M7)))</f>
        <v>2.5</v>
      </c>
      <c r="D21" s="179" t="str">
        <f>IF(OR(G2="八级",G2="九级",G2="十级",G2="十一级",G2="十二级"),"五通一平","七通一平")</f>
        <v>七通一平</v>
      </c>
      <c r="E21" s="1991">
        <f>SUMPRODUCT((修正!B1:M1=G2)*(修正!B17:M17))</f>
        <v>315</v>
      </c>
      <c r="F21" s="3166" t="s">
        <v>3446</v>
      </c>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2"/>
      <c r="Q21" s="2548"/>
      <c r="R21" s="1058"/>
      <c r="S21" s="1058"/>
      <c r="T21" s="1055"/>
      <c r="U21" s="1055"/>
      <c r="V21" s="1055"/>
      <c r="W21" s="1054"/>
      <c r="X21" s="1054"/>
      <c r="Y21" s="1054"/>
      <c r="Z21" s="1059"/>
      <c r="AA21" s="1059"/>
      <c r="AB21" s="1059"/>
      <c r="AC21" s="1059"/>
      <c r="AD21" s="1059"/>
      <c r="AE21" s="1059"/>
      <c r="AF21" s="1059"/>
      <c r="AG21" s="2548"/>
      <c r="AH21" s="2548"/>
      <c r="AI21" s="2548"/>
      <c r="AJ21" s="2548"/>
    </row>
    <row r="22" spans="1:37" s="1856" customFormat="1" ht="15" thickBot="1">
      <c r="A22" s="1993" t="s">
        <v>363</v>
      </c>
      <c r="B22" s="1994" t="s">
        <v>2000</v>
      </c>
      <c r="C22" s="1995">
        <f>SUMIF(修正!C20:C51,E3,修正!E20:E51)</f>
        <v>1</v>
      </c>
      <c r="D22" s="1996"/>
      <c r="E22" s="1997"/>
      <c r="F22" s="1997"/>
      <c r="G22" s="1997"/>
      <c r="H22" s="1997"/>
      <c r="I22" s="1997"/>
      <c r="J22" s="1998"/>
      <c r="K22" s="1059"/>
      <c r="L22" s="2548"/>
      <c r="M22" s="2548"/>
      <c r="N22" s="2548"/>
      <c r="O22" s="1057"/>
      <c r="P22" s="1057"/>
      <c r="Q22" s="2548"/>
      <c r="R22" s="1058"/>
      <c r="S22" s="1058"/>
      <c r="T22" s="1055"/>
      <c r="U22" s="1055"/>
      <c r="V22" s="1055"/>
      <c r="W22" s="1054"/>
      <c r="X22" s="1054"/>
      <c r="Y22" s="1054"/>
      <c r="Z22" s="1059"/>
      <c r="AA22" s="1059"/>
      <c r="AB22" s="1059"/>
      <c r="AC22" s="1059"/>
      <c r="AD22" s="1059"/>
      <c r="AE22" s="1059"/>
      <c r="AF22" s="1059"/>
      <c r="AG22" s="2548"/>
      <c r="AH22" s="2548"/>
      <c r="AI22" s="2548"/>
      <c r="AJ22" s="2548"/>
    </row>
    <row r="23" spans="1:37" ht="27" thickBot="1">
      <c r="A23" s="1890" t="s">
        <v>364</v>
      </c>
      <c r="B23" s="1891"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4" t="s">
        <v>2002</v>
      </c>
      <c r="E23" s="717">
        <v>44197</v>
      </c>
      <c r="F23" s="1894" t="s">
        <v>2003</v>
      </c>
      <c r="G23" s="718">
        <f>'数据-取费表'!B2</f>
        <v>45793</v>
      </c>
      <c r="H23" s="3044" t="s">
        <v>3251</v>
      </c>
      <c r="I23" s="3045" t="str">
        <f>IF(H23="季度增幅（自定义）",SUMIF(N25:N28,E2,O25:O28),"")</f>
        <v/>
      </c>
      <c r="J23" s="3137" t="s">
        <v>3250</v>
      </c>
      <c r="K23" s="1059"/>
      <c r="L23" s="1895" t="s">
        <v>2004</v>
      </c>
      <c r="M23" s="1239">
        <f>ROUND(SUMIF(地价!B2:G2,E2,地价!B16:G16),0)</f>
        <v>350</v>
      </c>
      <c r="N23" s="1896" t="s">
        <v>2005</v>
      </c>
      <c r="O23" s="719">
        <f>ROUNDDOWN(DATEDIF(E23,G23,"M")/3,0)</f>
        <v>17</v>
      </c>
      <c r="P23" s="1055"/>
      <c r="Q23" s="2548"/>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6" thickBot="1">
      <c r="A24" s="1898" t="s">
        <v>365</v>
      </c>
      <c r="B24" s="1899" t="s">
        <v>2006</v>
      </c>
      <c r="C24" s="720">
        <f>ROUND(POWER(1+G24,J24-I24)*(POWER(1+G24,I24)-1)/(POWER(1+G24,J24)-1),4)</f>
        <v>0.85850000000000004</v>
      </c>
      <c r="D24" s="1900" t="s">
        <v>2007</v>
      </c>
      <c r="E24" s="1246">
        <f>存贷款利率!E27/100</f>
        <v>4.3499999999999997E-2</v>
      </c>
      <c r="F24" s="1900" t="s">
        <v>1999</v>
      </c>
      <c r="G24" s="724">
        <f>SUMIF(M30:Q30,E2,M33:Q33)</f>
        <v>5.5E-2</v>
      </c>
      <c r="H24" s="1900" t="s">
        <v>2008</v>
      </c>
      <c r="I24" s="725">
        <f>SUMIF('数据-取费表'!C6:C15,E2,'数据-取费表'!F6:F15)/COUNTIF('数据-取费表'!C6:C15,E2)</f>
        <v>26.47</v>
      </c>
      <c r="J24" s="726">
        <f>IF(E2="住宅",70,IF(E2="商业",40,50))</f>
        <v>40</v>
      </c>
      <c r="K24" s="1059"/>
      <c r="L24" s="1901" t="s">
        <v>2009</v>
      </c>
      <c r="M24" s="1240">
        <f>ROUND(SUMPRODUCT((地价!A4:A16=YEAR(G23)&amp;"-"&amp;ROUNDUP(MONTH(G23)/3,0))*(地价!B2:G2=E2)*(地价!B4:G16)),0)</f>
        <v>0</v>
      </c>
      <c r="N24" s="1902" t="s">
        <v>2010</v>
      </c>
      <c r="O24" s="1903" t="s">
        <v>2011</v>
      </c>
      <c r="P24" s="1904" t="s">
        <v>2012</v>
      </c>
      <c r="Q24" s="1842"/>
      <c r="R24" s="1058"/>
      <c r="S24" s="1058"/>
      <c r="T24" s="1055"/>
      <c r="U24" s="1055"/>
      <c r="V24" s="1055"/>
      <c r="W24" s="1054"/>
      <c r="X24" s="1054"/>
      <c r="Y24" s="1054"/>
      <c r="Z24" s="1059"/>
      <c r="AA24" s="1059"/>
      <c r="AB24" s="1059"/>
      <c r="AC24" s="1059"/>
      <c r="AD24" s="1059"/>
      <c r="AE24" s="1059"/>
      <c r="AF24" s="1059"/>
      <c r="AG24" s="2548"/>
      <c r="AH24" s="2548"/>
      <c r="AI24" s="2548"/>
      <c r="AJ24" s="2548"/>
    </row>
    <row r="25" spans="1:37" ht="14.4">
      <c r="A25" s="1905" t="s">
        <v>366</v>
      </c>
      <c r="B25" s="1906" t="s">
        <v>3447</v>
      </c>
      <c r="C25" s="461">
        <f>IF(B25="容积率修正",IF(G3&lt;10,D26,J26),C27)</f>
        <v>0</v>
      </c>
      <c r="D25" s="1907"/>
      <c r="E25" s="1907"/>
      <c r="F25" s="1907"/>
      <c r="G25" s="1907"/>
      <c r="H25" s="1907"/>
      <c r="I25" s="1907"/>
      <c r="J25" s="1908"/>
      <c r="K25" s="1059"/>
      <c r="L25" s="2548"/>
      <c r="M25" s="2548"/>
      <c r="N25" s="1909" t="s">
        <v>2013</v>
      </c>
      <c r="O25" s="1091"/>
      <c r="P25" s="1092">
        <f>SUMPRODUCT((地价!A3:A40=YEAR(G23)&amp;"-"&amp;ROUNDUP(MONTH(G23)/3,0))*(地价!AD2:AH2=N25)*(地价!AD3:AH40))</f>
        <v>0</v>
      </c>
      <c r="Q25" s="2548"/>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4">
      <c r="A26" s="1804" t="s">
        <v>2014</v>
      </c>
      <c r="B26" s="1910" t="s">
        <v>2015</v>
      </c>
      <c r="C26" s="1910" t="s">
        <v>3252</v>
      </c>
      <c r="D26" s="1261">
        <f>IF(E26=G26,F26,IF(G3&lt;10,ROUND(F26+(H26-F26)*(G3-E26)/(G26-E26),4),"——"))</f>
        <v>0</v>
      </c>
      <c r="E26" s="708">
        <f>ROUNDDOWN(G3,1)</f>
        <v>0</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3253</v>
      </c>
      <c r="J26" s="374" t="str">
        <f>IF(G3&gt;=10,D115,"——")</f>
        <v>——</v>
      </c>
      <c r="K26" s="1059"/>
      <c r="L26" s="2548"/>
      <c r="M26" s="2548"/>
      <c r="N26" s="1909" t="s">
        <v>2016</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 thickBot="1">
      <c r="A27" s="1804" t="s">
        <v>2017</v>
      </c>
      <c r="B27" s="1911" t="s">
        <v>2018</v>
      </c>
      <c r="C27" s="791">
        <f>ROUND(IF(I3&lt;6,SUMPRODUCT((B106:B110=I3)*(C105:N105=G2)*(C106:N110)),SUMIF(C105:N105,G2,C112:N112)),4)</f>
        <v>0</v>
      </c>
      <c r="D27" s="1840"/>
      <c r="E27" s="1840"/>
      <c r="F27" s="1912"/>
      <c r="G27" s="1913"/>
      <c r="H27" s="1914"/>
      <c r="I27" s="1915"/>
      <c r="J27" s="1916"/>
      <c r="K27" s="1054"/>
      <c r="L27" s="1842"/>
      <c r="M27" s="1842"/>
      <c r="N27" s="1909" t="s">
        <v>2019</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 thickBot="1">
      <c r="A28" s="1898" t="s">
        <v>367</v>
      </c>
      <c r="B28" s="1891" t="s">
        <v>2020</v>
      </c>
      <c r="C28" s="716">
        <f>SUMIF(A47:A101,E2,B47:B101)</f>
        <v>1.0373000000000001</v>
      </c>
      <c r="D28" s="1892"/>
      <c r="E28" s="1917"/>
      <c r="F28" s="1917"/>
      <c r="G28" s="1917"/>
      <c r="H28" s="1917"/>
      <c r="I28" s="1917"/>
      <c r="J28" s="1918"/>
      <c r="K28" s="1059"/>
      <c r="L28" s="2548"/>
      <c r="M28" s="2548"/>
      <c r="N28" s="1919" t="s">
        <v>2021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 thickBot="1">
      <c r="A29" s="1898" t="s">
        <v>368</v>
      </c>
      <c r="B29" s="1920" t="s">
        <v>2022</v>
      </c>
      <c r="C29" s="721"/>
      <c r="D29" s="1866"/>
      <c r="E29" s="1866"/>
      <c r="F29" s="1921"/>
      <c r="G29" s="1866"/>
      <c r="H29" s="1866"/>
      <c r="I29" s="1866"/>
      <c r="J29" s="1867"/>
      <c r="K29" s="1054"/>
      <c r="L29" s="1842"/>
      <c r="M29" s="1842"/>
      <c r="N29" s="2545" t="s">
        <v>2023</v>
      </c>
      <c r="O29" s="2546"/>
      <c r="P29" s="2547">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4.4">
      <c r="A30" s="1922"/>
      <c r="B30" s="1910" t="s">
        <v>2024</v>
      </c>
      <c r="C30" s="2142">
        <f>IF(B25="容积率修正",E33+SUM(E37:E42),SUM(V2:V16)+SUM(E37:E42))</f>
        <v>336</v>
      </c>
      <c r="D30" s="1923"/>
      <c r="E30" s="1840"/>
      <c r="F30" s="1924"/>
      <c r="G30" s="1840"/>
      <c r="H30" s="1840"/>
      <c r="I30" s="1840"/>
      <c r="J30" s="1925"/>
      <c r="K30" s="1054"/>
      <c r="L30" s="3051" t="s">
        <v>1936</v>
      </c>
      <c r="M30" s="3052" t="s">
        <v>1990</v>
      </c>
      <c r="N30" s="3052" t="s">
        <v>1991</v>
      </c>
      <c r="O30" s="3052" t="s">
        <v>1992</v>
      </c>
      <c r="P30" s="3052" t="s">
        <v>1993</v>
      </c>
      <c r="Q30" s="3055" t="s">
        <v>3257</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 thickBot="1">
      <c r="A31" s="1922"/>
      <c r="B31" s="1926" t="s">
        <v>2025</v>
      </c>
      <c r="C31" s="722">
        <f>E34+SUM(I37:I42)</f>
        <v>0</v>
      </c>
      <c r="D31" s="1927"/>
      <c r="E31" s="1928"/>
      <c r="F31" s="1929"/>
      <c r="G31" s="1928"/>
      <c r="H31" s="1928"/>
      <c r="I31" s="1928"/>
      <c r="J31" s="1930"/>
      <c r="K31" s="1054"/>
      <c r="L31" s="3053" t="s">
        <v>1996</v>
      </c>
      <c r="M31" s="162">
        <v>0.25</v>
      </c>
      <c r="N31" s="162">
        <v>0.2</v>
      </c>
      <c r="O31" s="162">
        <v>0.15</v>
      </c>
      <c r="P31" s="162">
        <v>0.1</v>
      </c>
      <c r="Q31" s="3048">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 thickBot="1">
      <c r="A32" s="1931"/>
      <c r="B32" s="1932" t="s">
        <v>2026</v>
      </c>
      <c r="C32" s="1933" t="s">
        <v>2027</v>
      </c>
      <c r="D32" s="1933" t="s">
        <v>2028</v>
      </c>
      <c r="E32" s="1934" t="s">
        <v>2029</v>
      </c>
      <c r="F32" s="1935"/>
      <c r="G32" s="1879"/>
      <c r="H32" s="1879"/>
      <c r="I32" s="1879"/>
      <c r="J32" s="1880"/>
      <c r="K32" s="1054"/>
      <c r="L32" s="3054" t="s">
        <v>1999</v>
      </c>
      <c r="M32" s="2352">
        <f>ROUND($E$24*(1+M31),3)</f>
        <v>5.3999999999999999E-2</v>
      </c>
      <c r="N32" s="2352">
        <f>ROUND($E$24*(1+N31),3)</f>
        <v>5.1999999999999998E-2</v>
      </c>
      <c r="O32" s="2352">
        <f>ROUND($E$24*(1+O31),3)</f>
        <v>0.05</v>
      </c>
      <c r="P32" s="2352">
        <f>ROUND($E$24*(1+P31),3)</f>
        <v>4.8000000000000001E-2</v>
      </c>
      <c r="Q32" s="3056">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3.8">
      <c r="A33" s="1936"/>
      <c r="B33" s="1937" t="s">
        <v>2030</v>
      </c>
      <c r="C33" s="167">
        <f>ROUND(C5*C22*C23*C24*C25*C28,0)</f>
        <v>0</v>
      </c>
      <c r="D33" s="1938"/>
      <c r="E33" s="727">
        <f>ROUND(C33*D33/10000,0)</f>
        <v>0</v>
      </c>
      <c r="F33" s="3046" t="s">
        <v>3255</v>
      </c>
      <c r="G33" s="1939"/>
      <c r="H33" s="1939"/>
      <c r="I33" s="1939"/>
      <c r="J33" s="1940"/>
      <c r="K33" s="1054"/>
      <c r="L33" s="3049" t="s">
        <v>3258</v>
      </c>
      <c r="M33" s="3050">
        <v>5.5E-2</v>
      </c>
      <c r="N33" s="3050">
        <v>5.5E-2</v>
      </c>
      <c r="O33" s="3050">
        <v>0.05</v>
      </c>
      <c r="P33" s="3050">
        <v>0.05</v>
      </c>
      <c r="Q33" s="3050">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8" thickBot="1">
      <c r="A34" s="1941"/>
      <c r="B34" s="1942" t="s">
        <v>2031</v>
      </c>
      <c r="C34" s="179" t="e">
        <f>ROUND(IF(E2="工业",C33*M42,IF(B25="楼层修正",SUM(V2:V16)*M41*10000/D34,C33*M41)),0)</f>
        <v>#DIV/0!</v>
      </c>
      <c r="D34" s="1943"/>
      <c r="E34" s="727">
        <f>ROUND(IF(B25="楼层修正",SUM(V2:V16)*M40,C34*D34/10000),0)</f>
        <v>0</v>
      </c>
      <c r="F34" s="1944" t="s">
        <v>2032</v>
      </c>
      <c r="G34" s="1945"/>
      <c r="H34" s="1945"/>
      <c r="I34" s="1945"/>
      <c r="J34" s="1946"/>
      <c r="K34" s="1054"/>
      <c r="L34" s="3049" t="s">
        <v>3259</v>
      </c>
      <c r="M34" s="3050">
        <v>6.5000000000000002E-2</v>
      </c>
      <c r="N34" s="3050">
        <v>6.5000000000000002E-2</v>
      </c>
      <c r="O34" s="3050">
        <v>0.06</v>
      </c>
      <c r="P34" s="3050">
        <v>0.06</v>
      </c>
      <c r="Q34" s="3050">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2033</v>
      </c>
      <c r="C35" s="3047" t="s">
        <v>3256</v>
      </c>
      <c r="D35" s="1879"/>
      <c r="E35" s="1949"/>
      <c r="F35" s="1949"/>
      <c r="G35" s="1877" t="s">
        <v>2034</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36.6" thickBot="1">
      <c r="A36" s="1936"/>
      <c r="B36" s="1951"/>
      <c r="C36" s="436" t="s">
        <v>2027</v>
      </c>
      <c r="D36" s="433" t="s">
        <v>2028</v>
      </c>
      <c r="E36" s="433" t="s">
        <v>2029</v>
      </c>
      <c r="F36" s="333" t="s">
        <v>2035</v>
      </c>
      <c r="G36" s="1952" t="s">
        <v>2027</v>
      </c>
      <c r="H36" s="1952" t="s">
        <v>2028</v>
      </c>
      <c r="I36" s="1952" t="s">
        <v>2029</v>
      </c>
      <c r="J36" s="235"/>
      <c r="K36" s="1962" t="s">
        <v>3260</v>
      </c>
      <c r="L36" s="3138">
        <f ca="1">'数据-取费表'!B40</f>
        <v>3.1E-2</v>
      </c>
      <c r="M36" s="2362">
        <f ca="1">ROUND($L$36*(1+M31),3)</f>
        <v>3.9E-2</v>
      </c>
      <c r="N36" s="2362">
        <f ca="1">ROUND($L$36*(1+N31),3)</f>
        <v>3.6999999999999998E-2</v>
      </c>
      <c r="O36" s="2362">
        <f ca="1">ROUND($L$36*(1+O31),3)</f>
        <v>3.5999999999999997E-2</v>
      </c>
      <c r="P36" s="2362">
        <f ca="1">ROUND($L$36*(1+P31),3)</f>
        <v>3.4000000000000002E-2</v>
      </c>
      <c r="Q36" s="2362">
        <f ca="1">ROUND($L$36*(1+Q31),3)</f>
        <v>3.5999999999999997E-2</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6" thickBot="1">
      <c r="A37" s="3485"/>
      <c r="B37" s="1953" t="s">
        <v>2036</v>
      </c>
      <c r="C37" s="167">
        <f>ROUND(D5*C22*C23*C24*C28*F37,0)</f>
        <v>5966</v>
      </c>
      <c r="D37" s="1938"/>
      <c r="E37" s="163">
        <f>ROUND(C37*D37/10000,0)</f>
        <v>0</v>
      </c>
      <c r="F37" s="163">
        <f>SUMIF(修正!A57:A68,G2,修正!B57:B68)</f>
        <v>0.6</v>
      </c>
      <c r="G37" s="163">
        <f>ROUND(IF(E2="工业",C37*$M$42,C37*$M$41),0)</f>
        <v>1492</v>
      </c>
      <c r="H37" s="163">
        <f>D37</f>
        <v>0</v>
      </c>
      <c r="I37" s="163">
        <f>ROUND(G37*H37/10000,0)</f>
        <v>0</v>
      </c>
      <c r="J37" s="2750"/>
      <c r="K37" s="3057" t="s">
        <v>3261</v>
      </c>
      <c r="L37" s="1962">
        <f ca="1">L36+K38</f>
        <v>3.5999999999999997E-2</v>
      </c>
      <c r="M37" s="2362">
        <f ca="1">ROUND($L$37*(1+M31),3)</f>
        <v>4.4999999999999998E-2</v>
      </c>
      <c r="N37" s="2362">
        <f t="shared" ref="N37:Q37" ca="1" si="3">ROUND($L$37*(1+N31),3)</f>
        <v>4.2999999999999997E-2</v>
      </c>
      <c r="O37" s="2362">
        <f t="shared" ca="1" si="3"/>
        <v>4.1000000000000002E-2</v>
      </c>
      <c r="P37" s="2362">
        <f t="shared" ca="1" si="3"/>
        <v>0.04</v>
      </c>
      <c r="Q37" s="2362">
        <f t="shared" ca="1" si="3"/>
        <v>4.1000000000000002E-2</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486"/>
      <c r="B38" s="1882" t="s">
        <v>2037</v>
      </c>
      <c r="C38" s="167">
        <f>ROUND(D5*C22*C23*C24*C28*F38,0)</f>
        <v>2983</v>
      </c>
      <c r="D38" s="1938"/>
      <c r="E38" s="163">
        <f t="shared" ref="E38:E42" si="4">ROUND(C38*D38/10000,0)</f>
        <v>0</v>
      </c>
      <c r="F38" s="163">
        <f>SUMIF(修正!A57:A68,G2,修正!C57:C68)</f>
        <v>0.3</v>
      </c>
      <c r="G38" s="163">
        <f>ROUND(IF(E2="工业",C38*$M$42,C38*$M$41),0)</f>
        <v>746</v>
      </c>
      <c r="H38" s="163">
        <f t="shared" ref="H38:H42" si="5">D38</f>
        <v>0</v>
      </c>
      <c r="I38" s="163">
        <f t="shared" ref="I38:I42" si="6">ROUND(G38*H38/10000,0)</f>
        <v>0</v>
      </c>
      <c r="J38" s="2749"/>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8" thickBot="1">
      <c r="A39" s="3486"/>
      <c r="B39" s="1882" t="s">
        <v>3254</v>
      </c>
      <c r="C39" s="167">
        <f>ROUND(D5*C22*C23*C24*C28*F39,0)</f>
        <v>2486</v>
      </c>
      <c r="D39" s="1938"/>
      <c r="E39" s="163">
        <f t="shared" si="4"/>
        <v>0</v>
      </c>
      <c r="F39" s="163">
        <f>SUMIF(修正!A57:A68,G2,修正!D57:D68)</f>
        <v>0.25</v>
      </c>
      <c r="G39" s="163">
        <f>ROUND(IF(E2="工业",C39*$M$42,C39*$M$41),0)</f>
        <v>622</v>
      </c>
      <c r="H39" s="163">
        <f t="shared" si="5"/>
        <v>0</v>
      </c>
      <c r="I39" s="163">
        <f t="shared" si="6"/>
        <v>0</v>
      </c>
      <c r="J39" s="2749"/>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2038</v>
      </c>
      <c r="C40" s="163">
        <f>ROUND(D5*C22*C23*C24*C28*F40,0)</f>
        <v>2486</v>
      </c>
      <c r="D40" s="1938"/>
      <c r="E40" s="163">
        <f t="shared" si="4"/>
        <v>0</v>
      </c>
      <c r="F40" s="167">
        <f>SUMIF(修正!A57:A68,G2,修正!E57:E68)</f>
        <v>0.25</v>
      </c>
      <c r="G40" s="163">
        <f>ROUND(IF(E2="工业",C40*$M$42,C40*$M$41),0)</f>
        <v>622</v>
      </c>
      <c r="H40" s="163">
        <f t="shared" si="5"/>
        <v>0</v>
      </c>
      <c r="I40" s="163">
        <f t="shared" si="6"/>
        <v>0</v>
      </c>
      <c r="J40" s="937"/>
      <c r="L40" s="1955" t="s">
        <v>2039</v>
      </c>
      <c r="M40" s="1956"/>
      <c r="Z40" s="1055"/>
      <c r="AA40" s="1055"/>
      <c r="AB40" s="1055"/>
      <c r="AC40" s="1055"/>
      <c r="AD40" s="1055"/>
      <c r="AE40" s="1055"/>
      <c r="AF40" s="1055"/>
      <c r="AG40" s="1055"/>
      <c r="AH40" s="1055"/>
      <c r="AI40" s="1055"/>
      <c r="AJ40" s="1055"/>
    </row>
    <row r="41" spans="1:37" s="1054" customFormat="1">
      <c r="A41" s="1954"/>
      <c r="B41" s="1882" t="s">
        <v>2040</v>
      </c>
      <c r="C41" s="163">
        <f>ROUND(D5*C22*C23*C44*C28*F41,0)</f>
        <v>0</v>
      </c>
      <c r="D41" s="1938"/>
      <c r="E41" s="163">
        <f t="shared" si="4"/>
        <v>0</v>
      </c>
      <c r="F41" s="167">
        <f>SUMIF(修正!A57:A68,G2,修正!F57:F68)</f>
        <v>0.25</v>
      </c>
      <c r="G41" s="163">
        <f>ROUND(IF(E2="工业",C41*$M$42,C41*$M$41),0)</f>
        <v>0</v>
      </c>
      <c r="H41" s="163">
        <f t="shared" si="5"/>
        <v>0</v>
      </c>
      <c r="I41" s="163">
        <f t="shared" si="6"/>
        <v>0</v>
      </c>
      <c r="J41" s="937"/>
      <c r="L41" s="3058" t="s">
        <v>3262</v>
      </c>
      <c r="M41" s="1957">
        <v>0.25</v>
      </c>
      <c r="Z41" s="1055"/>
      <c r="AA41" s="1055"/>
      <c r="AB41" s="1055"/>
      <c r="AC41" s="1055"/>
      <c r="AD41" s="1055"/>
      <c r="AE41" s="1055"/>
      <c r="AF41" s="1055"/>
      <c r="AG41" s="1055"/>
      <c r="AH41" s="1055"/>
      <c r="AI41" s="1055"/>
      <c r="AJ41" s="1055"/>
    </row>
    <row r="42" spans="1:37" s="1054" customFormat="1" ht="13.8" thickBot="1">
      <c r="A42" s="1941"/>
      <c r="B42" s="1958" t="s">
        <v>2041</v>
      </c>
      <c r="C42" s="179">
        <f>ROUND(D5*C22*C23*C44*C28*F42,0)</f>
        <v>0</v>
      </c>
      <c r="D42" s="1943"/>
      <c r="E42" s="179">
        <f t="shared" si="4"/>
        <v>0</v>
      </c>
      <c r="F42" s="723">
        <f>SUMIF(修正!A57:A68,G2,修正!G57:G68)</f>
        <v>0.15</v>
      </c>
      <c r="G42" s="179">
        <f>ROUND(IF(E2="工业",C42*$M$42,C42*$M$41),0)</f>
        <v>0</v>
      </c>
      <c r="H42" s="179">
        <f t="shared" si="5"/>
        <v>0</v>
      </c>
      <c r="I42" s="179">
        <f t="shared" si="6"/>
        <v>0</v>
      </c>
      <c r="J42" s="1959"/>
      <c r="L42" s="1960" t="s">
        <v>1993</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ht="24">
      <c r="A44" s="1055"/>
      <c r="B44" s="1990" t="s">
        <v>2117</v>
      </c>
      <c r="C44" s="333">
        <f>ROUND(POWER(1+E44,H44-G44)*(POWER(1+E44,G44)-1)/(POWER(1+E44,H44)-1),4)</f>
        <v>0</v>
      </c>
      <c r="D44" s="163" t="s">
        <v>1999</v>
      </c>
      <c r="E44" s="1989">
        <f>G24</f>
        <v>5.5E-2</v>
      </c>
      <c r="F44" s="163" t="s">
        <v>2008</v>
      </c>
      <c r="G44" s="175"/>
      <c r="H44" s="163">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 thickBot="1">
      <c r="A47" s="1963" t="s">
        <v>2042</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4.4">
      <c r="A48" s="1965" t="s">
        <v>2043</v>
      </c>
      <c r="B48" s="1966">
        <f>1+E50</f>
        <v>1.0373000000000001</v>
      </c>
      <c r="C48" s="1724"/>
      <c r="D48" s="699"/>
      <c r="E48" s="700"/>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5.2">
      <c r="A49" s="1968" t="s">
        <v>2044</v>
      </c>
      <c r="B49" s="1260" t="s">
        <v>2045</v>
      </c>
      <c r="C49" s="1260" t="s">
        <v>2046</v>
      </c>
      <c r="D49" s="1260" t="s">
        <v>2047</v>
      </c>
      <c r="E49" s="701" t="s">
        <v>2048</v>
      </c>
      <c r="F49" s="1969" t="s">
        <v>2049</v>
      </c>
      <c r="G49" s="1260" t="s">
        <v>310</v>
      </c>
      <c r="H49" s="1970" t="s">
        <v>2050</v>
      </c>
      <c r="I49" s="1260" t="s">
        <v>2051</v>
      </c>
      <c r="J49" s="530" t="s">
        <v>1721</v>
      </c>
      <c r="K49" s="530" t="s">
        <v>1722</v>
      </c>
      <c r="L49" s="530" t="s">
        <v>1723</v>
      </c>
      <c r="M49" s="530" t="s">
        <v>1724</v>
      </c>
      <c r="N49" s="530" t="s">
        <v>1725</v>
      </c>
      <c r="AA49" s="1055"/>
      <c r="AB49" s="1055"/>
      <c r="AC49" s="1055"/>
      <c r="AD49" s="1055"/>
      <c r="AE49" s="1055"/>
      <c r="AF49" s="1055"/>
      <c r="AG49" s="1055"/>
      <c r="AH49" s="1055"/>
      <c r="AI49" s="1055"/>
      <c r="AJ49" s="1055"/>
      <c r="AK49" s="1055"/>
    </row>
    <row r="50" spans="1:37" s="1054" customFormat="1" ht="39.6">
      <c r="A50" s="1968" t="s">
        <v>2052</v>
      </c>
      <c r="B50" s="1971" t="str">
        <f>估价对象房地状况!C4</f>
        <v>估价对象位于XX商圈，周边商业氛围成熟，人流量大，商业繁华度好</v>
      </c>
      <c r="C50" s="1885" t="s">
        <v>3448</v>
      </c>
      <c r="D50" s="1000">
        <f t="shared" ref="D50:D58" si="7">SUMIF($J$49:$N$49,C50,J50:N50)</f>
        <v>0</v>
      </c>
      <c r="E50" s="702">
        <f>ROUND(SUM(D50:D58),4)</f>
        <v>3.73E-2</v>
      </c>
      <c r="F50" s="1673">
        <f>IF(E2="商业",SUMIF(L1:L12,G2,N1:N12),"——")</f>
        <v>0.121</v>
      </c>
      <c r="G50" s="998">
        <v>1.8100000000000002E-2</v>
      </c>
      <c r="H50" s="1001">
        <f t="shared" ref="H50:H58" si="8">IFERROR(ROUNDDOWN($F$50*I50/2,4),"——")</f>
        <v>1.8100000000000002E-2</v>
      </c>
      <c r="I50" s="3064">
        <v>0.3</v>
      </c>
      <c r="J50" s="999">
        <f t="shared" ref="J50:J58" si="9">K50+$G50</f>
        <v>3.6200000000000003E-2</v>
      </c>
      <c r="K50" s="999">
        <f t="shared" ref="K50:K58" si="10">$L50+$G50</f>
        <v>1.8100000000000002E-2</v>
      </c>
      <c r="L50" s="999">
        <v>0</v>
      </c>
      <c r="M50" s="999">
        <f t="shared" ref="M50:N58" si="11">L50-$G50</f>
        <v>-1.8100000000000002E-2</v>
      </c>
      <c r="N50" s="999">
        <f t="shared" si="11"/>
        <v>-3.6200000000000003E-2</v>
      </c>
      <c r="AA50" s="1055"/>
      <c r="AB50" s="1055"/>
      <c r="AC50" s="1055"/>
      <c r="AD50" s="1055"/>
      <c r="AE50" s="1055"/>
      <c r="AF50" s="1055"/>
      <c r="AG50" s="1055"/>
      <c r="AH50" s="1055"/>
      <c r="AI50" s="1055"/>
      <c r="AJ50" s="1055"/>
      <c r="AK50" s="1055"/>
    </row>
    <row r="51" spans="1:37" s="1054" customFormat="1" ht="52.8">
      <c r="A51" s="1968" t="s">
        <v>2053</v>
      </c>
      <c r="B51" s="1260" t="str">
        <f>估价对象房地状况!C18</f>
        <v>估价对象周边道路状况、公共交通通达情况、停车便捷程度，综合评价交通便捷度较好</v>
      </c>
      <c r="C51" s="1885" t="s">
        <v>3449</v>
      </c>
      <c r="D51" s="1000">
        <f t="shared" si="7"/>
        <v>1.3299999999999999E-2</v>
      </c>
      <c r="E51" s="703"/>
      <c r="F51" s="1673"/>
      <c r="G51" s="998">
        <v>1.3299999999999999E-2</v>
      </c>
      <c r="H51" s="1001">
        <f t="shared" si="8"/>
        <v>1.3299999999999999E-2</v>
      </c>
      <c r="I51" s="3064">
        <v>0.22</v>
      </c>
      <c r="J51" s="999">
        <f t="shared" si="9"/>
        <v>2.6599999999999999E-2</v>
      </c>
      <c r="K51" s="999">
        <f t="shared" si="10"/>
        <v>1.3299999999999999E-2</v>
      </c>
      <c r="L51" s="999">
        <v>0</v>
      </c>
      <c r="M51" s="999">
        <f t="shared" si="11"/>
        <v>-1.3299999999999999E-2</v>
      </c>
      <c r="N51" s="999">
        <f t="shared" si="11"/>
        <v>-2.6599999999999999E-2</v>
      </c>
      <c r="AA51" s="1055"/>
      <c r="AB51" s="1055"/>
      <c r="AC51" s="1055"/>
      <c r="AD51" s="1055"/>
      <c r="AE51" s="1055"/>
      <c r="AF51" s="1055"/>
      <c r="AG51" s="1055"/>
      <c r="AH51" s="1055"/>
      <c r="AI51" s="1055"/>
      <c r="AJ51" s="1055"/>
      <c r="AK51" s="1055"/>
    </row>
    <row r="52" spans="1:37" s="1054" customFormat="1" ht="48">
      <c r="A52" s="3066" t="s">
        <v>3264</v>
      </c>
      <c r="B52" s="1260">
        <f>估价对象房地状况!C19</f>
        <v>0</v>
      </c>
      <c r="C52" s="1885" t="s">
        <v>3449</v>
      </c>
      <c r="D52" s="1000">
        <f t="shared" si="7"/>
        <v>7.1999999999999998E-3</v>
      </c>
      <c r="E52" s="703"/>
      <c r="F52" s="1673"/>
      <c r="G52" s="998">
        <v>7.1999999999999998E-3</v>
      </c>
      <c r="H52" s="1001">
        <f t="shared" si="8"/>
        <v>7.1999999999999998E-3</v>
      </c>
      <c r="I52" s="3064">
        <v>0.12</v>
      </c>
      <c r="J52" s="999">
        <f t="shared" si="9"/>
        <v>1.44E-2</v>
      </c>
      <c r="K52" s="999">
        <f t="shared" si="10"/>
        <v>7.1999999999999998E-3</v>
      </c>
      <c r="L52" s="999">
        <v>0</v>
      </c>
      <c r="M52" s="999">
        <f t="shared" si="11"/>
        <v>-7.1999999999999998E-3</v>
      </c>
      <c r="N52" s="999">
        <f t="shared" si="11"/>
        <v>-1.44E-2</v>
      </c>
      <c r="AA52" s="1055"/>
      <c r="AB52" s="1055"/>
      <c r="AC52" s="1055"/>
      <c r="AD52" s="1055"/>
      <c r="AE52" s="1055"/>
      <c r="AF52" s="1055"/>
      <c r="AG52" s="1055"/>
      <c r="AH52" s="1055"/>
      <c r="AI52" s="1055"/>
      <c r="AJ52" s="1055"/>
      <c r="AK52" s="1055"/>
    </row>
    <row r="53" spans="1:37" s="1054" customFormat="1" ht="37.200000000000003">
      <c r="A53" s="1968" t="s">
        <v>2054</v>
      </c>
      <c r="B53" s="1972" t="s">
        <v>2055</v>
      </c>
      <c r="C53" s="1885" t="s">
        <v>3449</v>
      </c>
      <c r="D53" s="1000">
        <f t="shared" si="7"/>
        <v>3.0000000000000001E-3</v>
      </c>
      <c r="E53" s="703"/>
      <c r="F53" s="1673"/>
      <c r="G53" s="998">
        <v>3.0000000000000001E-3</v>
      </c>
      <c r="H53" s="1001">
        <f t="shared" si="8"/>
        <v>3.0000000000000001E-3</v>
      </c>
      <c r="I53" s="3064">
        <v>0.05</v>
      </c>
      <c r="J53" s="999">
        <f t="shared" si="9"/>
        <v>6.0000000000000001E-3</v>
      </c>
      <c r="K53" s="999">
        <f t="shared" si="10"/>
        <v>3.0000000000000001E-3</v>
      </c>
      <c r="L53" s="999">
        <v>0</v>
      </c>
      <c r="M53" s="999">
        <f t="shared" si="11"/>
        <v>-3.0000000000000001E-3</v>
      </c>
      <c r="N53" s="999">
        <f t="shared" si="11"/>
        <v>-6.0000000000000001E-3</v>
      </c>
      <c r="AA53" s="1055"/>
      <c r="AB53" s="1055"/>
      <c r="AC53" s="1055"/>
      <c r="AD53" s="1055"/>
      <c r="AE53" s="1055"/>
      <c r="AF53" s="1055"/>
      <c r="AG53" s="1055"/>
      <c r="AH53" s="1055"/>
      <c r="AI53" s="1055"/>
      <c r="AJ53" s="1055"/>
      <c r="AK53" s="1055"/>
    </row>
    <row r="54" spans="1:37" s="1054" customFormat="1" ht="24">
      <c r="A54" s="1968" t="s">
        <v>2056</v>
      </c>
      <c r="B54" s="1260">
        <f>估价对象房地状况!C24</f>
        <v>0</v>
      </c>
      <c r="C54" s="1885" t="s">
        <v>3450</v>
      </c>
      <c r="D54" s="1000">
        <f t="shared" si="7"/>
        <v>-4.7999999999999996E-3</v>
      </c>
      <c r="E54" s="703"/>
      <c r="F54" s="1673"/>
      <c r="G54" s="998">
        <v>4.7999999999999996E-3</v>
      </c>
      <c r="H54" s="1001">
        <f t="shared" si="8"/>
        <v>4.7999999999999996E-3</v>
      </c>
      <c r="I54" s="3064">
        <v>0.08</v>
      </c>
      <c r="J54" s="999">
        <f t="shared" si="9"/>
        <v>9.5999999999999992E-3</v>
      </c>
      <c r="K54" s="999">
        <f t="shared" si="10"/>
        <v>4.7999999999999996E-3</v>
      </c>
      <c r="L54" s="999">
        <v>0</v>
      </c>
      <c r="M54" s="999">
        <f t="shared" si="11"/>
        <v>-4.7999999999999996E-3</v>
      </c>
      <c r="N54" s="999">
        <f t="shared" si="11"/>
        <v>-9.5999999999999992E-3</v>
      </c>
      <c r="AA54" s="1055"/>
      <c r="AB54" s="1055"/>
      <c r="AC54" s="1055"/>
      <c r="AD54" s="1055"/>
      <c r="AE54" s="1055"/>
      <c r="AF54" s="1055"/>
      <c r="AG54" s="1055"/>
      <c r="AH54" s="1055"/>
      <c r="AI54" s="1055"/>
      <c r="AJ54" s="1055"/>
      <c r="AK54" s="1055"/>
    </row>
    <row r="55" spans="1:37" s="1054" customFormat="1" ht="36">
      <c r="A55" s="1968" t="s">
        <v>2057</v>
      </c>
      <c r="B55" s="1973" t="s">
        <v>2058</v>
      </c>
      <c r="C55" s="1885" t="s">
        <v>3449</v>
      </c>
      <c r="D55" s="1000">
        <f t="shared" si="7"/>
        <v>3.0000000000000001E-3</v>
      </c>
      <c r="E55" s="703"/>
      <c r="F55" s="1673"/>
      <c r="G55" s="998">
        <v>3.0000000000000001E-3</v>
      </c>
      <c r="H55" s="1001">
        <f t="shared" si="8"/>
        <v>3.0000000000000001E-3</v>
      </c>
      <c r="I55" s="3064">
        <v>0.05</v>
      </c>
      <c r="J55" s="999">
        <f t="shared" si="9"/>
        <v>6.0000000000000001E-3</v>
      </c>
      <c r="K55" s="999">
        <f t="shared" si="10"/>
        <v>3.0000000000000001E-3</v>
      </c>
      <c r="L55" s="999">
        <v>0</v>
      </c>
      <c r="M55" s="999">
        <f t="shared" si="11"/>
        <v>-3.0000000000000001E-3</v>
      </c>
      <c r="N55" s="999">
        <f t="shared" si="11"/>
        <v>-6.0000000000000001E-3</v>
      </c>
      <c r="AA55" s="1055"/>
      <c r="AB55" s="1055"/>
      <c r="AC55" s="1055"/>
      <c r="AD55" s="1055"/>
      <c r="AE55" s="1055"/>
      <c r="AF55" s="1055"/>
      <c r="AG55" s="1055"/>
      <c r="AH55" s="1055"/>
      <c r="AI55" s="1055"/>
      <c r="AJ55" s="1055"/>
      <c r="AK55" s="1055"/>
    </row>
    <row r="56" spans="1:37" s="1054" customFormat="1" ht="26.4">
      <c r="A56" s="1974" t="s">
        <v>2059</v>
      </c>
      <c r="B56" s="1238" t="str">
        <f>估价对象房地状况!C21</f>
        <v>估价对象所在区域公共配套设施齐备情况</v>
      </c>
      <c r="C56" s="1885" t="s">
        <v>3449</v>
      </c>
      <c r="D56" s="1000">
        <f t="shared" si="7"/>
        <v>3.0000000000000001E-3</v>
      </c>
      <c r="E56" s="703"/>
      <c r="F56" s="1673"/>
      <c r="G56" s="998">
        <v>3.0000000000000001E-3</v>
      </c>
      <c r="H56" s="1001">
        <f t="shared" si="8"/>
        <v>3.0000000000000001E-3</v>
      </c>
      <c r="I56" s="3064">
        <v>0.05</v>
      </c>
      <c r="J56" s="999">
        <f t="shared" si="9"/>
        <v>6.0000000000000001E-3</v>
      </c>
      <c r="K56" s="999">
        <f t="shared" si="10"/>
        <v>3.0000000000000001E-3</v>
      </c>
      <c r="L56" s="999">
        <v>0</v>
      </c>
      <c r="M56" s="999">
        <f t="shared" si="11"/>
        <v>-3.0000000000000001E-3</v>
      </c>
      <c r="N56" s="999">
        <f t="shared" si="11"/>
        <v>-6.0000000000000001E-3</v>
      </c>
      <c r="AA56" s="1055"/>
      <c r="AB56" s="1055"/>
      <c r="AC56" s="1055"/>
      <c r="AD56" s="1055"/>
      <c r="AE56" s="1055"/>
      <c r="AF56" s="1055"/>
      <c r="AG56" s="1055"/>
      <c r="AH56" s="1055"/>
      <c r="AI56" s="1055"/>
      <c r="AJ56" s="1055"/>
      <c r="AK56" s="1055"/>
    </row>
    <row r="57" spans="1:37" s="1054" customFormat="1" ht="26.4">
      <c r="A57" s="1974" t="s">
        <v>2060</v>
      </c>
      <c r="B57" s="1260" t="str">
        <f>估价对象房地状况!C22</f>
        <v>估价对象所在区域基础设施水平</v>
      </c>
      <c r="C57" s="1885" t="s">
        <v>3451</v>
      </c>
      <c r="D57" s="1000">
        <f t="shared" si="7"/>
        <v>9.5999999999999992E-3</v>
      </c>
      <c r="E57" s="703"/>
      <c r="F57" s="1673"/>
      <c r="G57" s="998">
        <v>4.7999999999999996E-3</v>
      </c>
      <c r="H57" s="1001">
        <f t="shared" si="8"/>
        <v>4.7999999999999996E-3</v>
      </c>
      <c r="I57" s="3064">
        <v>0.08</v>
      </c>
      <c r="J57" s="999">
        <f t="shared" si="9"/>
        <v>9.5999999999999992E-3</v>
      </c>
      <c r="K57" s="999">
        <f t="shared" si="10"/>
        <v>4.7999999999999996E-3</v>
      </c>
      <c r="L57" s="999">
        <v>0</v>
      </c>
      <c r="M57" s="999">
        <f t="shared" si="11"/>
        <v>-4.7999999999999996E-3</v>
      </c>
      <c r="N57" s="999">
        <f t="shared" si="11"/>
        <v>-9.5999999999999992E-3</v>
      </c>
      <c r="AA57" s="1055"/>
      <c r="AB57" s="1055"/>
      <c r="AC57" s="1055"/>
      <c r="AD57" s="1055"/>
      <c r="AE57" s="1055"/>
      <c r="AF57" s="1055"/>
      <c r="AG57" s="1055"/>
      <c r="AH57" s="1055"/>
      <c r="AI57" s="1055"/>
      <c r="AJ57" s="1055"/>
      <c r="AK57" s="1055"/>
    </row>
    <row r="58" spans="1:37" s="1054" customFormat="1" ht="40.200000000000003" thickBot="1">
      <c r="A58" s="1975" t="s">
        <v>2061</v>
      </c>
      <c r="B58" s="1976" t="str">
        <f>估价对象房地状况!C20</f>
        <v>区域自然环境：；人文环境；综合评价环境状况一般</v>
      </c>
      <c r="C58" s="1885" t="s">
        <v>3449</v>
      </c>
      <c r="D58" s="1000">
        <f t="shared" si="7"/>
        <v>3.0000000000000001E-3</v>
      </c>
      <c r="E58" s="704"/>
      <c r="F58" s="1673"/>
      <c r="G58" s="998">
        <v>3.0000000000000001E-3</v>
      </c>
      <c r="H58" s="1001">
        <f t="shared" si="8"/>
        <v>3.0000000000000001E-3</v>
      </c>
      <c r="I58" s="3065">
        <v>0.05</v>
      </c>
      <c r="J58" s="999">
        <f t="shared" si="9"/>
        <v>6.0000000000000001E-3</v>
      </c>
      <c r="K58" s="999">
        <f t="shared" si="10"/>
        <v>3.0000000000000001E-3</v>
      </c>
      <c r="L58" s="999">
        <v>0</v>
      </c>
      <c r="M58" s="999">
        <f t="shared" si="11"/>
        <v>-3.0000000000000001E-3</v>
      </c>
      <c r="N58" s="999">
        <f t="shared" si="11"/>
        <v>-6.0000000000000001E-3</v>
      </c>
      <c r="AA58" s="1055"/>
      <c r="AB58" s="1055"/>
      <c r="AC58" s="1055"/>
      <c r="AD58" s="1055"/>
      <c r="AE58" s="1055"/>
      <c r="AF58" s="1055"/>
      <c r="AG58" s="1055"/>
      <c r="AH58" s="1055"/>
      <c r="AI58" s="1055"/>
      <c r="AJ58" s="1055"/>
      <c r="AK58" s="1055"/>
    </row>
    <row r="59" spans="1:37" s="1054" customFormat="1" ht="14.4">
      <c r="A59" s="1965" t="s">
        <v>2062</v>
      </c>
      <c r="B59" s="1966">
        <f>1+E61</f>
        <v>1</v>
      </c>
      <c r="C59" s="699"/>
      <c r="D59" s="699"/>
      <c r="E59" s="700"/>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5.2">
      <c r="A60" s="1968" t="s">
        <v>2044</v>
      </c>
      <c r="B60" s="1260"/>
      <c r="C60" s="1260" t="s">
        <v>2046</v>
      </c>
      <c r="D60" s="1260" t="s">
        <v>2047</v>
      </c>
      <c r="E60" s="701" t="s">
        <v>2048</v>
      </c>
      <c r="F60" s="1969" t="s">
        <v>2063</v>
      </c>
      <c r="G60" s="1260" t="s">
        <v>310</v>
      </c>
      <c r="H60" s="1970" t="s">
        <v>2050</v>
      </c>
      <c r="I60" s="1260" t="s">
        <v>2051</v>
      </c>
      <c r="J60" s="530" t="s">
        <v>1721</v>
      </c>
      <c r="K60" s="530" t="s">
        <v>1722</v>
      </c>
      <c r="L60" s="530" t="s">
        <v>1723</v>
      </c>
      <c r="M60" s="530" t="s">
        <v>1724</v>
      </c>
      <c r="N60" s="530" t="s">
        <v>1725</v>
      </c>
      <c r="AA60" s="1055"/>
      <c r="AB60" s="1055"/>
      <c r="AC60" s="1055"/>
      <c r="AD60" s="1055"/>
      <c r="AE60" s="1055"/>
      <c r="AF60" s="1055"/>
      <c r="AG60" s="1055"/>
      <c r="AH60" s="1055"/>
      <c r="AI60" s="1055"/>
      <c r="AJ60" s="1055"/>
      <c r="AK60" s="1055"/>
    </row>
    <row r="61" spans="1:37" s="1054" customFormat="1" ht="39.6">
      <c r="A61" s="1968" t="s">
        <v>2064</v>
      </c>
      <c r="B61" s="1971" t="str">
        <f>估价对象房地状况!C17</f>
        <v>估价对象位于XX商圈，周边办公楼项目较多，入驻率高，办公集聚程度较好</v>
      </c>
      <c r="C61" s="1885"/>
      <c r="D61" s="1000">
        <f t="shared" ref="D61:D69" si="12">SUMIF($J$60:$N$60,C61,J61:N61)</f>
        <v>0</v>
      </c>
      <c r="E61" s="702">
        <f>ROUND(SUM(D61:D69),4)</f>
        <v>0</v>
      </c>
      <c r="F61" s="1673" t="str">
        <f>IF(E2="办公",SUMIF(L1:L12,G2,N1:N12),"——")</f>
        <v>——</v>
      </c>
      <c r="G61" s="998"/>
      <c r="H61" s="1001" t="str">
        <f t="shared" ref="H61:H69" si="13">IFERROR(ROUNDDOWN($F$61*I61/2,4),"——")</f>
        <v>——</v>
      </c>
      <c r="I61" s="3064">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52.8">
      <c r="A62" s="1968" t="s">
        <v>2053</v>
      </c>
      <c r="B62" s="1260" t="str">
        <f>估价对象房地状况!C18</f>
        <v>估价对象周边道路状况、公共交通通达情况、停车便捷程度，综合评价交通便捷度较好</v>
      </c>
      <c r="C62" s="1885"/>
      <c r="D62" s="1000">
        <f t="shared" si="12"/>
        <v>0</v>
      </c>
      <c r="E62" s="703"/>
      <c r="F62" s="1673"/>
      <c r="G62" s="998"/>
      <c r="H62" s="1001" t="str">
        <f t="shared" si="13"/>
        <v>——</v>
      </c>
      <c r="I62" s="3064">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48">
      <c r="A63" s="3066" t="s">
        <v>3264</v>
      </c>
      <c r="B63" s="1260">
        <f>估价对象房地状况!C19</f>
        <v>0</v>
      </c>
      <c r="C63" s="1885"/>
      <c r="D63" s="1000">
        <f t="shared" si="12"/>
        <v>0</v>
      </c>
      <c r="E63" s="703"/>
      <c r="F63" s="1673"/>
      <c r="G63" s="998"/>
      <c r="H63" s="1001" t="str">
        <f t="shared" si="13"/>
        <v>——</v>
      </c>
      <c r="I63" s="3064">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7.200000000000003">
      <c r="A64" s="1968" t="s">
        <v>2054</v>
      </c>
      <c r="B64" s="1972" t="s">
        <v>2055</v>
      </c>
      <c r="C64" s="1885"/>
      <c r="D64" s="1000">
        <f t="shared" si="12"/>
        <v>0</v>
      </c>
      <c r="E64" s="703"/>
      <c r="F64" s="1673"/>
      <c r="G64" s="998"/>
      <c r="H64" s="1001" t="str">
        <f t="shared" si="13"/>
        <v>——</v>
      </c>
      <c r="I64" s="3064">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c r="A65" s="1968" t="s">
        <v>2056</v>
      </c>
      <c r="B65" s="1260">
        <f>估价对象房地状况!C24</f>
        <v>0</v>
      </c>
      <c r="C65" s="1885"/>
      <c r="D65" s="1000">
        <f t="shared" si="12"/>
        <v>0</v>
      </c>
      <c r="E65" s="703"/>
      <c r="F65" s="1673"/>
      <c r="G65" s="998"/>
      <c r="H65" s="1001" t="str">
        <f t="shared" si="13"/>
        <v>——</v>
      </c>
      <c r="I65" s="3064">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36">
      <c r="A66" s="1968" t="s">
        <v>2057</v>
      </c>
      <c r="B66" s="1973" t="s">
        <v>2058</v>
      </c>
      <c r="C66" s="1885"/>
      <c r="D66" s="1000">
        <f t="shared" si="12"/>
        <v>0</v>
      </c>
      <c r="E66" s="703"/>
      <c r="F66" s="1673"/>
      <c r="G66" s="998"/>
      <c r="H66" s="1001" t="str">
        <f t="shared" si="13"/>
        <v>——</v>
      </c>
      <c r="I66" s="3064">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26.4">
      <c r="A67" s="1968" t="s">
        <v>2059</v>
      </c>
      <c r="B67" s="1238" t="str">
        <f>估价对象房地状况!C21</f>
        <v>估价对象所在区域公共配套设施齐备情况</v>
      </c>
      <c r="C67" s="1885"/>
      <c r="D67" s="1000">
        <f t="shared" si="12"/>
        <v>0</v>
      </c>
      <c r="E67" s="703"/>
      <c r="F67" s="1673"/>
      <c r="G67" s="998"/>
      <c r="H67" s="1001" t="str">
        <f t="shared" si="13"/>
        <v>——</v>
      </c>
      <c r="I67" s="3064">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6.4">
      <c r="A68" s="1968" t="s">
        <v>2060</v>
      </c>
      <c r="B68" s="1238" t="str">
        <f>估价对象房地状况!C22</f>
        <v>估价对象所在区域基础设施水平</v>
      </c>
      <c r="C68" s="1885"/>
      <c r="D68" s="1000">
        <f t="shared" si="12"/>
        <v>0</v>
      </c>
      <c r="E68" s="703"/>
      <c r="F68" s="1673"/>
      <c r="G68" s="998"/>
      <c r="H68" s="1001" t="str">
        <f t="shared" si="13"/>
        <v>——</v>
      </c>
      <c r="I68" s="3064">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40.200000000000003" thickBot="1">
      <c r="A69" s="1975" t="s">
        <v>2061</v>
      </c>
      <c r="B69" s="1977" t="str">
        <f>估价对象房地状况!C20</f>
        <v>区域自然环境：；人文环境；综合评价环境状况一般</v>
      </c>
      <c r="C69" s="1885"/>
      <c r="D69" s="1000">
        <f t="shared" si="12"/>
        <v>0</v>
      </c>
      <c r="E69" s="704"/>
      <c r="F69" s="1673"/>
      <c r="G69" s="998"/>
      <c r="H69" s="1001" t="str">
        <f t="shared" si="13"/>
        <v>——</v>
      </c>
      <c r="I69" s="3065">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4.4">
      <c r="A70" s="1965" t="s">
        <v>2065</v>
      </c>
      <c r="B70" s="1966">
        <f>1+E72</f>
        <v>1</v>
      </c>
      <c r="C70" s="699"/>
      <c r="D70" s="699"/>
      <c r="E70" s="700"/>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5.2">
      <c r="A71" s="1968" t="s">
        <v>2044</v>
      </c>
      <c r="B71" s="1260"/>
      <c r="C71" s="1260" t="s">
        <v>2046</v>
      </c>
      <c r="D71" s="1260" t="s">
        <v>2047</v>
      </c>
      <c r="E71" s="701" t="s">
        <v>2048</v>
      </c>
      <c r="F71" s="1969" t="s">
        <v>2063</v>
      </c>
      <c r="G71" s="1260" t="s">
        <v>310</v>
      </c>
      <c r="H71" s="1970" t="s">
        <v>2050</v>
      </c>
      <c r="I71" s="1260" t="s">
        <v>2051</v>
      </c>
      <c r="J71" s="530" t="s">
        <v>1721</v>
      </c>
      <c r="K71" s="530" t="s">
        <v>1722</v>
      </c>
      <c r="L71" s="530" t="s">
        <v>1723</v>
      </c>
      <c r="M71" s="530" t="s">
        <v>1724</v>
      </c>
      <c r="N71" s="530" t="s">
        <v>1725</v>
      </c>
      <c r="AA71" s="1055"/>
      <c r="AB71" s="1055"/>
      <c r="AC71" s="1055"/>
      <c r="AD71" s="1055"/>
      <c r="AE71" s="1055"/>
      <c r="AF71" s="1055"/>
      <c r="AG71" s="1055"/>
      <c r="AH71" s="1055"/>
      <c r="AI71" s="1055"/>
      <c r="AJ71" s="1055"/>
      <c r="AK71" s="1055"/>
    </row>
    <row r="72" spans="1:37" s="1054" customFormat="1" ht="52.8">
      <c r="A72" s="1968" t="s">
        <v>2066</v>
      </c>
      <c r="B72" s="1971" t="str">
        <f>估价对象房地状况!C15</f>
        <v>估价对象周边居住用地比例、居住小区规模和社区发展完善程度，综合评价居住社区成熟度一般</v>
      </c>
      <c r="C72" s="1885"/>
      <c r="D72" s="1000">
        <f t="shared" ref="D72:D80" si="17">SUMIF($J$71:$N$71,C72,J72:N72)</f>
        <v>0</v>
      </c>
      <c r="E72" s="702">
        <f>ROUND(SUM(D72:D80),4)</f>
        <v>0</v>
      </c>
      <c r="F72" s="1673" t="str">
        <f>IF(E2="住宅",SUMIF(L1:L12,G2,N1:N12),"——")</f>
        <v>——</v>
      </c>
      <c r="G72" s="998"/>
      <c r="H72" s="1001" t="str">
        <f t="shared" ref="H72:H80" si="18">IFERROR(ROUNDDOWN($F$72*I72/2,4),"——")</f>
        <v>——</v>
      </c>
      <c r="I72" s="3064">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52.8">
      <c r="A73" s="1968" t="s">
        <v>2053</v>
      </c>
      <c r="B73" s="1260" t="str">
        <f>估价对象房地状况!C18</f>
        <v>估价对象周边道路状况、公共交通通达情况、停车便捷程度，综合评价交通便捷度较好</v>
      </c>
      <c r="C73" s="1885"/>
      <c r="D73" s="1000">
        <f t="shared" si="17"/>
        <v>0</v>
      </c>
      <c r="E73" s="705"/>
      <c r="F73" s="1673"/>
      <c r="G73" s="998"/>
      <c r="H73" s="1001" t="str">
        <f t="shared" si="18"/>
        <v>——</v>
      </c>
      <c r="I73" s="3064">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2" customFormat="1" ht="48">
      <c r="A74" s="3066" t="s">
        <v>3264</v>
      </c>
      <c r="B74" s="1260">
        <f>估价对象房地状况!C19</f>
        <v>0</v>
      </c>
      <c r="C74" s="1885"/>
      <c r="D74" s="1000">
        <f t="shared" si="17"/>
        <v>0</v>
      </c>
      <c r="E74" s="705"/>
      <c r="F74" s="1673"/>
      <c r="G74" s="998"/>
      <c r="H74" s="1001" t="str">
        <f t="shared" si="18"/>
        <v>——</v>
      </c>
      <c r="I74" s="3064">
        <v>0.1</v>
      </c>
      <c r="J74" s="999">
        <f t="shared" si="19"/>
        <v>0</v>
      </c>
      <c r="K74" s="999">
        <f t="shared" si="20"/>
        <v>0</v>
      </c>
      <c r="L74" s="999">
        <v>0</v>
      </c>
      <c r="M74" s="999">
        <f t="shared" si="21"/>
        <v>0</v>
      </c>
      <c r="N74" s="999">
        <f t="shared" si="21"/>
        <v>0</v>
      </c>
      <c r="O74" s="1054"/>
      <c r="P74" s="1054"/>
      <c r="Q74" s="1054"/>
      <c r="AA74" s="1978"/>
      <c r="AB74" s="1055"/>
      <c r="AC74" s="1055"/>
      <c r="AD74" s="1055"/>
      <c r="AE74" s="1055"/>
      <c r="AF74" s="1055"/>
      <c r="AG74" s="1055"/>
      <c r="AH74" s="1978"/>
      <c r="AI74" s="1978"/>
      <c r="AJ74" s="1978"/>
      <c r="AK74" s="1978"/>
    </row>
    <row r="75" spans="1:37" ht="13.8">
      <c r="A75" s="1968" t="s">
        <v>2067</v>
      </c>
      <c r="B75" s="1260">
        <f>估价对象房地状况!C24</f>
        <v>0</v>
      </c>
      <c r="C75" s="1885"/>
      <c r="D75" s="1000">
        <f t="shared" si="17"/>
        <v>0</v>
      </c>
      <c r="E75" s="705"/>
      <c r="F75" s="1673"/>
      <c r="G75" s="998"/>
      <c r="H75" s="1001" t="str">
        <f t="shared" si="18"/>
        <v>——</v>
      </c>
      <c r="I75" s="3064">
        <v>0.05</v>
      </c>
      <c r="J75" s="999">
        <f t="shared" si="19"/>
        <v>0</v>
      </c>
      <c r="K75" s="999">
        <f t="shared" si="20"/>
        <v>0</v>
      </c>
      <c r="L75" s="999">
        <v>0</v>
      </c>
      <c r="M75" s="999">
        <f t="shared" si="21"/>
        <v>0</v>
      </c>
      <c r="N75" s="999">
        <f t="shared" si="21"/>
        <v>0</v>
      </c>
      <c r="O75" s="1054"/>
      <c r="P75" s="1054"/>
      <c r="Q75" s="1842"/>
      <c r="Z75" s="1843"/>
      <c r="AA75" s="1893"/>
      <c r="AG75" s="1056"/>
      <c r="AK75" s="1893"/>
    </row>
    <row r="76" spans="1:37" ht="26.4">
      <c r="A76" s="1968" t="s">
        <v>2059</v>
      </c>
      <c r="B76" s="1238" t="str">
        <f>估价对象房地状况!C21</f>
        <v>估价对象所在区域公共配套设施齐备情况</v>
      </c>
      <c r="C76" s="1885"/>
      <c r="D76" s="1000">
        <f t="shared" si="17"/>
        <v>0</v>
      </c>
      <c r="E76" s="705"/>
      <c r="F76" s="1673"/>
      <c r="G76" s="998"/>
      <c r="H76" s="1001" t="str">
        <f t="shared" si="18"/>
        <v>——</v>
      </c>
      <c r="I76" s="3064">
        <v>0.08</v>
      </c>
      <c r="J76" s="999">
        <f t="shared" si="19"/>
        <v>0</v>
      </c>
      <c r="K76" s="999">
        <f t="shared" si="20"/>
        <v>0</v>
      </c>
      <c r="L76" s="999">
        <v>0</v>
      </c>
      <c r="M76" s="999">
        <f t="shared" si="21"/>
        <v>0</v>
      </c>
      <c r="N76" s="999">
        <f t="shared" si="21"/>
        <v>0</v>
      </c>
      <c r="O76" s="1054"/>
      <c r="P76" s="1054"/>
      <c r="Z76" s="1843"/>
      <c r="AA76" s="1893"/>
      <c r="AG76" s="1056"/>
      <c r="AK76" s="1893"/>
    </row>
    <row r="77" spans="1:37" ht="26.4">
      <c r="A77" s="1968" t="s">
        <v>2060</v>
      </c>
      <c r="B77" s="1238" t="str">
        <f>估价对象房地状况!C22</f>
        <v>估价对象所在区域基础设施水平</v>
      </c>
      <c r="C77" s="1885"/>
      <c r="D77" s="1000">
        <f t="shared" si="17"/>
        <v>0</v>
      </c>
      <c r="E77" s="705"/>
      <c r="F77" s="1673"/>
      <c r="G77" s="998"/>
      <c r="H77" s="1001" t="str">
        <f t="shared" si="18"/>
        <v>——</v>
      </c>
      <c r="I77" s="3064">
        <v>0.09</v>
      </c>
      <c r="J77" s="999">
        <f t="shared" si="19"/>
        <v>0</v>
      </c>
      <c r="K77" s="999">
        <f t="shared" si="20"/>
        <v>0</v>
      </c>
      <c r="L77" s="999">
        <v>0</v>
      </c>
      <c r="M77" s="999">
        <f t="shared" si="21"/>
        <v>0</v>
      </c>
      <c r="N77" s="999">
        <f t="shared" si="21"/>
        <v>0</v>
      </c>
      <c r="O77" s="1054"/>
      <c r="P77" s="1054"/>
      <c r="Z77" s="1843"/>
      <c r="AA77" s="1893"/>
      <c r="AG77" s="1056"/>
      <c r="AK77" s="1893"/>
    </row>
    <row r="78" spans="1:37" ht="36">
      <c r="A78" s="1968" t="s">
        <v>2057</v>
      </c>
      <c r="B78" s="1973" t="s">
        <v>2058</v>
      </c>
      <c r="C78" s="1885"/>
      <c r="D78" s="1000">
        <f t="shared" si="17"/>
        <v>0</v>
      </c>
      <c r="E78" s="705"/>
      <c r="F78" s="1673"/>
      <c r="G78" s="998"/>
      <c r="H78" s="1001" t="str">
        <f t="shared" si="18"/>
        <v>——</v>
      </c>
      <c r="I78" s="3064">
        <v>0.05</v>
      </c>
      <c r="J78" s="999">
        <f t="shared" si="19"/>
        <v>0</v>
      </c>
      <c r="K78" s="999">
        <f t="shared" si="20"/>
        <v>0</v>
      </c>
      <c r="L78" s="999">
        <v>0</v>
      </c>
      <c r="M78" s="999">
        <f t="shared" si="21"/>
        <v>0</v>
      </c>
      <c r="N78" s="999">
        <f t="shared" si="21"/>
        <v>0</v>
      </c>
      <c r="O78" s="1842"/>
      <c r="P78" s="1842"/>
      <c r="Z78" s="1843"/>
      <c r="AA78" s="1893"/>
      <c r="AG78" s="1056"/>
      <c r="AK78" s="1893"/>
    </row>
    <row r="79" spans="1:37" ht="39.6">
      <c r="A79" s="1968" t="s">
        <v>2061</v>
      </c>
      <c r="B79" s="1971" t="str">
        <f>估价对象房地状况!C20</f>
        <v>区域自然环境：；人文环境；综合评价环境状况一般</v>
      </c>
      <c r="C79" s="1885"/>
      <c r="D79" s="1000">
        <f t="shared" si="17"/>
        <v>0</v>
      </c>
      <c r="E79" s="705"/>
      <c r="F79" s="1673"/>
      <c r="G79" s="998"/>
      <c r="H79" s="1001" t="str">
        <f t="shared" si="18"/>
        <v>——</v>
      </c>
      <c r="I79" s="3064">
        <v>0.12</v>
      </c>
      <c r="J79" s="999">
        <f t="shared" si="19"/>
        <v>0</v>
      </c>
      <c r="K79" s="999">
        <f t="shared" si="20"/>
        <v>0</v>
      </c>
      <c r="L79" s="999">
        <v>0</v>
      </c>
      <c r="M79" s="999">
        <f t="shared" si="21"/>
        <v>0</v>
      </c>
      <c r="N79" s="999">
        <f t="shared" si="21"/>
        <v>0</v>
      </c>
      <c r="Z79" s="1843"/>
      <c r="AA79" s="1893"/>
      <c r="AG79" s="1056"/>
      <c r="AK79" s="1893"/>
    </row>
    <row r="80" spans="1:37" ht="36.6" thickBot="1">
      <c r="A80" s="1975" t="s">
        <v>2068</v>
      </c>
      <c r="B80" s="1979"/>
      <c r="C80" s="1885"/>
      <c r="D80" s="1000">
        <f t="shared" si="17"/>
        <v>0</v>
      </c>
      <c r="E80" s="706"/>
      <c r="F80" s="1673"/>
      <c r="G80" s="998"/>
      <c r="H80" s="1001" t="str">
        <f t="shared" si="18"/>
        <v>——</v>
      </c>
      <c r="I80" s="3065">
        <v>0.05</v>
      </c>
      <c r="J80" s="999">
        <f t="shared" si="19"/>
        <v>0</v>
      </c>
      <c r="K80" s="999">
        <f t="shared" si="20"/>
        <v>0</v>
      </c>
      <c r="L80" s="999">
        <v>0</v>
      </c>
      <c r="M80" s="999">
        <f t="shared" si="21"/>
        <v>0</v>
      </c>
      <c r="N80" s="999">
        <f t="shared" si="21"/>
        <v>0</v>
      </c>
      <c r="Z80" s="1843"/>
      <c r="AA80" s="1893"/>
      <c r="AG80" s="1056"/>
      <c r="AK80" s="1893"/>
    </row>
    <row r="81" spans="1:37" ht="14.4">
      <c r="A81" s="1965" t="s">
        <v>2069</v>
      </c>
      <c r="B81" s="1966">
        <f>1+E83</f>
        <v>1</v>
      </c>
      <c r="C81" s="699"/>
      <c r="D81" s="699"/>
      <c r="E81" s="700"/>
      <c r="F81" s="1967"/>
      <c r="G81" s="3"/>
      <c r="H81" s="3"/>
      <c r="I81" s="3"/>
      <c r="J81" s="4"/>
      <c r="K81" s="4"/>
      <c r="L81" s="4"/>
      <c r="M81" s="4"/>
      <c r="N81" s="4"/>
      <c r="Z81" s="1843"/>
      <c r="AA81" s="1893"/>
      <c r="AG81" s="1056"/>
      <c r="AK81" s="1893"/>
    </row>
    <row r="82" spans="1:37" ht="25.2">
      <c r="A82" s="1968" t="s">
        <v>2044</v>
      </c>
      <c r="B82" s="1260"/>
      <c r="C82" s="1260" t="s">
        <v>2046</v>
      </c>
      <c r="D82" s="1260" t="s">
        <v>2047</v>
      </c>
      <c r="E82" s="701" t="s">
        <v>2048</v>
      </c>
      <c r="F82" s="1969" t="s">
        <v>2063</v>
      </c>
      <c r="G82" s="1260" t="s">
        <v>310</v>
      </c>
      <c r="H82" s="1970" t="s">
        <v>2050</v>
      </c>
      <c r="I82" s="1260" t="s">
        <v>2051</v>
      </c>
      <c r="J82" s="530" t="s">
        <v>1721</v>
      </c>
      <c r="K82" s="530" t="s">
        <v>1722</v>
      </c>
      <c r="L82" s="530" t="s">
        <v>1723</v>
      </c>
      <c r="M82" s="530" t="s">
        <v>1724</v>
      </c>
      <c r="N82" s="530" t="s">
        <v>1725</v>
      </c>
      <c r="Z82" s="1843"/>
      <c r="AA82" s="1893"/>
      <c r="AG82" s="1056"/>
      <c r="AK82" s="1893"/>
    </row>
    <row r="83" spans="1:37" ht="39.6">
      <c r="A83" s="1968" t="s">
        <v>2070</v>
      </c>
      <c r="B83" s="1260" t="str">
        <f>估价对象房地状况!G15</f>
        <v>估价对象位于XX开发区，园区建设成熟度XX，产业集聚程度XX</v>
      </c>
      <c r="C83" s="1885"/>
      <c r="D83" s="1000">
        <f t="shared" ref="D83:D90" si="22">SUMIF($J$82:$N$82,C83,J83:N83)</f>
        <v>0</v>
      </c>
      <c r="E83" s="702">
        <f>ROUND(SUM(D83:D90),4)</f>
        <v>0</v>
      </c>
      <c r="F83" s="1673" t="str">
        <f>IF(E2="工业",SUMIF(L1:L12,G2,N1:N12),"——")</f>
        <v>——</v>
      </c>
      <c r="G83" s="998"/>
      <c r="H83" s="1001" t="str">
        <f t="shared" ref="H83:H90" si="23">IFERROR(ROUNDDOWN($F$83*I83/2,4),"——")</f>
        <v>——</v>
      </c>
      <c r="I83" s="3064">
        <v>0.26</v>
      </c>
      <c r="J83" s="999">
        <f t="shared" ref="J83:J90" si="24">K83+$G83</f>
        <v>0</v>
      </c>
      <c r="K83" s="999">
        <f t="shared" ref="K83:K90" si="25">$L83+$G83</f>
        <v>0</v>
      </c>
      <c r="L83" s="999">
        <v>0</v>
      </c>
      <c r="M83" s="999">
        <f t="shared" ref="M83:N90" si="26">L83-$G83</f>
        <v>0</v>
      </c>
      <c r="N83" s="999">
        <f t="shared" si="26"/>
        <v>0</v>
      </c>
      <c r="Z83" s="1843"/>
      <c r="AA83" s="1893"/>
      <c r="AG83" s="1056"/>
      <c r="AK83" s="1893"/>
    </row>
    <row r="84" spans="1:37" ht="52.8">
      <c r="A84" s="1968" t="s">
        <v>2053</v>
      </c>
      <c r="B84" s="1260" t="str">
        <f>估价对象房地状况!G16</f>
        <v>估价对象周边道路状况、公共交通通达情况、停车便捷程度，综合评价交通便捷度较好</v>
      </c>
      <c r="C84" s="1885"/>
      <c r="D84" s="1000">
        <f t="shared" si="22"/>
        <v>0</v>
      </c>
      <c r="E84" s="705"/>
      <c r="F84" s="1673"/>
      <c r="G84" s="998"/>
      <c r="H84" s="1001" t="str">
        <f t="shared" si="23"/>
        <v>——</v>
      </c>
      <c r="I84" s="3064">
        <v>0.3</v>
      </c>
      <c r="J84" s="999">
        <f t="shared" si="24"/>
        <v>0</v>
      </c>
      <c r="K84" s="999">
        <f t="shared" si="25"/>
        <v>0</v>
      </c>
      <c r="L84" s="999">
        <v>0</v>
      </c>
      <c r="M84" s="999">
        <f t="shared" si="26"/>
        <v>0</v>
      </c>
      <c r="N84" s="999">
        <f t="shared" si="26"/>
        <v>0</v>
      </c>
      <c r="Z84" s="1843"/>
      <c r="AA84" s="1893"/>
      <c r="AG84" s="1056"/>
      <c r="AK84" s="1893"/>
    </row>
    <row r="85" spans="1:37" ht="48">
      <c r="A85" s="3066" t="s">
        <v>3265</v>
      </c>
      <c r="B85" s="1260">
        <f>估价对象房地状况!G17</f>
        <v>0</v>
      </c>
      <c r="C85" s="1885"/>
      <c r="D85" s="1000">
        <f t="shared" si="22"/>
        <v>0</v>
      </c>
      <c r="E85" s="705"/>
      <c r="F85" s="1673"/>
      <c r="G85" s="998"/>
      <c r="H85" s="1001" t="str">
        <f t="shared" si="23"/>
        <v>——</v>
      </c>
      <c r="I85" s="3064">
        <v>0.1</v>
      </c>
      <c r="J85" s="999">
        <f t="shared" si="24"/>
        <v>0</v>
      </c>
      <c r="K85" s="999">
        <f t="shared" si="25"/>
        <v>0</v>
      </c>
      <c r="L85" s="999">
        <v>0</v>
      </c>
      <c r="M85" s="999">
        <f t="shared" si="26"/>
        <v>0</v>
      </c>
      <c r="N85" s="999">
        <f t="shared" si="26"/>
        <v>0</v>
      </c>
      <c r="Z85" s="1843"/>
      <c r="AA85" s="1893"/>
      <c r="AG85" s="1056"/>
      <c r="AK85" s="1893"/>
    </row>
    <row r="86" spans="1:37" ht="13.8">
      <c r="A86" s="1968" t="s">
        <v>2067</v>
      </c>
      <c r="B86" s="1260">
        <f>估价对象房地状况!G22</f>
        <v>0</v>
      </c>
      <c r="C86" s="1885"/>
      <c r="D86" s="1000">
        <f t="shared" si="22"/>
        <v>0</v>
      </c>
      <c r="E86" s="705"/>
      <c r="F86" s="1673"/>
      <c r="G86" s="998"/>
      <c r="H86" s="1001" t="str">
        <f t="shared" si="23"/>
        <v>——</v>
      </c>
      <c r="I86" s="3064">
        <v>0.05</v>
      </c>
      <c r="J86" s="999">
        <f t="shared" si="24"/>
        <v>0</v>
      </c>
      <c r="K86" s="999">
        <f t="shared" si="25"/>
        <v>0</v>
      </c>
      <c r="L86" s="999">
        <v>0</v>
      </c>
      <c r="M86" s="999">
        <f t="shared" si="26"/>
        <v>0</v>
      </c>
      <c r="N86" s="999">
        <f t="shared" si="26"/>
        <v>0</v>
      </c>
      <c r="Z86" s="1843"/>
      <c r="AA86" s="1893"/>
      <c r="AG86" s="1056"/>
      <c r="AK86" s="1893"/>
    </row>
    <row r="87" spans="1:37" ht="26.4">
      <c r="A87" s="1968" t="s">
        <v>2059</v>
      </c>
      <c r="B87" s="1238" t="str">
        <f>估价对象房地状况!G19</f>
        <v>估价对象所在区域公共配套设施齐备情况</v>
      </c>
      <c r="C87" s="1885"/>
      <c r="D87" s="1000">
        <f t="shared" si="22"/>
        <v>0</v>
      </c>
      <c r="E87" s="705"/>
      <c r="F87" s="1673"/>
      <c r="G87" s="998"/>
      <c r="H87" s="1001" t="str">
        <f t="shared" si="23"/>
        <v>——</v>
      </c>
      <c r="I87" s="3064">
        <v>0.06</v>
      </c>
      <c r="J87" s="999">
        <f t="shared" si="24"/>
        <v>0</v>
      </c>
      <c r="K87" s="999">
        <f t="shared" si="25"/>
        <v>0</v>
      </c>
      <c r="L87" s="999">
        <v>0</v>
      </c>
      <c r="M87" s="999">
        <f t="shared" si="26"/>
        <v>0</v>
      </c>
      <c r="N87" s="999">
        <f t="shared" si="26"/>
        <v>0</v>
      </c>
    </row>
    <row r="88" spans="1:37" ht="26.4">
      <c r="A88" s="1968" t="s">
        <v>2060</v>
      </c>
      <c r="B88" s="1238" t="str">
        <f>估价对象房地状况!G20</f>
        <v>估价对象所在区域基础设施水平</v>
      </c>
      <c r="C88" s="1885"/>
      <c r="D88" s="1000">
        <f t="shared" si="22"/>
        <v>0</v>
      </c>
      <c r="E88" s="705"/>
      <c r="F88" s="1673"/>
      <c r="G88" s="998"/>
      <c r="H88" s="1001" t="str">
        <f t="shared" si="23"/>
        <v>——</v>
      </c>
      <c r="I88" s="3064">
        <v>0.12</v>
      </c>
      <c r="J88" s="999">
        <f t="shared" si="24"/>
        <v>0</v>
      </c>
      <c r="K88" s="999">
        <f t="shared" si="25"/>
        <v>0</v>
      </c>
      <c r="L88" s="999">
        <v>0</v>
      </c>
      <c r="M88" s="999">
        <f t="shared" si="26"/>
        <v>0</v>
      </c>
      <c r="N88" s="999">
        <f t="shared" si="26"/>
        <v>0</v>
      </c>
    </row>
    <row r="89" spans="1:37" ht="36">
      <c r="A89" s="1968" t="s">
        <v>2057</v>
      </c>
      <c r="B89" s="1973" t="s">
        <v>2071</v>
      </c>
      <c r="C89" s="1885"/>
      <c r="D89" s="1000">
        <f t="shared" si="22"/>
        <v>0</v>
      </c>
      <c r="E89" s="705"/>
      <c r="F89" s="1673"/>
      <c r="G89" s="998"/>
      <c r="H89" s="1001" t="str">
        <f t="shared" si="23"/>
        <v>——</v>
      </c>
      <c r="I89" s="3064">
        <v>0.06</v>
      </c>
      <c r="J89" s="999">
        <f t="shared" si="24"/>
        <v>0</v>
      </c>
      <c r="K89" s="999">
        <f t="shared" si="25"/>
        <v>0</v>
      </c>
      <c r="L89" s="999">
        <v>0</v>
      </c>
      <c r="M89" s="999">
        <f t="shared" si="26"/>
        <v>0</v>
      </c>
      <c r="N89" s="999">
        <f t="shared" si="26"/>
        <v>0</v>
      </c>
    </row>
    <row r="90" spans="1:37" ht="40.200000000000003" thickBot="1">
      <c r="A90" s="1975" t="s">
        <v>2072</v>
      </c>
      <c r="B90" s="1980" t="str">
        <f>估价对象房地状况!G18</f>
        <v>该园区内是否有污染型企业，绿化情况，卫生条件，整体环境状况判断</v>
      </c>
      <c r="C90" s="1885"/>
      <c r="D90" s="1000">
        <f t="shared" si="22"/>
        <v>0</v>
      </c>
      <c r="E90" s="706"/>
      <c r="F90" s="1673"/>
      <c r="G90" s="998"/>
      <c r="H90" s="1001" t="str">
        <f t="shared" si="23"/>
        <v>——</v>
      </c>
      <c r="I90" s="3065">
        <v>0.05</v>
      </c>
      <c r="J90" s="999">
        <f t="shared" si="24"/>
        <v>0</v>
      </c>
      <c r="K90" s="999">
        <f t="shared" si="25"/>
        <v>0</v>
      </c>
      <c r="L90" s="999">
        <v>0</v>
      </c>
      <c r="M90" s="999">
        <f t="shared" si="26"/>
        <v>0</v>
      </c>
      <c r="N90" s="999">
        <f t="shared" si="26"/>
        <v>0</v>
      </c>
    </row>
    <row r="91" spans="1:37" ht="13.8">
      <c r="A91" s="3074" t="s">
        <v>2607</v>
      </c>
      <c r="B91" s="3075">
        <f>1+E93</f>
        <v>1</v>
      </c>
      <c r="C91" s="3068"/>
      <c r="D91" s="3069"/>
      <c r="E91" s="1673"/>
      <c r="F91" s="1673"/>
      <c r="G91" s="3070"/>
      <c r="H91" s="3071"/>
      <c r="I91" s="3072"/>
      <c r="J91" s="3073"/>
      <c r="K91" s="3073"/>
      <c r="L91" s="3073"/>
      <c r="M91" s="3073"/>
      <c r="N91" s="3073"/>
    </row>
    <row r="92" spans="1:37" ht="25.2">
      <c r="A92" s="3076" t="s">
        <v>3266</v>
      </c>
      <c r="B92" s="2306"/>
      <c r="C92" s="2306" t="s">
        <v>3275</v>
      </c>
      <c r="D92" s="2306" t="s">
        <v>3276</v>
      </c>
      <c r="E92" s="3048" t="s">
        <v>3277</v>
      </c>
      <c r="F92" s="3078" t="s">
        <v>3278</v>
      </c>
      <c r="G92" s="2306" t="s">
        <v>3279</v>
      </c>
      <c r="H92" s="3085" t="s">
        <v>3282</v>
      </c>
      <c r="I92" s="2306" t="s">
        <v>3283</v>
      </c>
      <c r="J92" s="2147" t="s">
        <v>3284</v>
      </c>
      <c r="K92" s="2147" t="s">
        <v>3285</v>
      </c>
      <c r="L92" s="2147" t="s">
        <v>3286</v>
      </c>
      <c r="M92" s="2147" t="s">
        <v>3287</v>
      </c>
      <c r="N92" s="2147" t="s">
        <v>3288</v>
      </c>
    </row>
    <row r="93" spans="1:37" ht="24">
      <c r="A93" s="3066" t="s">
        <v>3267</v>
      </c>
      <c r="B93" s="1219"/>
      <c r="C93" s="1885"/>
      <c r="D93" s="2306">
        <f>SUMIF($J$92:$N$92,C93,J93:N93)</f>
        <v>0</v>
      </c>
      <c r="E93" s="3079">
        <f>ROUND(SUM(D93:D101),4)</f>
        <v>0</v>
      </c>
      <c r="F93" s="1673" t="str">
        <f>IF(E2="公共服务",SUMIF(L1:L12,G2,N1:N12),"——")</f>
        <v>——</v>
      </c>
      <c r="G93" s="3070"/>
      <c r="H93" s="3115" t="str">
        <f>IFERROR(ROUNDDOWN($F$93*I93/2,4),"——")</f>
        <v>——</v>
      </c>
      <c r="I93" s="3064">
        <v>0.25</v>
      </c>
      <c r="J93" s="1910">
        <f t="shared" ref="J93:J101" si="27">K93+$G93</f>
        <v>0</v>
      </c>
      <c r="K93" s="1910">
        <f t="shared" ref="K93:K101" si="28">$L93+$G93</f>
        <v>0</v>
      </c>
      <c r="L93" s="1910">
        <v>0</v>
      </c>
      <c r="M93" s="1910">
        <f t="shared" ref="M93:N101" si="29">L93-$G93</f>
        <v>0</v>
      </c>
      <c r="N93" s="1910">
        <f t="shared" si="29"/>
        <v>0</v>
      </c>
    </row>
    <row r="94" spans="1:37" ht="52.8">
      <c r="A94" s="3076" t="s">
        <v>3268</v>
      </c>
      <c r="B94" s="3067" t="str">
        <f>估价对象房地状况!C18</f>
        <v>估价对象周边道路状况、公共交通通达情况、停车便捷程度，综合评价交通便捷度较好</v>
      </c>
      <c r="C94" s="1885"/>
      <c r="D94" s="2306">
        <f t="shared" ref="D94:D101" si="30">SUMIF($J$60:$N$60,C94,J94:N94)</f>
        <v>0</v>
      </c>
      <c r="E94" s="3080"/>
      <c r="F94" s="1673"/>
      <c r="G94" s="3070"/>
      <c r="H94" s="3115" t="str">
        <f>IFERROR(ROUNDDOWN($F$93*I94/2,4),"——")</f>
        <v>——</v>
      </c>
      <c r="I94" s="3064">
        <v>0.26</v>
      </c>
      <c r="J94" s="1910">
        <f t="shared" si="27"/>
        <v>0</v>
      </c>
      <c r="K94" s="1910">
        <f t="shared" si="28"/>
        <v>0</v>
      </c>
      <c r="L94" s="1910">
        <v>0</v>
      </c>
      <c r="M94" s="1910">
        <f t="shared" si="29"/>
        <v>0</v>
      </c>
      <c r="N94" s="1910">
        <f t="shared" si="29"/>
        <v>0</v>
      </c>
    </row>
    <row r="95" spans="1:37" ht="48">
      <c r="A95" s="3066" t="s">
        <v>3264</v>
      </c>
      <c r="B95" s="3067">
        <f>估价对象房地状况!C19</f>
        <v>0</v>
      </c>
      <c r="C95" s="1885"/>
      <c r="D95" s="2306">
        <f t="shared" si="30"/>
        <v>0</v>
      </c>
      <c r="E95" s="3080"/>
      <c r="F95" s="1673"/>
      <c r="G95" s="3070"/>
      <c r="H95" s="3115" t="str">
        <f t="shared" ref="H95:H101" si="31">IFERROR(ROUNDDOWN($F$93*I95/2,4),"——")</f>
        <v>——</v>
      </c>
      <c r="I95" s="3064">
        <v>0.11</v>
      </c>
      <c r="J95" s="1910">
        <f t="shared" si="27"/>
        <v>0</v>
      </c>
      <c r="K95" s="1910">
        <f t="shared" si="28"/>
        <v>0</v>
      </c>
      <c r="L95" s="1910">
        <v>0</v>
      </c>
      <c r="M95" s="1910">
        <f t="shared" si="29"/>
        <v>0</v>
      </c>
      <c r="N95" s="1910">
        <f t="shared" si="29"/>
        <v>0</v>
      </c>
    </row>
    <row r="96" spans="1:37" ht="37.200000000000003">
      <c r="A96" s="3076" t="s">
        <v>3269</v>
      </c>
      <c r="B96" s="3082" t="s">
        <v>3280</v>
      </c>
      <c r="C96" s="1885"/>
      <c r="D96" s="2306">
        <f t="shared" si="30"/>
        <v>0</v>
      </c>
      <c r="E96" s="3080"/>
      <c r="F96" s="1673"/>
      <c r="G96" s="3070"/>
      <c r="H96" s="3115" t="str">
        <f t="shared" si="31"/>
        <v>——</v>
      </c>
      <c r="I96" s="3064">
        <v>0.05</v>
      </c>
      <c r="J96" s="1910">
        <f t="shared" si="27"/>
        <v>0</v>
      </c>
      <c r="K96" s="1910">
        <f t="shared" si="28"/>
        <v>0</v>
      </c>
      <c r="L96" s="1910">
        <v>0</v>
      </c>
      <c r="M96" s="1910">
        <f t="shared" si="29"/>
        <v>0</v>
      </c>
      <c r="N96" s="1910">
        <f t="shared" si="29"/>
        <v>0</v>
      </c>
    </row>
    <row r="97" spans="1:14" ht="24">
      <c r="A97" s="3076" t="s">
        <v>3270</v>
      </c>
      <c r="B97" s="3067">
        <f>估价对象房地状况!C24</f>
        <v>0</v>
      </c>
      <c r="C97" s="1885"/>
      <c r="D97" s="2306">
        <f t="shared" si="30"/>
        <v>0</v>
      </c>
      <c r="E97" s="3080"/>
      <c r="F97" s="1673"/>
      <c r="G97" s="3070"/>
      <c r="H97" s="3115" t="str">
        <f t="shared" si="31"/>
        <v>——</v>
      </c>
      <c r="I97" s="3064">
        <v>0.05</v>
      </c>
      <c r="J97" s="1910">
        <f t="shared" si="27"/>
        <v>0</v>
      </c>
      <c r="K97" s="1910">
        <f t="shared" si="28"/>
        <v>0</v>
      </c>
      <c r="L97" s="1910">
        <v>0</v>
      </c>
      <c r="M97" s="1910">
        <f t="shared" si="29"/>
        <v>0</v>
      </c>
      <c r="N97" s="1910">
        <f t="shared" si="29"/>
        <v>0</v>
      </c>
    </row>
    <row r="98" spans="1:14" ht="36">
      <c r="A98" s="3076" t="s">
        <v>3271</v>
      </c>
      <c r="B98" s="3083" t="s">
        <v>3281</v>
      </c>
      <c r="C98" s="1885"/>
      <c r="D98" s="2306">
        <f t="shared" si="30"/>
        <v>0</v>
      </c>
      <c r="E98" s="3080"/>
      <c r="F98" s="1673"/>
      <c r="G98" s="3070"/>
      <c r="H98" s="3115" t="str">
        <f t="shared" si="31"/>
        <v>——</v>
      </c>
      <c r="I98" s="3064">
        <v>0.06</v>
      </c>
      <c r="J98" s="1910">
        <f t="shared" si="27"/>
        <v>0</v>
      </c>
      <c r="K98" s="1910">
        <f t="shared" si="28"/>
        <v>0</v>
      </c>
      <c r="L98" s="1910">
        <v>0</v>
      </c>
      <c r="M98" s="1910">
        <f t="shared" si="29"/>
        <v>0</v>
      </c>
      <c r="N98" s="1910">
        <f t="shared" si="29"/>
        <v>0</v>
      </c>
    </row>
    <row r="99" spans="1:14" ht="26.4">
      <c r="A99" s="3076" t="s">
        <v>3272</v>
      </c>
      <c r="B99" s="3067" t="str">
        <f>估价对象房地状况!C21</f>
        <v>估价对象所在区域公共配套设施齐备情况</v>
      </c>
      <c r="C99" s="1885"/>
      <c r="D99" s="2306">
        <f t="shared" si="30"/>
        <v>0</v>
      </c>
      <c r="E99" s="3080"/>
      <c r="F99" s="1673"/>
      <c r="G99" s="3070"/>
      <c r="H99" s="3115" t="str">
        <f t="shared" si="31"/>
        <v>——</v>
      </c>
      <c r="I99" s="3064">
        <v>0.06</v>
      </c>
      <c r="J99" s="1910">
        <f t="shared" si="27"/>
        <v>0</v>
      </c>
      <c r="K99" s="1910">
        <f t="shared" si="28"/>
        <v>0</v>
      </c>
      <c r="L99" s="1910">
        <v>0</v>
      </c>
      <c r="M99" s="1910">
        <f t="shared" si="29"/>
        <v>0</v>
      </c>
      <c r="N99" s="1910">
        <f t="shared" si="29"/>
        <v>0</v>
      </c>
    </row>
    <row r="100" spans="1:14" ht="26.4">
      <c r="A100" s="3076" t="s">
        <v>3273</v>
      </c>
      <c r="B100" s="3067" t="str">
        <f>估价对象房地状况!C22</f>
        <v>估价对象所在区域基础设施水平</v>
      </c>
      <c r="C100" s="1885"/>
      <c r="D100" s="2306">
        <f t="shared" si="30"/>
        <v>0</v>
      </c>
      <c r="E100" s="3080"/>
      <c r="F100" s="1673"/>
      <c r="G100" s="3070"/>
      <c r="H100" s="3115" t="str">
        <f t="shared" si="31"/>
        <v>——</v>
      </c>
      <c r="I100" s="3064">
        <v>0.09</v>
      </c>
      <c r="J100" s="1910">
        <f t="shared" si="27"/>
        <v>0</v>
      </c>
      <c r="K100" s="1910">
        <f t="shared" si="28"/>
        <v>0</v>
      </c>
      <c r="L100" s="1910">
        <v>0</v>
      </c>
      <c r="M100" s="1910">
        <f t="shared" si="29"/>
        <v>0</v>
      </c>
      <c r="N100" s="1910">
        <f t="shared" si="29"/>
        <v>0</v>
      </c>
    </row>
    <row r="101" spans="1:14" ht="40.200000000000003" thickBot="1">
      <c r="A101" s="3077" t="s">
        <v>3274</v>
      </c>
      <c r="B101" s="3084" t="str">
        <f>估价对象房地状况!C20</f>
        <v>区域自然环境：；人文环境；综合评价环境状况一般</v>
      </c>
      <c r="C101" s="1885"/>
      <c r="D101" s="2306">
        <f t="shared" si="30"/>
        <v>0</v>
      </c>
      <c r="E101" s="3081"/>
      <c r="F101" s="1673"/>
      <c r="G101" s="3070"/>
      <c r="H101" s="3115" t="str">
        <f t="shared" si="31"/>
        <v>——</v>
      </c>
      <c r="I101" s="3065">
        <v>7.0000000000000007E-2</v>
      </c>
      <c r="J101" s="1910">
        <f t="shared" si="27"/>
        <v>0</v>
      </c>
      <c r="K101" s="1910">
        <f t="shared" si="28"/>
        <v>0</v>
      </c>
      <c r="L101" s="1910">
        <v>0</v>
      </c>
      <c r="M101" s="1910">
        <f t="shared" si="29"/>
        <v>0</v>
      </c>
      <c r="N101" s="1910">
        <f t="shared" si="29"/>
        <v>0</v>
      </c>
    </row>
    <row r="103" spans="1:14">
      <c r="A103" s="3483" t="s">
        <v>3289</v>
      </c>
      <c r="B103" s="3483"/>
      <c r="C103" s="3483"/>
      <c r="D103" s="3483"/>
      <c r="E103" s="3483"/>
      <c r="F103" s="3483"/>
      <c r="G103" s="3483"/>
      <c r="H103" s="3483"/>
      <c r="I103" s="3483"/>
      <c r="J103" s="3483"/>
      <c r="K103" s="1665"/>
      <c r="L103" s="1665"/>
      <c r="M103" s="1665"/>
      <c r="N103" s="1665"/>
    </row>
    <row r="104" spans="1:14">
      <c r="A104" s="3484" t="s">
        <v>3290</v>
      </c>
      <c r="B104" s="3484" t="s">
        <v>3291</v>
      </c>
      <c r="C104" s="3086" t="s">
        <v>3292</v>
      </c>
      <c r="D104" s="3087"/>
      <c r="E104" s="3087"/>
      <c r="F104" s="3087"/>
      <c r="G104" s="3087"/>
      <c r="H104" s="3087"/>
      <c r="I104" s="3087"/>
      <c r="J104" s="3088"/>
      <c r="K104" s="3089"/>
      <c r="L104" s="3089"/>
      <c r="M104" s="3089"/>
      <c r="N104" s="3089"/>
    </row>
    <row r="105" spans="1:14">
      <c r="A105" s="3484"/>
      <c r="B105" s="3484"/>
      <c r="C105" s="3090" t="s">
        <v>3293</v>
      </c>
      <c r="D105" s="3090" t="s">
        <v>3294</v>
      </c>
      <c r="E105" s="3090" t="s">
        <v>3295</v>
      </c>
      <c r="F105" s="3090" t="s">
        <v>3296</v>
      </c>
      <c r="G105" s="3090" t="s">
        <v>3297</v>
      </c>
      <c r="H105" s="3090" t="s">
        <v>3298</v>
      </c>
      <c r="I105" s="3090" t="s">
        <v>3299</v>
      </c>
      <c r="J105" s="3090" t="s">
        <v>3300</v>
      </c>
      <c r="K105" s="3090" t="s">
        <v>3301</v>
      </c>
      <c r="L105" s="3090" t="s">
        <v>3302</v>
      </c>
      <c r="M105" s="3090" t="s">
        <v>3303</v>
      </c>
      <c r="N105" s="3090" t="s">
        <v>3304</v>
      </c>
    </row>
    <row r="106" spans="1:14">
      <c r="A106" s="3470" t="s">
        <v>3305</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471"/>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471"/>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471"/>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471"/>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471"/>
      <c r="B111" s="3090" t="s">
        <v>3263</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472"/>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473" t="s">
        <v>3306</v>
      </c>
      <c r="B113" s="3473"/>
      <c r="C113" s="3473"/>
      <c r="D113" s="3473"/>
      <c r="E113" s="3473"/>
      <c r="F113" s="3473"/>
      <c r="G113" s="3473"/>
      <c r="H113" s="3473"/>
      <c r="I113" s="3473"/>
      <c r="J113" s="3473"/>
      <c r="K113" s="3092"/>
      <c r="L113" s="3092"/>
      <c r="M113" s="3092"/>
      <c r="N113" s="3092"/>
    </row>
    <row r="114" spans="1:14">
      <c r="A114" s="3093"/>
      <c r="B114" s="3093"/>
      <c r="C114" s="3093"/>
      <c r="D114" s="3093"/>
      <c r="E114" s="3093"/>
      <c r="F114" s="3093"/>
      <c r="G114" s="3093"/>
      <c r="H114" s="3093"/>
      <c r="I114" s="3093"/>
      <c r="J114" s="3093"/>
      <c r="K114" s="1962"/>
      <c r="L114" s="3093"/>
      <c r="M114" s="3093"/>
      <c r="N114" s="3093"/>
    </row>
    <row r="115" spans="1:14" ht="13.8" thickBot="1">
      <c r="A115" s="3093"/>
      <c r="B115" s="3093"/>
      <c r="C115" s="3093"/>
      <c r="D115" s="3093"/>
      <c r="E115" s="3093"/>
      <c r="F115" s="3093"/>
      <c r="G115" s="3093"/>
      <c r="H115" s="3093"/>
      <c r="I115" s="3093"/>
      <c r="J115" s="3093"/>
      <c r="K115" s="1962"/>
      <c r="L115" s="3093"/>
      <c r="M115" s="3093"/>
      <c r="N115" s="3093"/>
    </row>
    <row r="116" spans="1:14" ht="25.8" thickBot="1">
      <c r="A116" s="3094" t="s">
        <v>3307</v>
      </c>
      <c r="B116" s="3110">
        <f>G3</f>
        <v>0</v>
      </c>
      <c r="C116" s="3095" t="s">
        <v>3308</v>
      </c>
      <c r="D116" s="3096">
        <f>SUMPRODUCT((A118:A122=F116)*(B117:M117=H116)*B118:M122)</f>
        <v>0.94899999999999995</v>
      </c>
      <c r="E116" s="162" t="s">
        <v>3309</v>
      </c>
      <c r="F116" s="3097" t="str">
        <f>E2</f>
        <v>商业</v>
      </c>
      <c r="G116" s="162" t="s">
        <v>3310</v>
      </c>
      <c r="H116" s="3097" t="str">
        <f>G2</f>
        <v>六级</v>
      </c>
      <c r="I116" s="162"/>
      <c r="J116" s="3098"/>
      <c r="K116" s="3098"/>
      <c r="L116" s="3098"/>
      <c r="M116" s="3098"/>
      <c r="N116" s="3093"/>
    </row>
    <row r="117" spans="1:14">
      <c r="A117" s="3099"/>
      <c r="B117" s="3100" t="s">
        <v>3311</v>
      </c>
      <c r="C117" s="3100" t="s">
        <v>3312</v>
      </c>
      <c r="D117" s="3100" t="s">
        <v>3313</v>
      </c>
      <c r="E117" s="3101" t="s">
        <v>3314</v>
      </c>
      <c r="F117" s="3101" t="s">
        <v>3315</v>
      </c>
      <c r="G117" s="3101" t="s">
        <v>3316</v>
      </c>
      <c r="H117" s="3102" t="s">
        <v>3317</v>
      </c>
      <c r="I117" s="3102" t="s">
        <v>3318</v>
      </c>
      <c r="J117" s="3103" t="s">
        <v>3319</v>
      </c>
      <c r="K117" s="3103" t="s">
        <v>3320</v>
      </c>
      <c r="L117" s="3103" t="s">
        <v>3321</v>
      </c>
      <c r="M117" s="3104" t="s">
        <v>3322</v>
      </c>
      <c r="N117" s="3093"/>
    </row>
    <row r="118" spans="1:14">
      <c r="A118" s="3053" t="s">
        <v>3323</v>
      </c>
      <c r="B118" s="3085">
        <f>ROUND(0.9968-0.011*B116,4)</f>
        <v>0.99680000000000002</v>
      </c>
      <c r="C118" s="3085">
        <f>B118</f>
        <v>0.99680000000000002</v>
      </c>
      <c r="D118" s="3085">
        <f>ROUND(0.949-0.014*B116,4)</f>
        <v>0.94899999999999995</v>
      </c>
      <c r="E118" s="3085">
        <f>D118</f>
        <v>0.94899999999999995</v>
      </c>
      <c r="F118" s="3085">
        <f>E118</f>
        <v>0.94899999999999995</v>
      </c>
      <c r="G118" s="3085">
        <f>F118</f>
        <v>0.94899999999999995</v>
      </c>
      <c r="H118" s="3085">
        <f>G118</f>
        <v>0.94899999999999995</v>
      </c>
      <c r="I118" s="3085">
        <f>ROUND(0.8486-0.018*B116,4)</f>
        <v>0.84860000000000002</v>
      </c>
      <c r="J118" s="3085">
        <f t="shared" ref="J118:M122" si="35">I118</f>
        <v>0.84860000000000002</v>
      </c>
      <c r="K118" s="3085">
        <f t="shared" si="35"/>
        <v>0.84860000000000002</v>
      </c>
      <c r="L118" s="3085">
        <f t="shared" si="35"/>
        <v>0.84860000000000002</v>
      </c>
      <c r="M118" s="3105">
        <f t="shared" si="35"/>
        <v>0.84860000000000002</v>
      </c>
      <c r="N118" s="3093"/>
    </row>
    <row r="119" spans="1:14">
      <c r="A119" s="3053" t="s">
        <v>3324</v>
      </c>
      <c r="B119" s="3085">
        <f>ROUND(0.993-0.0112*B116,4)</f>
        <v>0.99299999999999999</v>
      </c>
      <c r="C119" s="3085">
        <f>B119</f>
        <v>0.99299999999999999</v>
      </c>
      <c r="D119" s="3085">
        <f>ROUND(0.9415-0.0142*B116,4)</f>
        <v>0.9415</v>
      </c>
      <c r="E119" s="3085">
        <f t="shared" ref="E119:H120" si="36">D119</f>
        <v>0.9415</v>
      </c>
      <c r="F119" s="3085">
        <f t="shared" si="36"/>
        <v>0.9415</v>
      </c>
      <c r="G119" s="3085">
        <f t="shared" si="36"/>
        <v>0.9415</v>
      </c>
      <c r="H119" s="3085">
        <f t="shared" si="36"/>
        <v>0.9415</v>
      </c>
      <c r="I119" s="3085">
        <f>ROUND(0.838-0.0182*B116,4)</f>
        <v>0.83799999999999997</v>
      </c>
      <c r="J119" s="3085">
        <f t="shared" si="35"/>
        <v>0.83799999999999997</v>
      </c>
      <c r="K119" s="3085">
        <f t="shared" si="35"/>
        <v>0.83799999999999997</v>
      </c>
      <c r="L119" s="3085">
        <f t="shared" si="35"/>
        <v>0.83799999999999997</v>
      </c>
      <c r="M119" s="3105">
        <f t="shared" si="35"/>
        <v>0.83799999999999997</v>
      </c>
      <c r="N119" s="3093"/>
    </row>
    <row r="120" spans="1:14">
      <c r="A120" s="3053" t="s">
        <v>3325</v>
      </c>
      <c r="B120" s="3085">
        <f>ROUND(0.9448-0.0115*B116,4)</f>
        <v>0.94479999999999997</v>
      </c>
      <c r="C120" s="3085">
        <f>B120</f>
        <v>0.94479999999999997</v>
      </c>
      <c r="D120" s="3085">
        <f>ROUND(0.937-0.0145*B116,4)</f>
        <v>0.93700000000000006</v>
      </c>
      <c r="E120" s="3085">
        <f t="shared" si="36"/>
        <v>0.93700000000000006</v>
      </c>
      <c r="F120" s="3085">
        <f t="shared" si="36"/>
        <v>0.93700000000000006</v>
      </c>
      <c r="G120" s="3085">
        <f t="shared" si="36"/>
        <v>0.93700000000000006</v>
      </c>
      <c r="H120" s="3085">
        <f t="shared" si="36"/>
        <v>0.93700000000000006</v>
      </c>
      <c r="I120" s="3085">
        <f>ROUND(0.7965-0.0185*B116,4)</f>
        <v>0.79649999999999999</v>
      </c>
      <c r="J120" s="3085">
        <f t="shared" si="35"/>
        <v>0.79649999999999999</v>
      </c>
      <c r="K120" s="3085">
        <f t="shared" si="35"/>
        <v>0.79649999999999999</v>
      </c>
      <c r="L120" s="3085">
        <f t="shared" si="35"/>
        <v>0.79649999999999999</v>
      </c>
      <c r="M120" s="3105">
        <f t="shared" si="35"/>
        <v>0.79649999999999999</v>
      </c>
      <c r="N120" s="3093"/>
    </row>
    <row r="121" spans="1:14" ht="13.8" thickBot="1">
      <c r="A121" s="3106" t="s">
        <v>3326</v>
      </c>
      <c r="B121" s="3107">
        <f>ROUND(0.7836-0.012*B116,4)</f>
        <v>0.78359999999999996</v>
      </c>
      <c r="C121" s="3107">
        <f>B121</f>
        <v>0.78359999999999996</v>
      </c>
      <c r="D121" s="3107">
        <f>ROUND(0.753-0.015*B116,4)</f>
        <v>0.753</v>
      </c>
      <c r="E121" s="3107">
        <f>D121</f>
        <v>0.753</v>
      </c>
      <c r="F121" s="3107">
        <f>E121</f>
        <v>0.753</v>
      </c>
      <c r="G121" s="3107">
        <f>ROUND(0.6612-0.018*B116,4)</f>
        <v>0.66120000000000001</v>
      </c>
      <c r="H121" s="3107">
        <f>G121</f>
        <v>0.66120000000000001</v>
      </c>
      <c r="I121" s="3107">
        <f>ROUND(0.5905-0.019*B116,4)</f>
        <v>0.59050000000000002</v>
      </c>
      <c r="J121" s="3107">
        <f t="shared" si="35"/>
        <v>0.59050000000000002</v>
      </c>
      <c r="K121" s="3107">
        <f t="shared" si="35"/>
        <v>0.59050000000000002</v>
      </c>
      <c r="L121" s="3107">
        <f t="shared" si="35"/>
        <v>0.59050000000000002</v>
      </c>
      <c r="M121" s="3108">
        <f t="shared" si="35"/>
        <v>0.59050000000000002</v>
      </c>
      <c r="N121" s="3093"/>
    </row>
    <row r="122" spans="1:14">
      <c r="A122" s="3109" t="s">
        <v>2607</v>
      </c>
      <c r="B122" s="3085">
        <f>ROUND(0.9404-0.0106*B116,4)</f>
        <v>0.94040000000000001</v>
      </c>
      <c r="C122" s="3085">
        <f>B122</f>
        <v>0.94040000000000001</v>
      </c>
      <c r="D122" s="3085">
        <f>ROUND(0.8955-0.0135*B116,4)</f>
        <v>0.89549999999999996</v>
      </c>
      <c r="E122" s="3085">
        <f t="shared" ref="E122:H122" si="37">D122</f>
        <v>0.89549999999999996</v>
      </c>
      <c r="F122" s="3085">
        <f t="shared" si="37"/>
        <v>0.89549999999999996</v>
      </c>
      <c r="G122" s="3085">
        <f t="shared" si="37"/>
        <v>0.89549999999999996</v>
      </c>
      <c r="H122" s="3085">
        <f t="shared" si="37"/>
        <v>0.89549999999999996</v>
      </c>
      <c r="I122" s="3085">
        <f>ROUND(0.7632-0.0166*B116,4)</f>
        <v>0.76319999999999999</v>
      </c>
      <c r="J122" s="3085">
        <f t="shared" si="35"/>
        <v>0.76319999999999999</v>
      </c>
      <c r="K122" s="3085">
        <f t="shared" si="35"/>
        <v>0.76319999999999999</v>
      </c>
      <c r="L122" s="3085">
        <f t="shared" si="35"/>
        <v>0.76319999999999999</v>
      </c>
      <c r="M122" s="3105">
        <f t="shared" si="35"/>
        <v>0.76319999999999999</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09" customWidth="1"/>
    <col min="14" max="14" width="10" style="2809" customWidth="1"/>
    <col min="15" max="16" width="8.21875" style="2809"/>
    <col min="17" max="17" width="34.109375" style="2809" customWidth="1"/>
    <col min="18" max="18" width="8.21875" style="2809" customWidth="1"/>
    <col min="19" max="19" width="8.21875" style="2809"/>
    <col min="20" max="20" width="11.6640625" style="2809" customWidth="1"/>
    <col min="21" max="16384" width="8.21875" style="2809"/>
  </cols>
  <sheetData>
    <row r="1" spans="1:13" ht="19.5" customHeight="1" thickBot="1">
      <c r="A1" s="2806" t="s">
        <v>2589</v>
      </c>
      <c r="B1" s="2807" t="s">
        <v>2590</v>
      </c>
      <c r="C1" s="2807" t="s">
        <v>2591</v>
      </c>
      <c r="D1" s="2807" t="s">
        <v>2592</v>
      </c>
      <c r="E1" s="2807" t="s">
        <v>2593</v>
      </c>
      <c r="F1" s="2807" t="s">
        <v>2594</v>
      </c>
      <c r="G1" s="2807" t="s">
        <v>2595</v>
      </c>
      <c r="H1" s="2807" t="s">
        <v>2596</v>
      </c>
      <c r="I1" s="2807" t="s">
        <v>2597</v>
      </c>
      <c r="J1" s="2807" t="s">
        <v>2598</v>
      </c>
      <c r="K1" s="2807" t="s">
        <v>2599</v>
      </c>
      <c r="L1" s="2807" t="s">
        <v>2600</v>
      </c>
      <c r="M1" s="2808" t="s">
        <v>2601</v>
      </c>
    </row>
    <row r="2" spans="1:13" ht="19.5" customHeight="1">
      <c r="A2" s="2810" t="s">
        <v>2602</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2603</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2604</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2605</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2606</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2607</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2608</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2609</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2610</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2611</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2612</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2613</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2614</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2615</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2616</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2617</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2618</v>
      </c>
      <c r="B18" s="2832"/>
      <c r="C18" s="2833"/>
      <c r="D18" s="2833"/>
      <c r="E18" s="2832"/>
      <c r="F18" s="2833"/>
      <c r="G18" s="2833"/>
    </row>
    <row r="19" spans="1:13" ht="19.5" customHeight="1" thickBot="1">
      <c r="A19" s="2830" t="s">
        <v>2619</v>
      </c>
      <c r="B19" s="2835" t="s">
        <v>2620</v>
      </c>
      <c r="C19" s="2835" t="s">
        <v>2621</v>
      </c>
      <c r="D19" s="2836"/>
      <c r="E19" s="2830" t="s">
        <v>2622</v>
      </c>
      <c r="F19" s="2837"/>
      <c r="G19" s="2837"/>
    </row>
    <row r="20" spans="1:13" ht="19.5" customHeight="1">
      <c r="A20" s="3498" t="s">
        <v>2602</v>
      </c>
      <c r="B20" s="3493" t="s">
        <v>2623</v>
      </c>
      <c r="C20" s="2838" t="s">
        <v>2434</v>
      </c>
      <c r="D20" s="2839"/>
      <c r="E20" s="2840">
        <v>1</v>
      </c>
      <c r="F20" s="2841" t="s">
        <v>2435</v>
      </c>
      <c r="G20" s="2841"/>
    </row>
    <row r="21" spans="1:13" ht="19.5" customHeight="1">
      <c r="A21" s="3499"/>
      <c r="B21" s="3492"/>
      <c r="C21" s="2842" t="s">
        <v>2436</v>
      </c>
      <c r="D21" s="2843"/>
      <c r="E21" s="2844">
        <v>1</v>
      </c>
      <c r="F21" s="2841" t="s">
        <v>2437</v>
      </c>
      <c r="G21" s="2841"/>
    </row>
    <row r="22" spans="1:13" ht="19.5" customHeight="1">
      <c r="A22" s="3499"/>
      <c r="B22" s="3492"/>
      <c r="C22" s="2842" t="s">
        <v>2438</v>
      </c>
      <c r="D22" s="2843"/>
      <c r="E22" s="2844">
        <v>0.9</v>
      </c>
      <c r="F22" s="2841" t="s">
        <v>2439</v>
      </c>
      <c r="G22" s="2841"/>
    </row>
    <row r="23" spans="1:13" ht="19.5" customHeight="1">
      <c r="A23" s="3499"/>
      <c r="B23" s="3492"/>
      <c r="C23" s="2842" t="s">
        <v>2440</v>
      </c>
      <c r="D23" s="2843"/>
      <c r="E23" s="2844">
        <v>0.9</v>
      </c>
      <c r="F23" s="2841" t="s">
        <v>2441</v>
      </c>
      <c r="G23" s="2841"/>
    </row>
    <row r="24" spans="1:13" ht="19.5" customHeight="1">
      <c r="A24" s="3499"/>
      <c r="B24" s="3492"/>
      <c r="C24" s="2842" t="s">
        <v>2442</v>
      </c>
      <c r="D24" s="2843"/>
      <c r="E24" s="2844">
        <v>0.8</v>
      </c>
      <c r="F24" s="2841" t="s">
        <v>2443</v>
      </c>
      <c r="G24" s="2841"/>
    </row>
    <row r="25" spans="1:13" ht="19.5" customHeight="1" thickBot="1">
      <c r="A25" s="3500"/>
      <c r="B25" s="3494"/>
      <c r="C25" s="2845" t="s">
        <v>2444</v>
      </c>
      <c r="D25" s="2846"/>
      <c r="E25" s="2847">
        <v>0.8</v>
      </c>
      <c r="F25" s="2841" t="s">
        <v>2445</v>
      </c>
      <c r="G25" s="2841"/>
    </row>
    <row r="26" spans="1:13" ht="19.5" customHeight="1" thickBot="1">
      <c r="A26" s="2848" t="s">
        <v>2624</v>
      </c>
      <c r="B26" s="2849" t="s">
        <v>2623</v>
      </c>
      <c r="C26" s="2850" t="s">
        <v>2625</v>
      </c>
      <c r="D26" s="2851"/>
      <c r="E26" s="2852">
        <v>1</v>
      </c>
      <c r="F26" s="2841" t="s">
        <v>2446</v>
      </c>
      <c r="G26" s="2841"/>
    </row>
    <row r="27" spans="1:13" ht="19.5" customHeight="1">
      <c r="A27" s="3495" t="s">
        <v>2626</v>
      </c>
      <c r="B27" s="3493" t="s">
        <v>2607</v>
      </c>
      <c r="C27" s="2838" t="s">
        <v>2447</v>
      </c>
      <c r="D27" s="2839"/>
      <c r="E27" s="2840">
        <v>1</v>
      </c>
      <c r="F27" s="2841" t="s">
        <v>2448</v>
      </c>
      <c r="G27" s="2841"/>
    </row>
    <row r="28" spans="1:13" ht="19.5" customHeight="1">
      <c r="A28" s="3496"/>
      <c r="B28" s="3492"/>
      <c r="C28" s="2842" t="s">
        <v>2449</v>
      </c>
      <c r="D28" s="2843"/>
      <c r="E28" s="2844">
        <v>1</v>
      </c>
      <c r="F28" s="2841" t="s">
        <v>2450</v>
      </c>
      <c r="G28" s="2841"/>
    </row>
    <row r="29" spans="1:13" ht="19.5" customHeight="1">
      <c r="A29" s="3496"/>
      <c r="B29" s="3492"/>
      <c r="C29" s="2842" t="s">
        <v>2451</v>
      </c>
      <c r="D29" s="2843"/>
      <c r="E29" s="2844">
        <v>0.8</v>
      </c>
      <c r="F29" s="2841" t="s">
        <v>2452</v>
      </c>
      <c r="G29" s="2841"/>
    </row>
    <row r="30" spans="1:13" ht="19.5" customHeight="1">
      <c r="A30" s="3496"/>
      <c r="B30" s="3492"/>
      <c r="C30" s="2842" t="s">
        <v>2453</v>
      </c>
      <c r="D30" s="2843"/>
      <c r="E30" s="2844">
        <v>0.8</v>
      </c>
      <c r="F30" s="2841" t="s">
        <v>2454</v>
      </c>
      <c r="G30" s="2841"/>
    </row>
    <row r="31" spans="1:13" ht="19.5" customHeight="1">
      <c r="A31" s="3496"/>
      <c r="B31" s="3492"/>
      <c r="C31" s="2842" t="s">
        <v>2455</v>
      </c>
      <c r="D31" s="2843"/>
      <c r="E31" s="2844">
        <v>0.8</v>
      </c>
      <c r="F31" s="2841" t="s">
        <v>2456</v>
      </c>
      <c r="G31" s="2841"/>
    </row>
    <row r="32" spans="1:13" ht="19.5" customHeight="1">
      <c r="A32" s="3496"/>
      <c r="B32" s="3492"/>
      <c r="C32" s="2842" t="s">
        <v>2457</v>
      </c>
      <c r="D32" s="2843"/>
      <c r="E32" s="2844">
        <v>0.7</v>
      </c>
      <c r="F32" s="2841" t="s">
        <v>2458</v>
      </c>
      <c r="G32" s="2841"/>
    </row>
    <row r="33" spans="1:7" ht="19.5" customHeight="1">
      <c r="A33" s="3496"/>
      <c r="B33" s="3492"/>
      <c r="C33" s="2842" t="s">
        <v>2459</v>
      </c>
      <c r="D33" s="2843"/>
      <c r="E33" s="2844">
        <v>0.8</v>
      </c>
      <c r="F33" s="2841" t="s">
        <v>2460</v>
      </c>
      <c r="G33" s="2841"/>
    </row>
    <row r="34" spans="1:7" ht="19.5" customHeight="1">
      <c r="A34" s="3496"/>
      <c r="B34" s="3492"/>
      <c r="C34" s="2842" t="s">
        <v>2461</v>
      </c>
      <c r="D34" s="2843"/>
      <c r="E34" s="2844">
        <v>0.6</v>
      </c>
      <c r="F34" s="2841" t="s">
        <v>2462</v>
      </c>
      <c r="G34" s="2841"/>
    </row>
    <row r="35" spans="1:7" ht="19.5" customHeight="1">
      <c r="A35" s="3496"/>
      <c r="B35" s="3492"/>
      <c r="C35" s="2842" t="s">
        <v>2463</v>
      </c>
      <c r="D35" s="2843"/>
      <c r="E35" s="2844">
        <v>0.2</v>
      </c>
      <c r="F35" s="2841" t="s">
        <v>2464</v>
      </c>
      <c r="G35" s="2841"/>
    </row>
    <row r="36" spans="1:7" ht="19.5" customHeight="1">
      <c r="A36" s="3496"/>
      <c r="B36" s="3492"/>
      <c r="C36" s="2842" t="s">
        <v>2465</v>
      </c>
      <c r="D36" s="2843"/>
      <c r="E36" s="2844">
        <v>0.2</v>
      </c>
      <c r="F36" s="2841" t="s">
        <v>2466</v>
      </c>
      <c r="G36" s="2841"/>
    </row>
    <row r="37" spans="1:7" ht="19.5" customHeight="1">
      <c r="A37" s="3496"/>
      <c r="B37" s="3490" t="s">
        <v>2627</v>
      </c>
      <c r="C37" s="2842" t="s">
        <v>2467</v>
      </c>
      <c r="D37" s="2843"/>
      <c r="E37" s="2844">
        <v>0.6</v>
      </c>
      <c r="F37" s="2841" t="s">
        <v>2468</v>
      </c>
      <c r="G37" s="2841"/>
    </row>
    <row r="38" spans="1:7" ht="19.5" customHeight="1">
      <c r="A38" s="3496"/>
      <c r="B38" s="3492"/>
      <c r="C38" s="2842" t="s">
        <v>2469</v>
      </c>
      <c r="D38" s="2843"/>
      <c r="E38" s="2844">
        <v>0.6</v>
      </c>
      <c r="F38" s="2841" t="s">
        <v>2470</v>
      </c>
      <c r="G38" s="2841"/>
    </row>
    <row r="39" spans="1:7" ht="19.5" customHeight="1" thickBot="1">
      <c r="A39" s="3497"/>
      <c r="B39" s="3494"/>
      <c r="C39" s="2845" t="s">
        <v>2471</v>
      </c>
      <c r="D39" s="2846"/>
      <c r="E39" s="2847">
        <v>0.6</v>
      </c>
      <c r="F39" s="2841" t="s">
        <v>2472</v>
      </c>
      <c r="G39" s="2841"/>
    </row>
    <row r="40" spans="1:7" ht="19.5" customHeight="1" thickBot="1">
      <c r="A40" s="2848" t="s">
        <v>2604</v>
      </c>
      <c r="B40" s="2849" t="s">
        <v>2604</v>
      </c>
      <c r="C40" s="2850" t="s">
        <v>2628</v>
      </c>
      <c r="D40" s="2851"/>
      <c r="E40" s="2852">
        <v>1</v>
      </c>
      <c r="F40" s="2841" t="s">
        <v>2473</v>
      </c>
      <c r="G40" s="2841"/>
    </row>
    <row r="41" spans="1:7" ht="19.5" customHeight="1">
      <c r="A41" s="3498" t="s">
        <v>2605</v>
      </c>
      <c r="B41" s="3493" t="s">
        <v>2629</v>
      </c>
      <c r="C41" s="2838" t="s">
        <v>2474</v>
      </c>
      <c r="D41" s="2839"/>
      <c r="E41" s="2840">
        <v>1</v>
      </c>
      <c r="F41" s="2841" t="s">
        <v>2475</v>
      </c>
      <c r="G41" s="2841"/>
    </row>
    <row r="42" spans="1:7" ht="19.5" customHeight="1">
      <c r="A42" s="3499"/>
      <c r="B42" s="3492"/>
      <c r="C42" s="2842" t="s">
        <v>2476</v>
      </c>
      <c r="D42" s="2843"/>
      <c r="E42" s="2844">
        <v>1</v>
      </c>
      <c r="F42" s="2841" t="s">
        <v>2477</v>
      </c>
      <c r="G42" s="2841"/>
    </row>
    <row r="43" spans="1:7" ht="19.5" customHeight="1">
      <c r="A43" s="3499"/>
      <c r="B43" s="3491"/>
      <c r="C43" s="2842" t="s">
        <v>2478</v>
      </c>
      <c r="D43" s="2843"/>
      <c r="E43" s="2844">
        <v>1.5</v>
      </c>
      <c r="F43" s="2841" t="s">
        <v>2479</v>
      </c>
      <c r="G43" s="2841"/>
    </row>
    <row r="44" spans="1:7" ht="19.5" customHeight="1">
      <c r="A44" s="3499"/>
      <c r="B44" s="2853" t="s">
        <v>2630</v>
      </c>
      <c r="C44" s="2842" t="s">
        <v>2631</v>
      </c>
      <c r="D44" s="2843"/>
      <c r="E44" s="2844">
        <v>2</v>
      </c>
      <c r="F44" s="2841" t="s">
        <v>2480</v>
      </c>
      <c r="G44" s="2841"/>
    </row>
    <row r="45" spans="1:7" ht="19.5" customHeight="1">
      <c r="A45" s="3499"/>
      <c r="B45" s="3490" t="s">
        <v>2632</v>
      </c>
      <c r="C45" s="2842" t="s">
        <v>2481</v>
      </c>
      <c r="D45" s="2843"/>
      <c r="E45" s="2844">
        <v>1</v>
      </c>
      <c r="F45" s="2841" t="s">
        <v>2482</v>
      </c>
      <c r="G45" s="2841"/>
    </row>
    <row r="46" spans="1:7" ht="19.5" customHeight="1">
      <c r="A46" s="3499"/>
      <c r="B46" s="3492"/>
      <c r="C46" s="2842" t="s">
        <v>2483</v>
      </c>
      <c r="D46" s="2843"/>
      <c r="E46" s="2844">
        <v>1</v>
      </c>
      <c r="F46" s="2841" t="s">
        <v>2484</v>
      </c>
      <c r="G46" s="2841"/>
    </row>
    <row r="47" spans="1:7" ht="19.5" customHeight="1">
      <c r="A47" s="3499"/>
      <c r="B47" s="3492"/>
      <c r="C47" s="2842" t="s">
        <v>2485</v>
      </c>
      <c r="D47" s="2843"/>
      <c r="E47" s="2844">
        <v>1</v>
      </c>
      <c r="F47" s="2841" t="s">
        <v>2486</v>
      </c>
      <c r="G47" s="2841"/>
    </row>
    <row r="48" spans="1:7" ht="19.5" customHeight="1">
      <c r="A48" s="3499"/>
      <c r="B48" s="3492"/>
      <c r="C48" s="2842" t="s">
        <v>2487</v>
      </c>
      <c r="D48" s="2843"/>
      <c r="E48" s="2844">
        <v>1</v>
      </c>
      <c r="F48" s="2841" t="s">
        <v>2488</v>
      </c>
      <c r="G48" s="2841"/>
    </row>
    <row r="49" spans="1:7" ht="19.5" customHeight="1">
      <c r="A49" s="3499"/>
      <c r="B49" s="3492"/>
      <c r="C49" s="2842" t="s">
        <v>2489</v>
      </c>
      <c r="D49" s="2843"/>
      <c r="E49" s="2844">
        <v>1</v>
      </c>
      <c r="F49" s="2841" t="s">
        <v>2490</v>
      </c>
      <c r="G49" s="2841"/>
    </row>
    <row r="50" spans="1:7" ht="19.5" customHeight="1">
      <c r="A50" s="3499"/>
      <c r="B50" s="3492"/>
      <c r="C50" s="2842" t="s">
        <v>2491</v>
      </c>
      <c r="D50" s="2843"/>
      <c r="E50" s="2844">
        <v>1</v>
      </c>
      <c r="F50" s="2841" t="s">
        <v>2492</v>
      </c>
      <c r="G50" s="2841"/>
    </row>
    <row r="51" spans="1:7" ht="19.5" customHeight="1" thickBot="1">
      <c r="A51" s="3500"/>
      <c r="B51" s="3494"/>
      <c r="C51" s="2845" t="s">
        <v>2493</v>
      </c>
      <c r="D51" s="2846"/>
      <c r="E51" s="2847">
        <v>1</v>
      </c>
      <c r="F51" s="2841" t="s">
        <v>2494</v>
      </c>
      <c r="G51" s="2841"/>
    </row>
    <row r="52" spans="1:7" ht="19.5" customHeight="1">
      <c r="A52" s="2854"/>
      <c r="B52" s="2854"/>
      <c r="C52" s="2854"/>
      <c r="D52" s="2854"/>
      <c r="E52" s="2854"/>
      <c r="F52" s="2854"/>
      <c r="G52" s="2854"/>
    </row>
    <row r="54" spans="1:7" ht="19.5" customHeight="1">
      <c r="A54" s="2855"/>
      <c r="B54" s="2827" t="s">
        <v>2633</v>
      </c>
      <c r="C54" s="2827" t="s">
        <v>2633</v>
      </c>
      <c r="D54" s="2827" t="s">
        <v>2633</v>
      </c>
      <c r="E54" s="2830" t="s">
        <v>2633</v>
      </c>
      <c r="F54" s="2830" t="s">
        <v>2634</v>
      </c>
      <c r="G54" s="2830" t="s">
        <v>2635</v>
      </c>
    </row>
    <row r="55" spans="1:7" ht="19.5" customHeight="1">
      <c r="A55" s="2856"/>
      <c r="B55" s="2830" t="s">
        <v>2602</v>
      </c>
      <c r="C55" s="2830" t="s">
        <v>2602</v>
      </c>
      <c r="D55" s="2830" t="s">
        <v>2602</v>
      </c>
      <c r="E55" s="2827" t="s">
        <v>2603</v>
      </c>
      <c r="F55" s="2827" t="s">
        <v>2605</v>
      </c>
      <c r="G55" s="2827" t="s">
        <v>2636</v>
      </c>
    </row>
    <row r="56" spans="1:7" ht="19.5" customHeight="1">
      <c r="A56" s="2857"/>
      <c r="B56" s="2827">
        <v>1</v>
      </c>
      <c r="C56" s="2827">
        <v>2</v>
      </c>
      <c r="D56" s="2827">
        <v>3</v>
      </c>
      <c r="E56" s="2858" t="s">
        <v>2637</v>
      </c>
      <c r="F56" s="2858" t="s">
        <v>2637</v>
      </c>
      <c r="G56" s="2858" t="s">
        <v>2637</v>
      </c>
    </row>
    <row r="57" spans="1:7" ht="19.5" customHeight="1">
      <c r="A57" s="2859" t="s">
        <v>2590</v>
      </c>
      <c r="B57" s="2827">
        <v>0.7</v>
      </c>
      <c r="C57" s="2827">
        <v>0.4</v>
      </c>
      <c r="D57" s="2827">
        <v>0.3</v>
      </c>
      <c r="E57" s="2858">
        <v>0.3</v>
      </c>
      <c r="F57" s="2827">
        <v>0.3</v>
      </c>
      <c r="G57" s="2827">
        <v>0.2</v>
      </c>
    </row>
    <row r="58" spans="1:7" ht="19.5" customHeight="1">
      <c r="A58" s="2859" t="s">
        <v>2591</v>
      </c>
      <c r="B58" s="2827">
        <v>0.7</v>
      </c>
      <c r="C58" s="2827">
        <v>0.4</v>
      </c>
      <c r="D58" s="2827">
        <v>0.3</v>
      </c>
      <c r="E58" s="2827">
        <v>0.3</v>
      </c>
      <c r="F58" s="2827">
        <v>0.3</v>
      </c>
      <c r="G58" s="2827">
        <v>0.2</v>
      </c>
    </row>
    <row r="59" spans="1:7" ht="19.5" customHeight="1">
      <c r="A59" s="2859" t="s">
        <v>2592</v>
      </c>
      <c r="B59" s="2827">
        <v>0.6</v>
      </c>
      <c r="C59" s="2827">
        <v>0.3</v>
      </c>
      <c r="D59" s="2827">
        <v>0.25</v>
      </c>
      <c r="E59" s="2827">
        <v>0.25</v>
      </c>
      <c r="F59" s="2827">
        <v>0.25</v>
      </c>
      <c r="G59" s="2827">
        <v>0.15</v>
      </c>
    </row>
    <row r="60" spans="1:7" ht="19.5" customHeight="1">
      <c r="A60" s="2859" t="s">
        <v>2593</v>
      </c>
      <c r="B60" s="2827">
        <v>0.6</v>
      </c>
      <c r="C60" s="2827">
        <v>0.3</v>
      </c>
      <c r="D60" s="2827">
        <v>0.25</v>
      </c>
      <c r="E60" s="2827">
        <v>0.25</v>
      </c>
      <c r="F60" s="2827">
        <v>0.25</v>
      </c>
      <c r="G60" s="2827">
        <v>0.15</v>
      </c>
    </row>
    <row r="61" spans="1:7" ht="19.5" customHeight="1">
      <c r="A61" s="2859" t="s">
        <v>2594</v>
      </c>
      <c r="B61" s="2827">
        <v>0.6</v>
      </c>
      <c r="C61" s="2827">
        <v>0.3</v>
      </c>
      <c r="D61" s="2827">
        <v>0.25</v>
      </c>
      <c r="E61" s="2827">
        <v>0.25</v>
      </c>
      <c r="F61" s="2827">
        <v>0.25</v>
      </c>
      <c r="G61" s="2827">
        <v>0.15</v>
      </c>
    </row>
    <row r="62" spans="1:7" ht="19.5" customHeight="1">
      <c r="A62" s="2859" t="s">
        <v>2595</v>
      </c>
      <c r="B62" s="2827">
        <v>0.6</v>
      </c>
      <c r="C62" s="2827">
        <v>0.3</v>
      </c>
      <c r="D62" s="2827">
        <v>0.25</v>
      </c>
      <c r="E62" s="2827">
        <v>0.25</v>
      </c>
      <c r="F62" s="2827">
        <v>0.25</v>
      </c>
      <c r="G62" s="2827">
        <v>0.15</v>
      </c>
    </row>
    <row r="63" spans="1:7" ht="19.5" customHeight="1">
      <c r="A63" s="2859" t="s">
        <v>2596</v>
      </c>
      <c r="B63" s="2827">
        <v>0.6</v>
      </c>
      <c r="C63" s="2827">
        <v>0.3</v>
      </c>
      <c r="D63" s="2827">
        <v>0.25</v>
      </c>
      <c r="E63" s="2827">
        <v>0.25</v>
      </c>
      <c r="F63" s="2827">
        <v>0.25</v>
      </c>
      <c r="G63" s="2827">
        <v>0.15</v>
      </c>
    </row>
    <row r="64" spans="1:7" ht="19.5" customHeight="1">
      <c r="A64" s="2859" t="s">
        <v>2597</v>
      </c>
      <c r="B64" s="2827">
        <v>0.5</v>
      </c>
      <c r="C64" s="2827">
        <v>0.2</v>
      </c>
      <c r="D64" s="2827">
        <v>0.2</v>
      </c>
      <c r="E64" s="2827">
        <v>0.2</v>
      </c>
      <c r="F64" s="2827">
        <v>0.2</v>
      </c>
      <c r="G64" s="2827">
        <v>0.1</v>
      </c>
    </row>
    <row r="65" spans="1:7" ht="19.5" customHeight="1">
      <c r="A65" s="2859" t="s">
        <v>2598</v>
      </c>
      <c r="B65" s="2827">
        <v>0.5</v>
      </c>
      <c r="C65" s="2827">
        <v>0.2</v>
      </c>
      <c r="D65" s="2827">
        <v>0.2</v>
      </c>
      <c r="E65" s="2827">
        <v>0.2</v>
      </c>
      <c r="F65" s="2827">
        <v>0.2</v>
      </c>
      <c r="G65" s="2827">
        <v>0.1</v>
      </c>
    </row>
    <row r="66" spans="1:7" ht="19.5" customHeight="1">
      <c r="A66" s="2859" t="s">
        <v>2599</v>
      </c>
      <c r="B66" s="2827">
        <v>0.5</v>
      </c>
      <c r="C66" s="2827">
        <v>0.2</v>
      </c>
      <c r="D66" s="2827">
        <v>0.2</v>
      </c>
      <c r="E66" s="2827">
        <v>0.2</v>
      </c>
      <c r="F66" s="2827">
        <v>0.2</v>
      </c>
      <c r="G66" s="2827">
        <v>0.1</v>
      </c>
    </row>
    <row r="67" spans="1:7" ht="19.5" customHeight="1">
      <c r="A67" s="2859" t="s">
        <v>2600</v>
      </c>
      <c r="B67" s="2827">
        <v>0.5</v>
      </c>
      <c r="C67" s="2827">
        <v>0.2</v>
      </c>
      <c r="D67" s="2827">
        <v>0.2</v>
      </c>
      <c r="E67" s="2827">
        <v>0.2</v>
      </c>
      <c r="F67" s="2827">
        <v>0.2</v>
      </c>
      <c r="G67" s="2827">
        <v>0.1</v>
      </c>
    </row>
    <row r="68" spans="1:7" ht="19.5" customHeight="1">
      <c r="A68" s="2859" t="s">
        <v>2601</v>
      </c>
      <c r="B68" s="2827">
        <v>0.5</v>
      </c>
      <c r="C68" s="2827">
        <v>0.2</v>
      </c>
      <c r="D68" s="2827">
        <v>0.2</v>
      </c>
      <c r="E68" s="2827">
        <v>0.2</v>
      </c>
      <c r="F68" s="2827">
        <v>0.2</v>
      </c>
      <c r="G68" s="2827">
        <v>0.1</v>
      </c>
    </row>
    <row r="70" spans="1:7" ht="19.5" customHeight="1">
      <c r="A70" s="2841"/>
      <c r="B70" s="2860"/>
      <c r="C70" s="2860"/>
      <c r="D70" s="2860" t="s">
        <v>2638</v>
      </c>
      <c r="E70" s="2860"/>
      <c r="F70" s="2860"/>
    </row>
    <row r="71" spans="1:7" ht="19.5" customHeight="1">
      <c r="A71" s="2853" t="s">
        <v>2639</v>
      </c>
      <c r="B71" s="2853" t="s">
        <v>2640</v>
      </c>
      <c r="C71" s="2853" t="s">
        <v>2641</v>
      </c>
      <c r="D71" s="2853" t="s">
        <v>2642</v>
      </c>
      <c r="E71" s="2853" t="s">
        <v>2643</v>
      </c>
      <c r="F71" s="2853" t="s">
        <v>2644</v>
      </c>
    </row>
    <row r="72" spans="1:7" ht="14.4">
      <c r="A72" s="2853"/>
      <c r="B72" s="2853"/>
      <c r="C72" s="2853" t="s">
        <v>2645</v>
      </c>
      <c r="D72" s="2853"/>
      <c r="E72" s="2853" t="s">
        <v>2616</v>
      </c>
      <c r="F72" s="2853" t="s">
        <v>2616</v>
      </c>
    </row>
    <row r="73" spans="1:7" ht="14.4">
      <c r="A73" s="2853">
        <v>1</v>
      </c>
      <c r="B73" s="3490" t="s">
        <v>2646</v>
      </c>
      <c r="C73" s="2827" t="s">
        <v>2647</v>
      </c>
      <c r="D73" s="2827" t="s">
        <v>2648</v>
      </c>
      <c r="E73" s="2853">
        <v>0.2</v>
      </c>
      <c r="F73" s="2853">
        <v>25</v>
      </c>
    </row>
    <row r="74" spans="1:7" ht="24">
      <c r="A74" s="2853">
        <v>2</v>
      </c>
      <c r="B74" s="3492"/>
      <c r="C74" s="2827" t="s">
        <v>2649</v>
      </c>
      <c r="D74" s="2827" t="s">
        <v>2650</v>
      </c>
      <c r="E74" s="2853">
        <v>0.2</v>
      </c>
      <c r="F74" s="2853">
        <v>25</v>
      </c>
    </row>
    <row r="75" spans="1:7" ht="24">
      <c r="A75" s="2853">
        <v>3</v>
      </c>
      <c r="B75" s="3492"/>
      <c r="C75" s="2827" t="s">
        <v>2651</v>
      </c>
      <c r="D75" s="2827" t="s">
        <v>2652</v>
      </c>
      <c r="E75" s="2853">
        <v>0.2</v>
      </c>
      <c r="F75" s="2853">
        <v>25</v>
      </c>
    </row>
    <row r="76" spans="1:7" ht="14.4">
      <c r="A76" s="2853">
        <v>4</v>
      </c>
      <c r="B76" s="3492"/>
      <c r="C76" s="2827" t="s">
        <v>2653</v>
      </c>
      <c r="D76" s="2827" t="s">
        <v>2654</v>
      </c>
      <c r="E76" s="2853">
        <v>0.15</v>
      </c>
      <c r="F76" s="2853">
        <v>20</v>
      </c>
    </row>
    <row r="77" spans="1:7" ht="24">
      <c r="A77" s="2853">
        <v>5</v>
      </c>
      <c r="B77" s="3492"/>
      <c r="C77" s="2827" t="s">
        <v>2655</v>
      </c>
      <c r="D77" s="2827" t="s">
        <v>2656</v>
      </c>
      <c r="E77" s="2853">
        <v>0.15</v>
      </c>
      <c r="F77" s="2853">
        <v>20</v>
      </c>
    </row>
    <row r="78" spans="1:7" ht="24">
      <c r="A78" s="2853">
        <v>6</v>
      </c>
      <c r="B78" s="3492"/>
      <c r="C78" s="2827" t="s">
        <v>2657</v>
      </c>
      <c r="D78" s="2827" t="s">
        <v>2658</v>
      </c>
      <c r="E78" s="2853">
        <v>0.15</v>
      </c>
      <c r="F78" s="2853">
        <v>20</v>
      </c>
    </row>
    <row r="79" spans="1:7" ht="24">
      <c r="A79" s="2853">
        <v>7</v>
      </c>
      <c r="B79" s="3492"/>
      <c r="C79" s="2827" t="s">
        <v>2659</v>
      </c>
      <c r="D79" s="2827" t="s">
        <v>2660</v>
      </c>
      <c r="E79" s="2853">
        <v>0.15</v>
      </c>
      <c r="F79" s="2853">
        <v>20</v>
      </c>
    </row>
    <row r="80" spans="1:7" ht="24">
      <c r="A80" s="2853">
        <v>8</v>
      </c>
      <c r="B80" s="3492"/>
      <c r="C80" s="2827" t="s">
        <v>2661</v>
      </c>
      <c r="D80" s="2827" t="s">
        <v>2662</v>
      </c>
      <c r="E80" s="2853">
        <v>0.1</v>
      </c>
      <c r="F80" s="2853">
        <v>15</v>
      </c>
    </row>
    <row r="81" spans="1:6" ht="24">
      <c r="A81" s="2853">
        <v>9</v>
      </c>
      <c r="B81" s="3492"/>
      <c r="C81" s="2827" t="s">
        <v>2663</v>
      </c>
      <c r="D81" s="2827" t="s">
        <v>2664</v>
      </c>
      <c r="E81" s="2853">
        <v>0.1</v>
      </c>
      <c r="F81" s="2853">
        <v>15</v>
      </c>
    </row>
    <row r="82" spans="1:6" ht="24">
      <c r="A82" s="2853">
        <v>10</v>
      </c>
      <c r="B82" s="3492"/>
      <c r="C82" s="2827" t="s">
        <v>2665</v>
      </c>
      <c r="D82" s="2827" t="s">
        <v>2666</v>
      </c>
      <c r="E82" s="2853">
        <v>0.1</v>
      </c>
      <c r="F82" s="2853">
        <v>15</v>
      </c>
    </row>
    <row r="83" spans="1:6" ht="24">
      <c r="A83" s="2853">
        <v>11</v>
      </c>
      <c r="B83" s="3492"/>
      <c r="C83" s="2827" t="s">
        <v>2667</v>
      </c>
      <c r="D83" s="2827" t="s">
        <v>2668</v>
      </c>
      <c r="E83" s="2853">
        <v>0.1</v>
      </c>
      <c r="F83" s="2853">
        <v>15</v>
      </c>
    </row>
    <row r="84" spans="1:6" ht="24">
      <c r="A84" s="2853">
        <v>12</v>
      </c>
      <c r="B84" s="3492"/>
      <c r="C84" s="2827" t="s">
        <v>2669</v>
      </c>
      <c r="D84" s="2827" t="s">
        <v>2670</v>
      </c>
      <c r="E84" s="2853">
        <v>0.1</v>
      </c>
      <c r="F84" s="2853">
        <v>15</v>
      </c>
    </row>
    <row r="85" spans="1:6" ht="24">
      <c r="A85" s="2853">
        <v>13</v>
      </c>
      <c r="B85" s="3492"/>
      <c r="C85" s="2827" t="s">
        <v>2671</v>
      </c>
      <c r="D85" s="2827" t="s">
        <v>2672</v>
      </c>
      <c r="E85" s="2853">
        <v>0.1</v>
      </c>
      <c r="F85" s="2853">
        <v>15</v>
      </c>
    </row>
    <row r="86" spans="1:6" ht="24">
      <c r="A86" s="2853">
        <v>14</v>
      </c>
      <c r="B86" s="3492"/>
      <c r="C86" s="2827" t="s">
        <v>2673</v>
      </c>
      <c r="D86" s="2827" t="s">
        <v>2674</v>
      </c>
      <c r="E86" s="2853">
        <v>0.1</v>
      </c>
      <c r="F86" s="2853">
        <v>15</v>
      </c>
    </row>
    <row r="87" spans="1:6" ht="24">
      <c r="A87" s="2853">
        <v>15</v>
      </c>
      <c r="B87" s="3492"/>
      <c r="C87" s="2827" t="s">
        <v>2675</v>
      </c>
      <c r="D87" s="2827" t="s">
        <v>2676</v>
      </c>
      <c r="E87" s="2853">
        <v>0.1</v>
      </c>
      <c r="F87" s="2853">
        <v>15</v>
      </c>
    </row>
    <row r="88" spans="1:6" ht="24">
      <c r="A88" s="2853">
        <v>16</v>
      </c>
      <c r="B88" s="3492"/>
      <c r="C88" s="2827" t="s">
        <v>2677</v>
      </c>
      <c r="D88" s="2827" t="s">
        <v>2678</v>
      </c>
      <c r="E88" s="2853">
        <v>0.1</v>
      </c>
      <c r="F88" s="2853">
        <v>15</v>
      </c>
    </row>
    <row r="89" spans="1:6" ht="24">
      <c r="A89" s="2853">
        <v>17</v>
      </c>
      <c r="B89" s="3491"/>
      <c r="C89" s="2827" t="s">
        <v>2679</v>
      </c>
      <c r="D89" s="2827" t="s">
        <v>2680</v>
      </c>
      <c r="E89" s="2853">
        <v>0.1</v>
      </c>
      <c r="F89" s="2853">
        <v>15</v>
      </c>
    </row>
    <row r="90" spans="1:6" ht="14.4">
      <c r="A90" s="2853">
        <v>18</v>
      </c>
      <c r="B90" s="3490" t="s">
        <v>2681</v>
      </c>
      <c r="C90" s="2827" t="s">
        <v>2682</v>
      </c>
      <c r="D90" s="2827" t="s">
        <v>2683</v>
      </c>
      <c r="E90" s="2853">
        <v>0.2</v>
      </c>
      <c r="F90" s="2853">
        <v>25</v>
      </c>
    </row>
    <row r="91" spans="1:6" ht="24">
      <c r="A91" s="2853">
        <v>19</v>
      </c>
      <c r="B91" s="3492"/>
      <c r="C91" s="2827" t="s">
        <v>2684</v>
      </c>
      <c r="D91" s="2827" t="s">
        <v>2685</v>
      </c>
      <c r="E91" s="2853">
        <v>0.2</v>
      </c>
      <c r="F91" s="2853">
        <v>25</v>
      </c>
    </row>
    <row r="92" spans="1:6" ht="14.4">
      <c r="A92" s="2853">
        <v>20</v>
      </c>
      <c r="B92" s="3492"/>
      <c r="C92" s="2827" t="s">
        <v>2686</v>
      </c>
      <c r="D92" s="2827" t="s">
        <v>2687</v>
      </c>
      <c r="E92" s="2853">
        <v>0.15</v>
      </c>
      <c r="F92" s="2853">
        <v>20</v>
      </c>
    </row>
    <row r="93" spans="1:6" ht="24">
      <c r="A93" s="2853">
        <v>21</v>
      </c>
      <c r="B93" s="3492"/>
      <c r="C93" s="2827" t="s">
        <v>2688</v>
      </c>
      <c r="D93" s="2827" t="s">
        <v>2689</v>
      </c>
      <c r="E93" s="2853">
        <v>0.15</v>
      </c>
      <c r="F93" s="2853">
        <v>20</v>
      </c>
    </row>
    <row r="94" spans="1:6" ht="24">
      <c r="A94" s="2853">
        <v>22</v>
      </c>
      <c r="B94" s="3492"/>
      <c r="C94" s="2827" t="s">
        <v>2690</v>
      </c>
      <c r="D94" s="2827" t="s">
        <v>2691</v>
      </c>
      <c r="E94" s="2853">
        <v>0.15</v>
      </c>
      <c r="F94" s="2853">
        <v>20</v>
      </c>
    </row>
    <row r="95" spans="1:6" ht="36">
      <c r="A95" s="2853">
        <v>23</v>
      </c>
      <c r="B95" s="3492"/>
      <c r="C95" s="2827" t="s">
        <v>2692</v>
      </c>
      <c r="D95" s="2827" t="s">
        <v>2693</v>
      </c>
      <c r="E95" s="2853">
        <v>0.15</v>
      </c>
      <c r="F95" s="2853">
        <v>20</v>
      </c>
    </row>
    <row r="96" spans="1:6" ht="24">
      <c r="A96" s="2853">
        <v>24</v>
      </c>
      <c r="B96" s="3492"/>
      <c r="C96" s="2827" t="s">
        <v>2694</v>
      </c>
      <c r="D96" s="2827" t="s">
        <v>2695</v>
      </c>
      <c r="E96" s="2853">
        <v>0.1</v>
      </c>
      <c r="F96" s="2853">
        <v>15</v>
      </c>
    </row>
    <row r="97" spans="1:6" ht="24">
      <c r="A97" s="2853">
        <v>25</v>
      </c>
      <c r="B97" s="3492"/>
      <c r="C97" s="2827" t="s">
        <v>2696</v>
      </c>
      <c r="D97" s="2827" t="s">
        <v>2697</v>
      </c>
      <c r="E97" s="2853">
        <v>0.1</v>
      </c>
      <c r="F97" s="2853">
        <v>15</v>
      </c>
    </row>
    <row r="98" spans="1:6" ht="24">
      <c r="A98" s="2853">
        <v>26</v>
      </c>
      <c r="B98" s="3492"/>
      <c r="C98" s="2827" t="s">
        <v>2698</v>
      </c>
      <c r="D98" s="2827" t="s">
        <v>2699</v>
      </c>
      <c r="E98" s="2853">
        <v>0.1</v>
      </c>
      <c r="F98" s="2853">
        <v>15</v>
      </c>
    </row>
    <row r="99" spans="1:6" ht="24">
      <c r="A99" s="2853">
        <v>27</v>
      </c>
      <c r="B99" s="3492"/>
      <c r="C99" s="2827" t="s">
        <v>2700</v>
      </c>
      <c r="D99" s="2827" t="s">
        <v>2701</v>
      </c>
      <c r="E99" s="2853">
        <v>0.1</v>
      </c>
      <c r="F99" s="2853">
        <v>15</v>
      </c>
    </row>
    <row r="100" spans="1:6" ht="24">
      <c r="A100" s="2853">
        <v>28</v>
      </c>
      <c r="B100" s="3492"/>
      <c r="C100" s="2827" t="s">
        <v>2702</v>
      </c>
      <c r="D100" s="2827" t="s">
        <v>2703</v>
      </c>
      <c r="E100" s="2853">
        <v>0.1</v>
      </c>
      <c r="F100" s="2853">
        <v>15</v>
      </c>
    </row>
    <row r="101" spans="1:6" ht="24">
      <c r="A101" s="2853">
        <v>29</v>
      </c>
      <c r="B101" s="3492"/>
      <c r="C101" s="2827" t="s">
        <v>2704</v>
      </c>
      <c r="D101" s="2827" t="s">
        <v>2705</v>
      </c>
      <c r="E101" s="2853">
        <v>0.1</v>
      </c>
      <c r="F101" s="2853">
        <v>15</v>
      </c>
    </row>
    <row r="102" spans="1:6" ht="24">
      <c r="A102" s="2853">
        <v>30</v>
      </c>
      <c r="B102" s="3492"/>
      <c r="C102" s="2827" t="s">
        <v>2706</v>
      </c>
      <c r="D102" s="2827" t="s">
        <v>2707</v>
      </c>
      <c r="E102" s="2853">
        <v>0.1</v>
      </c>
      <c r="F102" s="2853">
        <v>15</v>
      </c>
    </row>
    <row r="103" spans="1:6" ht="24">
      <c r="A103" s="2853">
        <v>31</v>
      </c>
      <c r="B103" s="3492"/>
      <c r="C103" s="2827" t="s">
        <v>2708</v>
      </c>
      <c r="D103" s="2827" t="s">
        <v>2709</v>
      </c>
      <c r="E103" s="2853">
        <v>0.1</v>
      </c>
      <c r="F103" s="2853">
        <v>15</v>
      </c>
    </row>
    <row r="104" spans="1:6" ht="24">
      <c r="A104" s="2853">
        <v>32</v>
      </c>
      <c r="B104" s="3492"/>
      <c r="C104" s="2827" t="s">
        <v>2710</v>
      </c>
      <c r="D104" s="2827" t="s">
        <v>2711</v>
      </c>
      <c r="E104" s="2853">
        <v>0.1</v>
      </c>
      <c r="F104" s="2853">
        <v>15</v>
      </c>
    </row>
    <row r="105" spans="1:6" ht="24">
      <c r="A105" s="2853">
        <v>33</v>
      </c>
      <c r="B105" s="3492"/>
      <c r="C105" s="2827" t="s">
        <v>2712</v>
      </c>
      <c r="D105" s="2827" t="s">
        <v>2713</v>
      </c>
      <c r="E105" s="2853">
        <v>0.1</v>
      </c>
      <c r="F105" s="2853">
        <v>15</v>
      </c>
    </row>
    <row r="106" spans="1:6" ht="24">
      <c r="A106" s="2853">
        <v>34</v>
      </c>
      <c r="B106" s="3491"/>
      <c r="C106" s="2827" t="s">
        <v>2714</v>
      </c>
      <c r="D106" s="2827" t="s">
        <v>2715</v>
      </c>
      <c r="E106" s="2853">
        <v>0.1</v>
      </c>
      <c r="F106" s="2853">
        <v>15</v>
      </c>
    </row>
    <row r="107" spans="1:6" ht="36">
      <c r="A107" s="2853">
        <v>35</v>
      </c>
      <c r="B107" s="3490" t="s">
        <v>2716</v>
      </c>
      <c r="C107" s="2853" t="s">
        <v>2717</v>
      </c>
      <c r="D107" s="2827" t="s">
        <v>2718</v>
      </c>
      <c r="E107" s="2853">
        <v>0.15</v>
      </c>
      <c r="F107" s="2853">
        <v>20</v>
      </c>
    </row>
    <row r="108" spans="1:6" ht="24">
      <c r="A108" s="2853">
        <v>36</v>
      </c>
      <c r="B108" s="3492"/>
      <c r="C108" s="2853" t="s">
        <v>2719</v>
      </c>
      <c r="D108" s="2827" t="s">
        <v>2720</v>
      </c>
      <c r="E108" s="2853">
        <v>0.15</v>
      </c>
      <c r="F108" s="2853">
        <v>20</v>
      </c>
    </row>
    <row r="109" spans="1:6" ht="24">
      <c r="A109" s="2853">
        <v>37</v>
      </c>
      <c r="B109" s="3492"/>
      <c r="C109" s="2853" t="s">
        <v>2721</v>
      </c>
      <c r="D109" s="2827" t="s">
        <v>2722</v>
      </c>
      <c r="E109" s="2853">
        <v>0.15</v>
      </c>
      <c r="F109" s="2853">
        <v>20</v>
      </c>
    </row>
    <row r="110" spans="1:6" ht="24">
      <c r="A110" s="2853">
        <v>38</v>
      </c>
      <c r="B110" s="3492"/>
      <c r="C110" s="2853" t="s">
        <v>2723</v>
      </c>
      <c r="D110" s="2827" t="s">
        <v>2724</v>
      </c>
      <c r="E110" s="2853">
        <v>0.1</v>
      </c>
      <c r="F110" s="2853">
        <v>15</v>
      </c>
    </row>
    <row r="111" spans="1:6" ht="24">
      <c r="A111" s="2853">
        <v>39</v>
      </c>
      <c r="B111" s="3492"/>
      <c r="C111" s="2853" t="s">
        <v>2725</v>
      </c>
      <c r="D111" s="2827" t="s">
        <v>2726</v>
      </c>
      <c r="E111" s="2853">
        <v>0.1</v>
      </c>
      <c r="F111" s="2853">
        <v>15</v>
      </c>
    </row>
    <row r="112" spans="1:6" ht="24">
      <c r="A112" s="2853">
        <v>40</v>
      </c>
      <c r="B112" s="3491"/>
      <c r="C112" s="2853" t="s">
        <v>2727</v>
      </c>
      <c r="D112" s="2827" t="s">
        <v>2728</v>
      </c>
      <c r="E112" s="2853">
        <v>0.1</v>
      </c>
      <c r="F112" s="2853">
        <v>15</v>
      </c>
    </row>
    <row r="113" spans="1:6" ht="24">
      <c r="A113" s="2853">
        <v>41</v>
      </c>
      <c r="B113" s="3489" t="s">
        <v>2729</v>
      </c>
      <c r="C113" s="2853" t="s">
        <v>2730</v>
      </c>
      <c r="D113" s="2827" t="s">
        <v>2731</v>
      </c>
      <c r="E113" s="2853">
        <v>0.1</v>
      </c>
      <c r="F113" s="2853">
        <v>15</v>
      </c>
    </row>
    <row r="114" spans="1:6" ht="24">
      <c r="A114" s="2853">
        <v>42</v>
      </c>
      <c r="B114" s="3489"/>
      <c r="C114" s="2853" t="s">
        <v>2732</v>
      </c>
      <c r="D114" s="2827" t="s">
        <v>2733</v>
      </c>
      <c r="E114" s="2853">
        <v>0.1</v>
      </c>
      <c r="F114" s="2853">
        <v>15</v>
      </c>
    </row>
    <row r="115" spans="1:6" ht="24">
      <c r="A115" s="2853">
        <v>43</v>
      </c>
      <c r="B115" s="3489"/>
      <c r="C115" s="2853" t="s">
        <v>2734</v>
      </c>
      <c r="D115" s="2827" t="s">
        <v>2735</v>
      </c>
      <c r="E115" s="2853">
        <v>0.1</v>
      </c>
      <c r="F115" s="2853">
        <v>15</v>
      </c>
    </row>
    <row r="116" spans="1:6" ht="24">
      <c r="A116" s="2853">
        <v>44</v>
      </c>
      <c r="B116" s="3490" t="s">
        <v>2736</v>
      </c>
      <c r="C116" s="2853" t="s">
        <v>2737</v>
      </c>
      <c r="D116" s="2827" t="s">
        <v>2738</v>
      </c>
      <c r="E116" s="2853">
        <v>0.1</v>
      </c>
      <c r="F116" s="2853">
        <v>15</v>
      </c>
    </row>
    <row r="117" spans="1:6" ht="24">
      <c r="A117" s="2853">
        <v>45</v>
      </c>
      <c r="B117" s="3491"/>
      <c r="C117" s="2827" t="s">
        <v>2739</v>
      </c>
      <c r="D117" s="2827" t="s">
        <v>2740</v>
      </c>
      <c r="E117" s="2853">
        <v>0.1</v>
      </c>
      <c r="F117" s="2853">
        <v>15</v>
      </c>
    </row>
    <row r="118" spans="1:6" ht="24">
      <c r="A118" s="2853">
        <v>46</v>
      </c>
      <c r="B118" s="3490" t="s">
        <v>2741</v>
      </c>
      <c r="C118" s="2853" t="s">
        <v>2742</v>
      </c>
      <c r="D118" s="2827" t="s">
        <v>2743</v>
      </c>
      <c r="E118" s="2853">
        <v>0.1</v>
      </c>
      <c r="F118" s="2853">
        <v>15</v>
      </c>
    </row>
    <row r="119" spans="1:6" ht="24">
      <c r="A119" s="2853">
        <v>47</v>
      </c>
      <c r="B119" s="3491"/>
      <c r="C119" s="2853" t="s">
        <v>2744</v>
      </c>
      <c r="D119" s="2827" t="s">
        <v>2745</v>
      </c>
      <c r="E119" s="2853">
        <v>0.1</v>
      </c>
      <c r="F119" s="2853">
        <v>15</v>
      </c>
    </row>
    <row r="120" spans="1:6" ht="24">
      <c r="A120" s="2853">
        <v>48</v>
      </c>
      <c r="B120" s="3490" t="s">
        <v>2746</v>
      </c>
      <c r="C120" s="2853" t="s">
        <v>2747</v>
      </c>
      <c r="D120" s="2827" t="s">
        <v>2748</v>
      </c>
      <c r="E120" s="2853">
        <v>0.1</v>
      </c>
      <c r="F120" s="2853">
        <v>15</v>
      </c>
    </row>
    <row r="121" spans="1:6" ht="24">
      <c r="A121" s="2853">
        <v>49</v>
      </c>
      <c r="B121" s="3491"/>
      <c r="C121" s="2853" t="s">
        <v>2749</v>
      </c>
      <c r="D121" s="2827" t="s">
        <v>2750</v>
      </c>
      <c r="E121" s="2853">
        <v>0.1</v>
      </c>
      <c r="F121" s="2853">
        <v>15</v>
      </c>
    </row>
    <row r="122" spans="1:6" ht="24">
      <c r="A122" s="2853">
        <v>50</v>
      </c>
      <c r="B122" s="3489" t="s">
        <v>2751</v>
      </c>
      <c r="C122" s="2853" t="s">
        <v>2752</v>
      </c>
      <c r="D122" s="2827" t="s">
        <v>2753</v>
      </c>
      <c r="E122" s="2853">
        <v>0.1</v>
      </c>
      <c r="F122" s="2853">
        <v>15</v>
      </c>
    </row>
    <row r="123" spans="1:6" ht="24">
      <c r="A123" s="2853">
        <v>51</v>
      </c>
      <c r="B123" s="3489"/>
      <c r="C123" s="2853" t="s">
        <v>2754</v>
      </c>
      <c r="D123" s="2827" t="s">
        <v>2755</v>
      </c>
      <c r="E123" s="2853">
        <v>0.1</v>
      </c>
      <c r="F123" s="2853">
        <v>15</v>
      </c>
    </row>
    <row r="124" spans="1:6" ht="24">
      <c r="A124" s="2853">
        <v>52</v>
      </c>
      <c r="B124" s="3489" t="s">
        <v>2756</v>
      </c>
      <c r="C124" s="2853" t="s">
        <v>2757</v>
      </c>
      <c r="D124" s="2827" t="s">
        <v>2758</v>
      </c>
      <c r="E124" s="2853">
        <v>0.1</v>
      </c>
      <c r="F124" s="2853">
        <v>15</v>
      </c>
    </row>
    <row r="125" spans="1:6" ht="24">
      <c r="A125" s="2853">
        <v>53</v>
      </c>
      <c r="B125" s="3489"/>
      <c r="C125" s="2853" t="s">
        <v>2759</v>
      </c>
      <c r="D125" s="2827" t="s">
        <v>2760</v>
      </c>
      <c r="E125" s="2853">
        <v>0.1</v>
      </c>
      <c r="F125" s="2853">
        <v>15</v>
      </c>
    </row>
    <row r="126" spans="1:6" ht="24">
      <c r="A126" s="2853">
        <v>54</v>
      </c>
      <c r="B126" s="2853" t="s">
        <v>2761</v>
      </c>
      <c r="C126" s="2853" t="s">
        <v>2762</v>
      </c>
      <c r="D126" s="2827" t="s">
        <v>2763</v>
      </c>
      <c r="E126" s="2853">
        <v>0.1</v>
      </c>
      <c r="F126" s="2853">
        <v>15</v>
      </c>
    </row>
    <row r="127" spans="1:6" ht="24">
      <c r="A127" s="2853">
        <v>55</v>
      </c>
      <c r="B127" s="3489" t="s">
        <v>2764</v>
      </c>
      <c r="C127" s="2853" t="s">
        <v>2765</v>
      </c>
      <c r="D127" s="2827" t="s">
        <v>2766</v>
      </c>
      <c r="E127" s="2853">
        <v>0.1</v>
      </c>
      <c r="F127" s="2853">
        <v>15</v>
      </c>
    </row>
    <row r="128" spans="1:6" ht="24">
      <c r="A128" s="2853">
        <v>56</v>
      </c>
      <c r="B128" s="3489"/>
      <c r="C128" s="2853" t="s">
        <v>2767</v>
      </c>
      <c r="D128" s="2827" t="s">
        <v>2768</v>
      </c>
      <c r="E128" s="2853">
        <v>0.1</v>
      </c>
      <c r="F128" s="2853">
        <v>15</v>
      </c>
    </row>
    <row r="129" spans="1:6" ht="24">
      <c r="A129" s="2853">
        <v>57</v>
      </c>
      <c r="B129" s="3489"/>
      <c r="C129" s="2853" t="s">
        <v>2769</v>
      </c>
      <c r="D129" s="2827" t="s">
        <v>2770</v>
      </c>
      <c r="E129" s="2853">
        <v>0.1</v>
      </c>
      <c r="F129" s="2853">
        <v>15</v>
      </c>
    </row>
    <row r="130" spans="1:6" ht="24">
      <c r="A130" s="2853">
        <v>58</v>
      </c>
      <c r="B130" s="3489" t="s">
        <v>2771</v>
      </c>
      <c r="C130" s="2853" t="s">
        <v>2772</v>
      </c>
      <c r="D130" s="2827" t="s">
        <v>2773</v>
      </c>
      <c r="E130" s="2853">
        <v>0.1</v>
      </c>
      <c r="F130" s="2853">
        <v>15</v>
      </c>
    </row>
    <row r="131" spans="1:6" ht="24">
      <c r="A131" s="2853">
        <v>59</v>
      </c>
      <c r="B131" s="3489"/>
      <c r="C131" s="2853" t="s">
        <v>2774</v>
      </c>
      <c r="D131" s="2827" t="s">
        <v>2775</v>
      </c>
      <c r="E131" s="2853">
        <v>0.1</v>
      </c>
      <c r="F131" s="2853">
        <v>15</v>
      </c>
    </row>
    <row r="132" spans="1:6" ht="24">
      <c r="A132" s="2853">
        <v>60</v>
      </c>
      <c r="B132" s="3490" t="s">
        <v>2776</v>
      </c>
      <c r="C132" s="2853" t="s">
        <v>2777</v>
      </c>
      <c r="D132" s="2827" t="s">
        <v>2778</v>
      </c>
      <c r="E132" s="2853">
        <v>0.1</v>
      </c>
      <c r="F132" s="2853">
        <v>15</v>
      </c>
    </row>
    <row r="133" spans="1:6" ht="24">
      <c r="A133" s="2853">
        <v>61</v>
      </c>
      <c r="B133" s="3491"/>
      <c r="C133" s="2853" t="s">
        <v>2779</v>
      </c>
      <c r="D133" s="2827" t="s">
        <v>2780</v>
      </c>
      <c r="E133" s="2853">
        <v>0.1</v>
      </c>
      <c r="F133" s="2853">
        <v>15</v>
      </c>
    </row>
    <row r="134" spans="1:6" ht="24">
      <c r="A134" s="2853">
        <v>62</v>
      </c>
      <c r="B134" s="2853" t="s">
        <v>2781</v>
      </c>
      <c r="C134" s="2853" t="s">
        <v>2782</v>
      </c>
      <c r="D134" s="2827" t="s">
        <v>2783</v>
      </c>
      <c r="E134" s="2853">
        <v>0.1</v>
      </c>
      <c r="F134" s="2853">
        <v>15</v>
      </c>
    </row>
    <row r="135" spans="1:6" ht="24">
      <c r="A135" s="2853">
        <v>63</v>
      </c>
      <c r="B135" s="3489" t="s">
        <v>2784</v>
      </c>
      <c r="C135" s="2853" t="s">
        <v>2785</v>
      </c>
      <c r="D135" s="2827" t="s">
        <v>2786</v>
      </c>
      <c r="E135" s="2853">
        <v>0.1</v>
      </c>
      <c r="F135" s="2853">
        <v>15</v>
      </c>
    </row>
    <row r="136" spans="1:6" ht="24">
      <c r="A136" s="2853">
        <v>64</v>
      </c>
      <c r="B136" s="3489"/>
      <c r="C136" s="2853" t="s">
        <v>2787</v>
      </c>
      <c r="D136" s="2827" t="s">
        <v>2788</v>
      </c>
      <c r="E136" s="2853">
        <v>0.1</v>
      </c>
      <c r="F136" s="2853">
        <v>15</v>
      </c>
    </row>
    <row r="137" spans="1:6" ht="24">
      <c r="A137" s="2853">
        <v>65</v>
      </c>
      <c r="B137" s="2853" t="s">
        <v>2789</v>
      </c>
      <c r="C137" s="2853" t="s">
        <v>2790</v>
      </c>
      <c r="D137" s="2827" t="s">
        <v>2791</v>
      </c>
      <c r="E137" s="2853">
        <v>0.1</v>
      </c>
      <c r="F137" s="2853">
        <v>15</v>
      </c>
    </row>
    <row r="138" spans="1:6" ht="14.4">
      <c r="A138" s="2853"/>
      <c r="B138" s="2853"/>
      <c r="C138" s="2853"/>
      <c r="D138" s="2853"/>
      <c r="E138" s="2853" t="s">
        <v>2792</v>
      </c>
      <c r="F138" s="2853"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5"/>
  </cols>
  <sheetData>
    <row r="1" spans="1:20" ht="16.2" thickBot="1">
      <c r="A1" s="2861" t="s">
        <v>2793</v>
      </c>
      <c r="B1" s="2861"/>
      <c r="C1" s="2861"/>
      <c r="D1" s="2861"/>
      <c r="E1" s="2861"/>
      <c r="F1" s="2861"/>
      <c r="G1" s="2861"/>
      <c r="H1" s="2861"/>
      <c r="I1" s="2861"/>
      <c r="J1" s="2861"/>
      <c r="K1" s="2861"/>
      <c r="L1" s="2861"/>
      <c r="M1" s="2861"/>
      <c r="N1" s="707"/>
    </row>
    <row r="2" spans="1:20">
      <c r="A2" s="2862" t="s">
        <v>2794</v>
      </c>
      <c r="B2" s="2863" t="s">
        <v>2590</v>
      </c>
      <c r="C2" s="2863" t="s">
        <v>2591</v>
      </c>
      <c r="D2" s="2863" t="s">
        <v>2592</v>
      </c>
      <c r="E2" s="2863" t="s">
        <v>2593</v>
      </c>
      <c r="F2" s="2863" t="s">
        <v>2594</v>
      </c>
      <c r="G2" s="2863" t="s">
        <v>2595</v>
      </c>
      <c r="H2" s="2864" t="s">
        <v>2596</v>
      </c>
      <c r="I2" s="2864" t="s">
        <v>2597</v>
      </c>
      <c r="J2" s="2865" t="s">
        <v>2598</v>
      </c>
      <c r="K2" s="2865" t="s">
        <v>2599</v>
      </c>
      <c r="L2" s="2865" t="s">
        <v>2600</v>
      </c>
      <c r="M2" s="2866" t="s">
        <v>2601</v>
      </c>
      <c r="Q2" s="2876" t="s">
        <v>2799</v>
      </c>
      <c r="R2" s="2876" t="s">
        <v>2800</v>
      </c>
      <c r="S2" s="2876" t="s">
        <v>2801</v>
      </c>
      <c r="T2" s="2876" t="s">
        <v>2802</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6.2" thickBot="1">
      <c r="A93" s="2861" t="s">
        <v>2795</v>
      </c>
      <c r="B93" s="2861"/>
      <c r="C93" s="2861"/>
      <c r="D93" s="2861"/>
      <c r="E93" s="2861"/>
      <c r="F93" s="2861"/>
      <c r="G93" s="2861"/>
      <c r="H93" s="2861"/>
      <c r="I93" s="2861"/>
      <c r="J93" s="2861"/>
      <c r="K93" s="2861"/>
      <c r="L93" s="2861"/>
      <c r="M93" s="2861"/>
    </row>
    <row r="94" spans="1:20">
      <c r="A94" s="2862" t="s">
        <v>2794</v>
      </c>
      <c r="B94" s="2863" t="s">
        <v>2590</v>
      </c>
      <c r="C94" s="2863" t="s">
        <v>2591</v>
      </c>
      <c r="D94" s="2863" t="s">
        <v>2592</v>
      </c>
      <c r="E94" s="2863" t="s">
        <v>2593</v>
      </c>
      <c r="F94" s="2863" t="s">
        <v>2594</v>
      </c>
      <c r="G94" s="2863" t="s">
        <v>2595</v>
      </c>
      <c r="H94" s="2864" t="s">
        <v>2596</v>
      </c>
      <c r="I94" s="2864" t="s">
        <v>2597</v>
      </c>
      <c r="J94" s="2865" t="s">
        <v>2598</v>
      </c>
      <c r="K94" s="2865" t="s">
        <v>2599</v>
      </c>
      <c r="L94" s="2865" t="s">
        <v>2600</v>
      </c>
      <c r="M94" s="2866" t="s">
        <v>2601</v>
      </c>
      <c r="N94">
        <f>SUMPRODUCT((A95:A184=ROUNDDOWN(基准地价修正!G3,1))*(B94:M94=基准地价修正!G2)*(B95:M184))</f>
        <v>0</v>
      </c>
      <c r="Q94" s="2876" t="s">
        <v>2799</v>
      </c>
      <c r="R94" s="2876" t="s">
        <v>2800</v>
      </c>
      <c r="S94" s="2876" t="s">
        <v>2801</v>
      </c>
      <c r="T94" s="2876" t="s">
        <v>2802</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5.6">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7"/>
    </row>
    <row r="104" spans="1:14" ht="15.6">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7"/>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6.2" thickBot="1">
      <c r="A185" s="2861" t="s">
        <v>2796</v>
      </c>
      <c r="B185" s="2861"/>
      <c r="C185" s="2861"/>
      <c r="D185" s="2861"/>
      <c r="E185" s="2861"/>
      <c r="F185" s="2861"/>
      <c r="G185" s="2861"/>
      <c r="H185" s="2861"/>
      <c r="I185" s="2861"/>
      <c r="J185" s="2861"/>
      <c r="K185" s="2861"/>
      <c r="L185" s="2861"/>
      <c r="M185" s="2861"/>
    </row>
    <row r="186" spans="1:20">
      <c r="A186" s="2862" t="s">
        <v>2794</v>
      </c>
      <c r="B186" s="2863" t="s">
        <v>2590</v>
      </c>
      <c r="C186" s="2863" t="s">
        <v>2591</v>
      </c>
      <c r="D186" s="2863" t="s">
        <v>2592</v>
      </c>
      <c r="E186" s="2863" t="s">
        <v>2593</v>
      </c>
      <c r="F186" s="2863" t="s">
        <v>2594</v>
      </c>
      <c r="G186" s="2863" t="s">
        <v>2595</v>
      </c>
      <c r="H186" s="2864" t="s">
        <v>2596</v>
      </c>
      <c r="I186" s="2864" t="s">
        <v>2597</v>
      </c>
      <c r="J186" s="2865" t="s">
        <v>2598</v>
      </c>
      <c r="K186" s="2865" t="s">
        <v>2599</v>
      </c>
      <c r="L186" s="2865" t="s">
        <v>2600</v>
      </c>
      <c r="M186" s="2866" t="s">
        <v>2601</v>
      </c>
      <c r="Q186" s="2876" t="s">
        <v>2799</v>
      </c>
      <c r="R186" s="2876" t="s">
        <v>2800</v>
      </c>
      <c r="S186" s="2876" t="s">
        <v>2801</v>
      </c>
      <c r="T186" s="2876" t="s">
        <v>2802</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6.2" thickBot="1">
      <c r="A277" s="2861" t="s">
        <v>2797</v>
      </c>
      <c r="B277" s="2861"/>
      <c r="C277" s="2861"/>
      <c r="D277" s="2861"/>
      <c r="E277" s="2861"/>
      <c r="F277" s="2861"/>
      <c r="G277" s="2861"/>
      <c r="H277" s="2861"/>
      <c r="I277" s="2861"/>
      <c r="J277" s="2861"/>
      <c r="K277" s="2861"/>
      <c r="L277" s="2861"/>
      <c r="M277" s="2861"/>
    </row>
    <row r="278" spans="1:21">
      <c r="A278" s="2862" t="s">
        <v>2794</v>
      </c>
      <c r="B278" s="2863" t="s">
        <v>2590</v>
      </c>
      <c r="C278" s="2863" t="s">
        <v>2591</v>
      </c>
      <c r="D278" s="2863" t="s">
        <v>2592</v>
      </c>
      <c r="E278" s="2863" t="s">
        <v>2593</v>
      </c>
      <c r="F278" s="2863" t="s">
        <v>2594</v>
      </c>
      <c r="G278" s="2863" t="s">
        <v>2595</v>
      </c>
      <c r="H278" s="2864" t="s">
        <v>2596</v>
      </c>
      <c r="I278" s="2864" t="s">
        <v>2597</v>
      </c>
      <c r="J278" s="2865" t="s">
        <v>2598</v>
      </c>
      <c r="K278" s="2865" t="s">
        <v>2599</v>
      </c>
      <c r="L278" s="2865" t="s">
        <v>2600</v>
      </c>
      <c r="M278" s="2866" t="s">
        <v>2601</v>
      </c>
      <c r="Q278" s="2876" t="s">
        <v>2799</v>
      </c>
      <c r="R278" s="2876" t="s">
        <v>2800</v>
      </c>
      <c r="S278" s="2876" t="s">
        <v>2803</v>
      </c>
      <c r="T278" s="2876" t="s">
        <v>2804</v>
      </c>
      <c r="U278" s="2876" t="s">
        <v>2802</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6.2" thickBot="1">
      <c r="A369" s="2861" t="s">
        <v>2798</v>
      </c>
      <c r="B369" s="2874"/>
      <c r="C369" s="2874"/>
      <c r="D369" s="2874"/>
      <c r="E369" s="2874"/>
      <c r="F369" s="2874"/>
      <c r="G369" s="2874"/>
      <c r="H369" s="2874"/>
      <c r="I369" s="2874"/>
      <c r="J369" s="2874"/>
      <c r="K369" s="2874"/>
      <c r="L369" s="2874"/>
      <c r="M369" s="2874"/>
    </row>
    <row r="370" spans="1:20">
      <c r="A370" s="2862" t="s">
        <v>2794</v>
      </c>
      <c r="B370" s="2863" t="s">
        <v>2590</v>
      </c>
      <c r="C370" s="2863" t="s">
        <v>2591</v>
      </c>
      <c r="D370" s="2863" t="s">
        <v>2592</v>
      </c>
      <c r="E370" s="2863" t="s">
        <v>2593</v>
      </c>
      <c r="F370" s="2863" t="s">
        <v>2594</v>
      </c>
      <c r="G370" s="2863" t="s">
        <v>2595</v>
      </c>
      <c r="H370" s="2864" t="s">
        <v>2596</v>
      </c>
      <c r="I370" s="2864" t="s">
        <v>2597</v>
      </c>
      <c r="J370" s="2865" t="s">
        <v>2598</v>
      </c>
      <c r="K370" s="2865" t="s">
        <v>2599</v>
      </c>
      <c r="L370" s="2865" t="s">
        <v>2600</v>
      </c>
      <c r="M370" s="2866" t="s">
        <v>2601</v>
      </c>
      <c r="N370">
        <f>SUMPRODUCT((A371:A460=ROUNDDOWN(基准地价修正!G3,1))*(B370:M370=基准地价修正!G2)*(B371:M460))</f>
        <v>0</v>
      </c>
      <c r="Q370" s="2876" t="s">
        <v>2799</v>
      </c>
      <c r="R370" s="2876" t="s">
        <v>2800</v>
      </c>
      <c r="S370" s="2876" t="s">
        <v>2801</v>
      </c>
      <c r="T370" s="2876" t="s">
        <v>2802</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27733</v>
      </c>
      <c r="C2" s="2" t="s">
        <v>106</v>
      </c>
      <c r="D2" s="191"/>
      <c r="E2" s="191"/>
      <c r="F2" s="191"/>
      <c r="G2" s="191"/>
    </row>
    <row r="3" spans="1:7" s="192" customFormat="1" ht="18" customHeight="1" thickBot="1">
      <c r="A3" s="195" t="s">
        <v>58</v>
      </c>
      <c r="B3" s="196">
        <f ca="1">ROUND(B2*10000/'数据-汇总表'!E3,0)</f>
        <v>1128551</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5</v>
      </c>
      <c r="D10" s="795">
        <f>'数据-汇总表'!E6</f>
        <v>245.74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v>
      </c>
      <c r="D19" s="204">
        <f>'数据-汇总表'!E3</f>
        <v>245.74</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2"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39">
        <f ca="1">ROUND(SUM(C23:C25),0)</f>
        <v>1311</v>
      </c>
      <c r="D22" s="227">
        <f ca="1">C26</f>
        <v>5.9999999999999995E-4</v>
      </c>
      <c r="E22" s="228" t="s">
        <v>99</v>
      </c>
      <c r="F22" s="229">
        <f ca="1">'数据-取费表'!B40</f>
        <v>3.1E-2</v>
      </c>
      <c r="G22" s="1002" t="str">
        <f>IF('数据-取费表'!B22&lt;=1,"单利计息","复利计息")</f>
        <v>复利计息</v>
      </c>
    </row>
    <row r="23" spans="1:7" s="206" customFormat="1" ht="13.5" customHeight="1">
      <c r="A23" s="734" t="s">
        <v>349</v>
      </c>
      <c r="B23" s="207" t="s">
        <v>423</v>
      </c>
      <c r="C23" s="1040">
        <f ca="1">ROUND(IF('数据-取费表'!B22&lt;=1,C5*F22*'数据-取费表'!B23,C5*(POWER((1+F22),'数据-取费表'!B23)-1)),0)</f>
        <v>1298</v>
      </c>
      <c r="D23" s="230"/>
      <c r="E23" s="230"/>
      <c r="F23" s="231"/>
      <c r="G23" s="232" t="s">
        <v>81</v>
      </c>
    </row>
    <row r="24" spans="1:7" s="206" customFormat="1" ht="13.5" customHeight="1">
      <c r="A24" s="734" t="s">
        <v>347</v>
      </c>
      <c r="B24" s="207" t="s">
        <v>418</v>
      </c>
      <c r="C24" s="1040">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0">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27617</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110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98</v>
      </c>
      <c r="D34" s="209"/>
      <c r="E34" s="212"/>
      <c r="F34" s="249">
        <f>IF('数据-取费表'!B24=0,1,'数据-取费表'!N16)</f>
        <v>1</v>
      </c>
      <c r="G34" s="211" t="s">
        <v>89</v>
      </c>
    </row>
    <row r="35" spans="1:7" ht="13.5" customHeight="1">
      <c r="A35" s="734" t="s">
        <v>351</v>
      </c>
      <c r="B35" s="207" t="s">
        <v>33</v>
      </c>
      <c r="C35" s="212">
        <f>ROUND(C34*F35,0)</f>
        <v>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v>
      </c>
      <c r="D37" s="209">
        <f>'数据-汇总表'!E3</f>
        <v>245.74</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2</v>
      </c>
      <c r="D39" s="224"/>
      <c r="E39" s="224"/>
      <c r="F39" s="225"/>
      <c r="G39" s="1002"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3</v>
      </c>
      <c r="D41" s="227">
        <f ca="1">C44</f>
        <v>5.9999999999999995E-4</v>
      </c>
      <c r="E41" s="228" t="s">
        <v>102</v>
      </c>
      <c r="F41" s="229"/>
      <c r="G41" s="1002" t="str">
        <f>IF('数据-取费表'!B22&lt;=1,"单利计息","复利计息")</f>
        <v>复利计息</v>
      </c>
    </row>
    <row r="42" spans="1:7" ht="13.5" customHeight="1">
      <c r="A42" s="734" t="s">
        <v>349</v>
      </c>
      <c r="B42" s="207" t="s">
        <v>423</v>
      </c>
      <c r="C42" s="230">
        <f ca="1">ROUND(IF('数据-取费表'!B22&lt;=1,C33*F22*'数据-取费表'!B21/2,C33*(POWER((1+F22),'数据-取费表'!B21/2)-1)),0)</f>
        <v>3</v>
      </c>
      <c r="D42" s="230"/>
      <c r="E42" s="230"/>
      <c r="F42" s="231"/>
      <c r="G42" s="3364" t="s">
        <v>94</v>
      </c>
    </row>
    <row r="43" spans="1:7" ht="13.5" customHeight="1">
      <c r="A43" s="734" t="s">
        <v>347</v>
      </c>
      <c r="B43" s="207" t="s">
        <v>426</v>
      </c>
      <c r="C43" s="230">
        <f ca="1">ROUND(IF('数据-取费表'!B22&lt;=1,C39*F22*'数据-取费表'!B21/2,C39*(POWER((1+F22),'数据-取费表'!B21/2)-1)),0)</f>
        <v>0</v>
      </c>
      <c r="D43" s="230"/>
      <c r="E43" s="230"/>
      <c r="F43" s="231"/>
      <c r="G43" s="3365"/>
    </row>
    <row r="44" spans="1:7" ht="13.5" customHeight="1">
      <c r="A44" s="734" t="s">
        <v>348</v>
      </c>
      <c r="B44" s="207" t="s">
        <v>428</v>
      </c>
      <c r="C44" s="230">
        <f ca="1">ROUND(IF('数据-取费表'!B22&lt;=1,C40*F22*'数据-取费表'!B21/2,C40*(POWER((1+F22),'数据-取费表'!B21/2)-1)),4)</f>
        <v>5.9999999999999995E-4</v>
      </c>
      <c r="D44" s="230"/>
      <c r="E44" s="230"/>
      <c r="F44" s="231"/>
      <c r="G44" s="3366"/>
    </row>
    <row r="45" spans="1:7" s="206" customFormat="1" ht="13.5" customHeight="1">
      <c r="A45" s="731" t="s">
        <v>341</v>
      </c>
      <c r="B45" s="236" t="s">
        <v>85</v>
      </c>
      <c r="C45" s="237">
        <f>C46</f>
        <v>17</v>
      </c>
      <c r="D45" s="227">
        <f>C47</f>
        <v>3.0000000000000001E-3</v>
      </c>
      <c r="E45" s="228" t="s">
        <v>102</v>
      </c>
      <c r="F45" s="238"/>
      <c r="G45" s="239" t="s">
        <v>434</v>
      </c>
    </row>
    <row r="46" spans="1:7" s="206" customFormat="1" ht="13.5" customHeight="1">
      <c r="A46" s="734" t="s">
        <v>349</v>
      </c>
      <c r="B46" s="240" t="s">
        <v>427</v>
      </c>
      <c r="C46" s="241">
        <f>ROUND((C33+C39)*F27,0)</f>
        <v>17</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143</v>
      </c>
      <c r="D49" s="224"/>
      <c r="E49" s="224"/>
      <c r="F49" s="256"/>
      <c r="G49" s="226" t="s">
        <v>435</v>
      </c>
    </row>
    <row r="50" spans="1:7" s="250" customFormat="1" ht="24">
      <c r="A50" s="731" t="s">
        <v>344</v>
      </c>
      <c r="B50" s="202" t="s">
        <v>97</v>
      </c>
      <c r="C50" s="224"/>
      <c r="D50" s="224"/>
      <c r="E50" s="224"/>
      <c r="F50" s="256">
        <f>IF('数据-取费表'!B24=0,'数据-取费表'!N16,1)</f>
        <v>0.81</v>
      </c>
      <c r="G50" s="239" t="s">
        <v>98</v>
      </c>
    </row>
    <row r="51" spans="1:7" ht="16.5" customHeight="1">
      <c r="A51" s="731" t="s">
        <v>345</v>
      </c>
      <c r="B51" s="202" t="s">
        <v>105</v>
      </c>
      <c r="C51" s="224">
        <f ca="1">ROUND(C49*F50,0)</f>
        <v>116</v>
      </c>
      <c r="D51" s="224"/>
      <c r="E51" s="224"/>
      <c r="F51" s="256"/>
      <c r="G51" s="226" t="s">
        <v>37</v>
      </c>
    </row>
    <row r="52" spans="1:7" s="200" customFormat="1" ht="16.8" thickBot="1">
      <c r="A52" s="257" t="s">
        <v>38</v>
      </c>
      <c r="B52" s="258"/>
      <c r="C52" s="259">
        <f ca="1">C31+C51</f>
        <v>27733</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3" customWidth="1"/>
    <col min="2" max="2" width="20" style="2963" customWidth="1"/>
    <col min="3" max="7" width="8.88671875" style="2963"/>
    <col min="8" max="16384" width="8.88671875" style="2809"/>
  </cols>
  <sheetData>
    <row r="1" spans="1:7">
      <c r="A1" s="3501" t="s">
        <v>3176</v>
      </c>
      <c r="B1" s="3501"/>
    </row>
    <row r="2" spans="1:7" ht="15" thickBot="1">
      <c r="A2" s="2964"/>
      <c r="B2" s="2964"/>
    </row>
    <row r="3" spans="1:7" ht="15" thickBot="1">
      <c r="A3" s="2964"/>
      <c r="B3" s="2964"/>
      <c r="C3" s="2965" t="s">
        <v>2806</v>
      </c>
      <c r="D3" s="2965" t="s">
        <v>2862</v>
      </c>
      <c r="E3" s="2965" t="s">
        <v>2808</v>
      </c>
      <c r="F3" s="2965" t="s">
        <v>2863</v>
      </c>
      <c r="G3" s="2965" t="s">
        <v>2626</v>
      </c>
    </row>
    <row r="4" spans="1:7" ht="15" thickBot="1">
      <c r="A4" s="2966" t="s">
        <v>2861</v>
      </c>
      <c r="B4" s="2967" t="s">
        <v>2867</v>
      </c>
      <c r="C4" s="2965"/>
      <c r="D4" s="2965"/>
      <c r="E4" s="2965"/>
      <c r="F4" s="2965"/>
      <c r="G4" s="2965"/>
    </row>
    <row r="5" spans="1:7">
      <c r="A5" s="2968" t="s">
        <v>2835</v>
      </c>
      <c r="B5" s="2969" t="s">
        <v>2849</v>
      </c>
      <c r="C5" s="2970">
        <v>9.8000000000000004E-2</v>
      </c>
      <c r="D5" s="2970">
        <v>8.6999999999999994E-2</v>
      </c>
      <c r="E5" s="2970">
        <v>8.6999999999999994E-2</v>
      </c>
      <c r="F5" s="2970">
        <v>9.8000000000000004E-2</v>
      </c>
      <c r="G5" s="2971">
        <v>9.5000000000000001E-2</v>
      </c>
    </row>
    <row r="6" spans="1:7">
      <c r="A6" s="2972" t="s">
        <v>144</v>
      </c>
      <c r="B6" s="2973" t="s">
        <v>2864</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5" thickBot="1">
      <c r="A9" s="2976" t="s">
        <v>144</v>
      </c>
      <c r="B9" s="2977" t="s">
        <v>154</v>
      </c>
      <c r="C9" s="2978">
        <v>0.1</v>
      </c>
      <c r="D9" s="2978">
        <v>0.1</v>
      </c>
      <c r="E9" s="2978">
        <v>0.1</v>
      </c>
      <c r="F9" s="2979"/>
      <c r="G9" s="2980">
        <v>0.1</v>
      </c>
    </row>
    <row r="10" spans="1:7">
      <c r="A10" s="2968" t="s">
        <v>184</v>
      </c>
      <c r="B10" s="2969" t="s">
        <v>2850</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2900</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5" thickBot="1">
      <c r="A29" s="2976" t="s">
        <v>184</v>
      </c>
      <c r="B29" s="2977" t="s">
        <v>2918</v>
      </c>
      <c r="C29" s="2982"/>
      <c r="D29" s="2978">
        <v>5.1999999999999998E-2</v>
      </c>
      <c r="E29" s="2978">
        <v>7.0000000000000007E-2</v>
      </c>
      <c r="F29" s="2982"/>
      <c r="G29" s="2980">
        <v>7.0999999999999994E-2</v>
      </c>
    </row>
    <row r="30" spans="1:7">
      <c r="A30" s="2983" t="s">
        <v>296</v>
      </c>
      <c r="B30" s="2969" t="s">
        <v>2851</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2837</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2921</v>
      </c>
      <c r="C50" s="2974">
        <v>9.8000000000000004E-2</v>
      </c>
      <c r="D50" s="2974">
        <v>7.2999999999999995E-2</v>
      </c>
      <c r="E50" s="2974">
        <v>7.0999999999999994E-2</v>
      </c>
      <c r="F50" s="2985"/>
      <c r="G50" s="2975">
        <v>7.2999999999999995E-2</v>
      </c>
    </row>
    <row r="51" spans="1:7">
      <c r="A51" s="2984" t="s">
        <v>296</v>
      </c>
      <c r="B51" s="2973" t="s">
        <v>2923</v>
      </c>
      <c r="C51" s="2974">
        <v>9.9000000000000005E-2</v>
      </c>
      <c r="D51" s="2974">
        <v>8.5000000000000006E-2</v>
      </c>
      <c r="E51" s="2974">
        <v>6.3E-2</v>
      </c>
      <c r="F51" s="2985"/>
      <c r="G51" s="2975">
        <v>9.6000000000000002E-2</v>
      </c>
    </row>
    <row r="52" spans="1:7">
      <c r="A52" s="2984" t="s">
        <v>296</v>
      </c>
      <c r="B52" s="2973" t="s">
        <v>2927</v>
      </c>
      <c r="C52" s="2974">
        <v>7.3999999999999996E-2</v>
      </c>
      <c r="D52" s="2974">
        <v>9.6000000000000002E-2</v>
      </c>
      <c r="E52" s="2974">
        <v>0.05</v>
      </c>
      <c r="F52" s="2985"/>
      <c r="G52" s="2975">
        <v>9.8000000000000004E-2</v>
      </c>
    </row>
    <row r="53" spans="1:7">
      <c r="A53" s="2984" t="s">
        <v>296</v>
      </c>
      <c r="B53" s="2973" t="s">
        <v>2932</v>
      </c>
      <c r="C53" s="2974">
        <v>8.5999999999999993E-2</v>
      </c>
      <c r="D53" s="2985"/>
      <c r="E53" s="2974">
        <v>9.1999999999999998E-2</v>
      </c>
      <c r="F53" s="2985"/>
      <c r="G53" s="2986"/>
    </row>
    <row r="54" spans="1:7" ht="15" thickBot="1">
      <c r="A54" s="2987" t="s">
        <v>296</v>
      </c>
      <c r="B54" s="2977" t="s">
        <v>2935</v>
      </c>
      <c r="C54" s="2978">
        <v>9.6000000000000002E-2</v>
      </c>
      <c r="D54" s="2979"/>
      <c r="E54" s="2988"/>
      <c r="F54" s="2979"/>
      <c r="G54" s="2989"/>
    </row>
    <row r="55" spans="1:7">
      <c r="A55" s="2983" t="s">
        <v>110</v>
      </c>
      <c r="B55" s="2969" t="s">
        <v>2852</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2933</v>
      </c>
      <c r="C78" s="2974">
        <v>0.1</v>
      </c>
      <c r="D78" s="2974">
        <v>8.5000000000000006E-2</v>
      </c>
      <c r="E78" s="2974">
        <v>9.6000000000000002E-2</v>
      </c>
      <c r="F78" s="2985"/>
      <c r="G78" s="2975">
        <v>9.6000000000000002E-2</v>
      </c>
    </row>
    <row r="79" spans="1:7">
      <c r="A79" s="2984" t="s">
        <v>110</v>
      </c>
      <c r="B79" s="2973" t="s">
        <v>2936</v>
      </c>
      <c r="C79" s="2974">
        <v>0.05</v>
      </c>
      <c r="D79" s="2974">
        <v>9.6000000000000002E-2</v>
      </c>
      <c r="E79" s="2974">
        <v>9.5000000000000001E-2</v>
      </c>
      <c r="F79" s="2985"/>
      <c r="G79" s="2975">
        <v>9.8000000000000004E-2</v>
      </c>
    </row>
    <row r="80" spans="1:7">
      <c r="A80" s="2984" t="s">
        <v>110</v>
      </c>
      <c r="B80" s="2973" t="s">
        <v>2940</v>
      </c>
      <c r="C80" s="2974">
        <v>8.5999999999999993E-2</v>
      </c>
      <c r="D80" s="2990"/>
      <c r="E80" s="2974">
        <v>0.1</v>
      </c>
      <c r="F80" s="2985"/>
      <c r="G80" s="2986"/>
    </row>
    <row r="81" spans="1:7">
      <c r="A81" s="2984" t="s">
        <v>110</v>
      </c>
      <c r="B81" s="2973" t="s">
        <v>2945</v>
      </c>
      <c r="C81" s="2974">
        <v>9.6000000000000002E-2</v>
      </c>
      <c r="D81" s="2985"/>
      <c r="E81" s="2974">
        <v>9.8000000000000004E-2</v>
      </c>
      <c r="F81" s="2985"/>
      <c r="G81" s="2986"/>
    </row>
    <row r="82" spans="1:7">
      <c r="A82" s="2984" t="s">
        <v>110</v>
      </c>
      <c r="B82" s="2973" t="s">
        <v>2952</v>
      </c>
      <c r="C82" s="2990"/>
      <c r="D82" s="2985"/>
      <c r="E82" s="2974">
        <v>7.6999999999999999E-2</v>
      </c>
      <c r="F82" s="2985"/>
      <c r="G82" s="2986"/>
    </row>
    <row r="83" spans="1:7">
      <c r="A83" s="2984" t="s">
        <v>110</v>
      </c>
      <c r="B83" s="2973" t="s">
        <v>2958</v>
      </c>
      <c r="C83" s="2985"/>
      <c r="D83" s="2985"/>
      <c r="E83" s="2985"/>
      <c r="F83" s="2974">
        <v>0.1</v>
      </c>
      <c r="G83" s="2991"/>
    </row>
    <row r="84" spans="1:7">
      <c r="A84" s="2984" t="s">
        <v>110</v>
      </c>
      <c r="B84" s="2973" t="s">
        <v>2965</v>
      </c>
      <c r="C84" s="2985"/>
      <c r="D84" s="2985"/>
      <c r="E84" s="2985"/>
      <c r="F84" s="2974">
        <v>0.1</v>
      </c>
      <c r="G84" s="2991"/>
    </row>
    <row r="85" spans="1:7">
      <c r="A85" s="2984" t="s">
        <v>110</v>
      </c>
      <c r="B85" s="2973" t="s">
        <v>2972</v>
      </c>
      <c r="C85" s="2985"/>
      <c r="D85" s="2985"/>
      <c r="E85" s="2985"/>
      <c r="F85" s="2974">
        <v>0.1</v>
      </c>
      <c r="G85" s="2991"/>
    </row>
    <row r="86" spans="1:7" ht="15" thickBot="1">
      <c r="A86" s="2987" t="s">
        <v>110</v>
      </c>
      <c r="B86" s="2977" t="s">
        <v>2977</v>
      </c>
      <c r="C86" s="2978">
        <v>9.8000000000000004E-2</v>
      </c>
      <c r="D86" s="2978">
        <v>9.8000000000000004E-2</v>
      </c>
      <c r="E86" s="2978">
        <v>9.6000000000000002E-2</v>
      </c>
      <c r="F86" s="2988"/>
      <c r="G86" s="2980">
        <v>0.1</v>
      </c>
    </row>
    <row r="87" spans="1:7">
      <c r="A87" s="2983" t="s">
        <v>303</v>
      </c>
      <c r="B87" s="2969" t="s">
        <v>2853</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2946</v>
      </c>
      <c r="C113" s="2974">
        <v>0.1</v>
      </c>
      <c r="D113" s="2974">
        <v>0.1</v>
      </c>
      <c r="E113" s="2985"/>
      <c r="F113" s="2985"/>
      <c r="G113" s="2975">
        <v>0.1</v>
      </c>
    </row>
    <row r="114" spans="1:7">
      <c r="A114" s="2984" t="s">
        <v>303</v>
      </c>
      <c r="B114" s="2973" t="s">
        <v>2953</v>
      </c>
      <c r="C114" s="2974">
        <v>9.7000000000000003E-2</v>
      </c>
      <c r="D114" s="2974">
        <v>9.7000000000000003E-2</v>
      </c>
      <c r="E114" s="2985"/>
      <c r="F114" s="2985"/>
      <c r="G114" s="2975">
        <v>9.9000000000000005E-2</v>
      </c>
    </row>
    <row r="115" spans="1:7">
      <c r="A115" s="2984" t="s">
        <v>303</v>
      </c>
      <c r="B115" s="2973" t="s">
        <v>2959</v>
      </c>
      <c r="C115" s="2974">
        <v>0.1</v>
      </c>
      <c r="D115" s="2974">
        <v>0.1</v>
      </c>
      <c r="E115" s="2985"/>
      <c r="F115" s="2985"/>
      <c r="G115" s="2975">
        <v>0.1</v>
      </c>
    </row>
    <row r="116" spans="1:7">
      <c r="A116" s="2984" t="s">
        <v>303</v>
      </c>
      <c r="B116" s="2973" t="s">
        <v>2966</v>
      </c>
      <c r="C116" s="2974">
        <v>0.1</v>
      </c>
      <c r="D116" s="2974">
        <v>0.1</v>
      </c>
      <c r="E116" s="2985"/>
      <c r="F116" s="2985"/>
      <c r="G116" s="2975">
        <v>0.1</v>
      </c>
    </row>
    <row r="117" spans="1:7">
      <c r="A117" s="2984" t="s">
        <v>303</v>
      </c>
      <c r="B117" s="2973" t="s">
        <v>2973</v>
      </c>
      <c r="C117" s="2974">
        <v>9.7000000000000003E-2</v>
      </c>
      <c r="D117" s="2974">
        <v>9.7000000000000003E-2</v>
      </c>
      <c r="E117" s="2985"/>
      <c r="F117" s="2985"/>
      <c r="G117" s="2975">
        <v>9.7000000000000003E-2</v>
      </c>
    </row>
    <row r="118" spans="1:7">
      <c r="A118" s="2984" t="s">
        <v>303</v>
      </c>
      <c r="B118" s="2973" t="s">
        <v>2978</v>
      </c>
      <c r="C118" s="2974">
        <v>0.1</v>
      </c>
      <c r="D118" s="2974">
        <v>0.1</v>
      </c>
      <c r="E118" s="2985"/>
      <c r="F118" s="2985"/>
      <c r="G118" s="2975">
        <v>0.1</v>
      </c>
    </row>
    <row r="119" spans="1:7">
      <c r="A119" s="2984" t="s">
        <v>303</v>
      </c>
      <c r="B119" s="2973" t="s">
        <v>2982</v>
      </c>
      <c r="C119" s="2974">
        <v>5.0999999999999997E-2</v>
      </c>
      <c r="D119" s="2974">
        <v>5.1999999999999998E-2</v>
      </c>
      <c r="E119" s="2985"/>
      <c r="F119" s="2990"/>
      <c r="G119" s="2975">
        <v>0.06</v>
      </c>
    </row>
    <row r="120" spans="1:7">
      <c r="A120" s="2984" t="s">
        <v>303</v>
      </c>
      <c r="B120" s="2973" t="s">
        <v>2986</v>
      </c>
      <c r="C120" s="2985"/>
      <c r="D120" s="2985"/>
      <c r="E120" s="2985"/>
      <c r="F120" s="2974">
        <v>0.1</v>
      </c>
      <c r="G120" s="2991"/>
    </row>
    <row r="121" spans="1:7">
      <c r="A121" s="2984" t="s">
        <v>303</v>
      </c>
      <c r="B121" s="2973" t="s">
        <v>2991</v>
      </c>
      <c r="C121" s="2985"/>
      <c r="D121" s="2985"/>
      <c r="E121" s="2985"/>
      <c r="F121" s="2974">
        <v>0.1</v>
      </c>
      <c r="G121" s="2991"/>
    </row>
    <row r="122" spans="1:7">
      <c r="A122" s="2984" t="s">
        <v>303</v>
      </c>
      <c r="B122" s="2973" t="s">
        <v>2996</v>
      </c>
      <c r="C122" s="2974">
        <v>0.1</v>
      </c>
      <c r="D122" s="2974">
        <v>0.1</v>
      </c>
      <c r="E122" s="2974">
        <v>9.8000000000000004E-2</v>
      </c>
      <c r="F122" s="2974">
        <v>0.1</v>
      </c>
      <c r="G122" s="2975">
        <v>0.1</v>
      </c>
    </row>
    <row r="123" spans="1:7">
      <c r="A123" s="2984" t="s">
        <v>303</v>
      </c>
      <c r="B123" s="2973" t="s">
        <v>3001</v>
      </c>
      <c r="C123" s="2974">
        <v>0.1</v>
      </c>
      <c r="D123" s="2974">
        <v>0.1</v>
      </c>
      <c r="E123" s="2974">
        <v>9.8000000000000004E-2</v>
      </c>
      <c r="F123" s="2974">
        <v>0.1</v>
      </c>
      <c r="G123" s="2975">
        <v>0.1</v>
      </c>
    </row>
    <row r="124" spans="1:7">
      <c r="A124" s="2984" t="s">
        <v>303</v>
      </c>
      <c r="B124" s="2973" t="s">
        <v>3006</v>
      </c>
      <c r="C124" s="2974">
        <v>0.1</v>
      </c>
      <c r="D124" s="2974">
        <v>0.1</v>
      </c>
      <c r="E124" s="2974">
        <v>9.8000000000000004E-2</v>
      </c>
      <c r="F124" s="2990"/>
      <c r="G124" s="2975">
        <v>0.1</v>
      </c>
    </row>
    <row r="125" spans="1:7">
      <c r="A125" s="2984" t="s">
        <v>303</v>
      </c>
      <c r="B125" s="2973" t="s">
        <v>3011</v>
      </c>
      <c r="C125" s="2974">
        <v>9.8000000000000004E-2</v>
      </c>
      <c r="D125" s="2974">
        <v>9.8000000000000004E-2</v>
      </c>
      <c r="E125" s="2974">
        <v>9.6000000000000002E-2</v>
      </c>
      <c r="F125" s="2990"/>
      <c r="G125" s="2975">
        <v>0.1</v>
      </c>
    </row>
    <row r="126" spans="1:7" ht="15" thickBot="1">
      <c r="A126" s="2987" t="s">
        <v>303</v>
      </c>
      <c r="B126" s="2977" t="s">
        <v>3177</v>
      </c>
      <c r="C126" s="2978">
        <v>0.1</v>
      </c>
      <c r="D126" s="2978">
        <v>0.1</v>
      </c>
      <c r="E126" s="2978">
        <v>9.8000000000000004E-2</v>
      </c>
      <c r="F126" s="2978">
        <v>0.1</v>
      </c>
      <c r="G126" s="2980">
        <v>0.1</v>
      </c>
    </row>
    <row r="127" spans="1:7">
      <c r="A127" s="2983" t="s">
        <v>29</v>
      </c>
      <c r="B127" s="2969" t="s">
        <v>2854</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2924</v>
      </c>
      <c r="C148" s="2974">
        <v>0.13</v>
      </c>
      <c r="D148" s="2974">
        <v>0.13</v>
      </c>
      <c r="E148" s="2974">
        <v>0.13</v>
      </c>
      <c r="F148" s="2985"/>
      <c r="G148" s="2975">
        <v>0.13</v>
      </c>
    </row>
    <row r="149" spans="1:7">
      <c r="A149" s="2984" t="s">
        <v>29</v>
      </c>
      <c r="B149" s="2973" t="s">
        <v>2928</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2947</v>
      </c>
      <c r="C153" s="2974">
        <v>0.13</v>
      </c>
      <c r="D153" s="2974">
        <v>0.13</v>
      </c>
      <c r="E153" s="2974">
        <v>0.13</v>
      </c>
      <c r="F153" s="2974">
        <v>0.13</v>
      </c>
      <c r="G153" s="2975">
        <v>0.13</v>
      </c>
    </row>
    <row r="154" spans="1:7">
      <c r="A154" s="2984" t="s">
        <v>29</v>
      </c>
      <c r="B154" s="2973" t="s">
        <v>2954</v>
      </c>
      <c r="C154" s="2974">
        <v>0.121</v>
      </c>
      <c r="D154" s="2974">
        <v>0.121</v>
      </c>
      <c r="E154" s="2974">
        <v>0.105</v>
      </c>
      <c r="F154" s="2974">
        <v>0.121</v>
      </c>
      <c r="G154" s="2975">
        <v>0.123</v>
      </c>
    </row>
    <row r="155" spans="1:7">
      <c r="A155" s="2984" t="s">
        <v>29</v>
      </c>
      <c r="B155" s="2973" t="s">
        <v>2960</v>
      </c>
      <c r="C155" s="2974">
        <v>0.1</v>
      </c>
      <c r="D155" s="2974">
        <v>0.1</v>
      </c>
      <c r="E155" s="2974">
        <v>0.1</v>
      </c>
      <c r="F155" s="2974">
        <v>0.1</v>
      </c>
      <c r="G155" s="2975">
        <v>0.1</v>
      </c>
    </row>
    <row r="156" spans="1:7">
      <c r="A156" s="2984" t="s">
        <v>29</v>
      </c>
      <c r="B156" s="2973" t="s">
        <v>2967</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2987</v>
      </c>
      <c r="C160" s="2974">
        <v>0.13</v>
      </c>
      <c r="D160" s="2974">
        <v>0.13</v>
      </c>
      <c r="E160" s="2974">
        <v>0.124</v>
      </c>
      <c r="F160" s="2974">
        <v>0.126</v>
      </c>
      <c r="G160" s="2975">
        <v>0.13</v>
      </c>
    </row>
    <row r="161" spans="1:7">
      <c r="A161" s="2984" t="s">
        <v>29</v>
      </c>
      <c r="B161" s="2973" t="s">
        <v>2992</v>
      </c>
      <c r="C161" s="2974">
        <v>0.13</v>
      </c>
      <c r="D161" s="2974">
        <v>0.13</v>
      </c>
      <c r="E161" s="2974">
        <v>0.124</v>
      </c>
      <c r="F161" s="2974">
        <v>0.127</v>
      </c>
      <c r="G161" s="2975">
        <v>0.13</v>
      </c>
    </row>
    <row r="162" spans="1:7">
      <c r="A162" s="2984" t="s">
        <v>29</v>
      </c>
      <c r="B162" s="2973" t="s">
        <v>2997</v>
      </c>
      <c r="C162" s="2974">
        <v>0.1</v>
      </c>
      <c r="D162" s="2974">
        <v>0.1</v>
      </c>
      <c r="E162" s="2974">
        <v>0.1</v>
      </c>
      <c r="F162" s="2974">
        <v>0.121</v>
      </c>
      <c r="G162" s="2975">
        <v>0.105</v>
      </c>
    </row>
    <row r="163" spans="1:7">
      <c r="A163" s="2984" t="s">
        <v>29</v>
      </c>
      <c r="B163" s="2973" t="s">
        <v>3002</v>
      </c>
      <c r="C163" s="2974">
        <v>0.1</v>
      </c>
      <c r="D163" s="2974">
        <v>0.1</v>
      </c>
      <c r="E163" s="2974">
        <v>0.1</v>
      </c>
      <c r="F163" s="2974">
        <v>0.1</v>
      </c>
      <c r="G163" s="2975">
        <v>0.1</v>
      </c>
    </row>
    <row r="164" spans="1:7">
      <c r="A164" s="2984" t="s">
        <v>29</v>
      </c>
      <c r="B164" s="2973" t="s">
        <v>3007</v>
      </c>
      <c r="C164" s="2990"/>
      <c r="D164" s="2990"/>
      <c r="E164" s="2990"/>
      <c r="F164" s="2974">
        <v>0.1</v>
      </c>
      <c r="G164" s="2986"/>
    </row>
    <row r="165" spans="1:7">
      <c r="A165" s="2984" t="s">
        <v>29</v>
      </c>
      <c r="B165" s="2973" t="s">
        <v>3178</v>
      </c>
      <c r="C165" s="2974">
        <v>0.126</v>
      </c>
      <c r="D165" s="2974">
        <v>0.126</v>
      </c>
      <c r="E165" s="2974">
        <v>0.11899999999999999</v>
      </c>
      <c r="F165" s="2974">
        <v>0.13</v>
      </c>
      <c r="G165" s="2975">
        <v>0.128</v>
      </c>
    </row>
    <row r="166" spans="1:7">
      <c r="A166" s="2984" t="s">
        <v>29</v>
      </c>
      <c r="B166" s="2973" t="s">
        <v>3017</v>
      </c>
      <c r="C166" s="2974">
        <v>0.129</v>
      </c>
      <c r="D166" s="2974">
        <v>0.129</v>
      </c>
      <c r="E166" s="2974">
        <v>0.123</v>
      </c>
      <c r="F166" s="2974">
        <v>0.128</v>
      </c>
      <c r="G166" s="2975">
        <v>0.13</v>
      </c>
    </row>
    <row r="167" spans="1:7">
      <c r="A167" s="2984" t="s">
        <v>29</v>
      </c>
      <c r="B167" s="2973" t="s">
        <v>3021</v>
      </c>
      <c r="C167" s="2974">
        <v>0.125</v>
      </c>
      <c r="D167" s="2974">
        <v>0.125</v>
      </c>
      <c r="E167" s="2974">
        <v>0.11700000000000001</v>
      </c>
      <c r="F167" s="2974">
        <v>0.13</v>
      </c>
      <c r="G167" s="2975">
        <v>0.126</v>
      </c>
    </row>
    <row r="168" spans="1:7">
      <c r="A168" s="2984" t="s">
        <v>29</v>
      </c>
      <c r="B168" s="2973" t="s">
        <v>3026</v>
      </c>
      <c r="C168" s="2974">
        <v>0.128</v>
      </c>
      <c r="D168" s="2974">
        <v>0.128</v>
      </c>
      <c r="E168" s="2974">
        <v>0.123</v>
      </c>
      <c r="F168" s="2985"/>
      <c r="G168" s="2975">
        <v>0.13</v>
      </c>
    </row>
    <row r="169" spans="1:7">
      <c r="A169" s="2984" t="s">
        <v>29</v>
      </c>
      <c r="B169" s="2973" t="s">
        <v>3179</v>
      </c>
      <c r="C169" s="2990"/>
      <c r="D169" s="2990"/>
      <c r="E169" s="2990"/>
      <c r="F169" s="2974">
        <v>0.05</v>
      </c>
      <c r="G169" s="2986"/>
    </row>
    <row r="170" spans="1:7">
      <c r="A170" s="2984" t="s">
        <v>29</v>
      </c>
      <c r="B170" s="2973" t="s">
        <v>3180</v>
      </c>
      <c r="C170" s="2990"/>
      <c r="D170" s="2990"/>
      <c r="E170" s="2990"/>
      <c r="F170" s="2974">
        <v>0.05</v>
      </c>
      <c r="G170" s="2986"/>
    </row>
    <row r="171" spans="1:7">
      <c r="A171" s="2984" t="s">
        <v>29</v>
      </c>
      <c r="B171" s="2973" t="s">
        <v>3181</v>
      </c>
      <c r="C171" s="2990"/>
      <c r="D171" s="2990"/>
      <c r="E171" s="2990"/>
      <c r="F171" s="2974">
        <v>0.05</v>
      </c>
      <c r="G171" s="2991"/>
    </row>
    <row r="172" spans="1:7">
      <c r="A172" s="2984" t="s">
        <v>29</v>
      </c>
      <c r="B172" s="2973" t="s">
        <v>3182</v>
      </c>
      <c r="C172" s="2990"/>
      <c r="D172" s="2990"/>
      <c r="E172" s="2990"/>
      <c r="F172" s="2974">
        <v>0.05</v>
      </c>
      <c r="G172" s="2991"/>
    </row>
    <row r="173" spans="1:7">
      <c r="A173" s="2984" t="s">
        <v>29</v>
      </c>
      <c r="B173" s="2973" t="s">
        <v>3183</v>
      </c>
      <c r="C173" s="2990"/>
      <c r="D173" s="2990"/>
      <c r="E173" s="2990"/>
      <c r="F173" s="2974">
        <v>0.05</v>
      </c>
      <c r="G173" s="2986"/>
    </row>
    <row r="174" spans="1:7">
      <c r="A174" s="2984" t="s">
        <v>29</v>
      </c>
      <c r="B174" s="2973" t="s">
        <v>3184</v>
      </c>
      <c r="C174" s="2990"/>
      <c r="D174" s="2990"/>
      <c r="E174" s="2990"/>
      <c r="F174" s="2974">
        <v>0.05</v>
      </c>
      <c r="G174" s="2986"/>
    </row>
    <row r="175" spans="1:7">
      <c r="A175" s="2984" t="s">
        <v>29</v>
      </c>
      <c r="B175" s="2973" t="s">
        <v>3185</v>
      </c>
      <c r="C175" s="2990"/>
      <c r="D175" s="2990"/>
      <c r="E175" s="2990"/>
      <c r="F175" s="2974">
        <v>0.05</v>
      </c>
      <c r="G175" s="2986"/>
    </row>
    <row r="176" spans="1:7">
      <c r="A176" s="2984" t="s">
        <v>29</v>
      </c>
      <c r="B176" s="2973" t="s">
        <v>3186</v>
      </c>
      <c r="C176" s="2990"/>
      <c r="D176" s="2990"/>
      <c r="E176" s="2990"/>
      <c r="F176" s="2974">
        <v>0.05</v>
      </c>
      <c r="G176" s="2986"/>
    </row>
    <row r="177" spans="1:7">
      <c r="A177" s="2984" t="s">
        <v>29</v>
      </c>
      <c r="B177" s="2973" t="s">
        <v>3187</v>
      </c>
      <c r="C177" s="2985"/>
      <c r="D177" s="2985"/>
      <c r="E177" s="2985"/>
      <c r="F177" s="2974">
        <v>0.05</v>
      </c>
      <c r="G177" s="2991"/>
    </row>
    <row r="178" spans="1:7">
      <c r="A178" s="2984" t="s">
        <v>29</v>
      </c>
      <c r="B178" s="2973" t="s">
        <v>3188</v>
      </c>
      <c r="C178" s="2985"/>
      <c r="D178" s="2985"/>
      <c r="E178" s="2985"/>
      <c r="F178" s="2974">
        <v>0.05</v>
      </c>
      <c r="G178" s="2991"/>
    </row>
    <row r="179" spans="1:7">
      <c r="A179" s="2984" t="s">
        <v>29</v>
      </c>
      <c r="B179" s="2973" t="s">
        <v>3189</v>
      </c>
      <c r="C179" s="2985"/>
      <c r="D179" s="2985"/>
      <c r="E179" s="2985"/>
      <c r="F179" s="2974">
        <v>0.05</v>
      </c>
      <c r="G179" s="2991"/>
    </row>
    <row r="180" spans="1:7">
      <c r="A180" s="2984" t="s">
        <v>29</v>
      </c>
      <c r="B180" s="2973" t="s">
        <v>3190</v>
      </c>
      <c r="C180" s="2985"/>
      <c r="D180" s="2985"/>
      <c r="E180" s="2985"/>
      <c r="F180" s="2974">
        <v>0.05</v>
      </c>
      <c r="G180" s="2991"/>
    </row>
    <row r="181" spans="1:7">
      <c r="A181" s="2984" t="s">
        <v>29</v>
      </c>
      <c r="B181" s="2973" t="s">
        <v>3191</v>
      </c>
      <c r="C181" s="2985"/>
      <c r="D181" s="2985"/>
      <c r="E181" s="2985"/>
      <c r="F181" s="2974">
        <v>0.05</v>
      </c>
      <c r="G181" s="2991"/>
    </row>
    <row r="182" spans="1:7">
      <c r="A182" s="2984" t="s">
        <v>29</v>
      </c>
      <c r="B182" s="2973" t="s">
        <v>3192</v>
      </c>
      <c r="C182" s="2985"/>
      <c r="D182" s="2985"/>
      <c r="E182" s="2985"/>
      <c r="F182" s="2974">
        <v>0.05</v>
      </c>
      <c r="G182" s="2991"/>
    </row>
    <row r="183" spans="1:7">
      <c r="A183" s="2984" t="s">
        <v>29</v>
      </c>
      <c r="B183" s="2973" t="s">
        <v>3193</v>
      </c>
      <c r="C183" s="2985"/>
      <c r="D183" s="2985"/>
      <c r="E183" s="2985"/>
      <c r="F183" s="2974">
        <v>0.05</v>
      </c>
      <c r="G183" s="2991"/>
    </row>
    <row r="184" spans="1:7">
      <c r="A184" s="2984" t="s">
        <v>29</v>
      </c>
      <c r="B184" s="2973" t="s">
        <v>3194</v>
      </c>
      <c r="C184" s="2985"/>
      <c r="D184" s="2985"/>
      <c r="E184" s="2985"/>
      <c r="F184" s="2974">
        <v>0.05</v>
      </c>
      <c r="G184" s="2991"/>
    </row>
    <row r="185" spans="1:7">
      <c r="A185" s="2984" t="s">
        <v>29</v>
      </c>
      <c r="B185" s="2973" t="s">
        <v>3195</v>
      </c>
      <c r="C185" s="2985"/>
      <c r="D185" s="2985"/>
      <c r="E185" s="2985"/>
      <c r="F185" s="2974">
        <v>0.05</v>
      </c>
      <c r="G185" s="2991"/>
    </row>
    <row r="186" spans="1:7">
      <c r="A186" s="2984" t="s">
        <v>29</v>
      </c>
      <c r="B186" s="2973" t="s">
        <v>3196</v>
      </c>
      <c r="C186" s="2985"/>
      <c r="D186" s="2985"/>
      <c r="E186" s="2985"/>
      <c r="F186" s="2974">
        <v>0.05</v>
      </c>
      <c r="G186" s="2991"/>
    </row>
    <row r="187" spans="1:7">
      <c r="A187" s="2984" t="s">
        <v>29</v>
      </c>
      <c r="B187" s="2973" t="s">
        <v>3197</v>
      </c>
      <c r="C187" s="2985"/>
      <c r="D187" s="2985"/>
      <c r="E187" s="2985"/>
      <c r="F187" s="2974">
        <v>0.05</v>
      </c>
      <c r="G187" s="2991"/>
    </row>
    <row r="188" spans="1:7">
      <c r="A188" s="2984" t="s">
        <v>29</v>
      </c>
      <c r="B188" s="2973" t="s">
        <v>3198</v>
      </c>
      <c r="C188" s="2985"/>
      <c r="D188" s="2985"/>
      <c r="E188" s="2985"/>
      <c r="F188" s="2974">
        <v>0.05</v>
      </c>
      <c r="G188" s="2991"/>
    </row>
    <row r="189" spans="1:7" ht="15" thickBot="1">
      <c r="A189" s="2987" t="s">
        <v>29</v>
      </c>
      <c r="B189" s="2977" t="s">
        <v>3199</v>
      </c>
      <c r="C189" s="2979"/>
      <c r="D189" s="2979"/>
      <c r="E189" s="2979"/>
      <c r="F189" s="2978">
        <v>0.05</v>
      </c>
      <c r="G189" s="2992"/>
    </row>
    <row r="190" spans="1:7">
      <c r="A190" s="2983" t="s">
        <v>304</v>
      </c>
      <c r="B190" s="2969" t="s">
        <v>2855</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2891</v>
      </c>
      <c r="C199" s="2974">
        <v>0.13</v>
      </c>
      <c r="D199" s="2974">
        <v>0.13</v>
      </c>
      <c r="E199" s="2974">
        <v>0.13</v>
      </c>
      <c r="F199" s="2974">
        <v>0.13</v>
      </c>
      <c r="G199" s="2975">
        <v>0.13</v>
      </c>
    </row>
    <row r="200" spans="1:7">
      <c r="A200" s="2984" t="s">
        <v>304</v>
      </c>
      <c r="B200" s="2973" t="s">
        <v>2894</v>
      </c>
      <c r="C200" s="2990"/>
      <c r="D200" s="2990"/>
      <c r="E200" s="2990"/>
      <c r="F200" s="2974">
        <v>0.13</v>
      </c>
      <c r="G200" s="2986"/>
    </row>
    <row r="201" spans="1:7">
      <c r="A201" s="2984" t="s">
        <v>304</v>
      </c>
      <c r="B201" s="2973" t="s">
        <v>2899</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2902</v>
      </c>
      <c r="C203" s="2974">
        <v>0.129</v>
      </c>
      <c r="D203" s="2974">
        <v>0.129</v>
      </c>
      <c r="E203" s="2974">
        <v>0.13</v>
      </c>
      <c r="F203" s="2974">
        <v>0.13</v>
      </c>
      <c r="G203" s="2975">
        <v>0.13</v>
      </c>
    </row>
    <row r="204" spans="1:7">
      <c r="A204" s="2984" t="s">
        <v>304</v>
      </c>
      <c r="B204" s="2973" t="s">
        <v>2905</v>
      </c>
      <c r="C204" s="2974">
        <v>0.129</v>
      </c>
      <c r="D204" s="2974">
        <v>0.129</v>
      </c>
      <c r="E204" s="2974">
        <v>0.123</v>
      </c>
      <c r="F204" s="2974">
        <v>0.13</v>
      </c>
      <c r="G204" s="2975">
        <v>0.13</v>
      </c>
    </row>
    <row r="205" spans="1:7">
      <c r="A205" s="2984" t="s">
        <v>304</v>
      </c>
      <c r="B205" s="2973" t="s">
        <v>2907</v>
      </c>
      <c r="C205" s="2974">
        <v>0.13</v>
      </c>
      <c r="D205" s="2974">
        <v>0.13</v>
      </c>
      <c r="E205" s="2974">
        <v>0.13</v>
      </c>
      <c r="F205" s="2974">
        <v>0.13</v>
      </c>
      <c r="G205" s="2975">
        <v>0.13</v>
      </c>
    </row>
    <row r="206" spans="1:7">
      <c r="A206" s="2984" t="s">
        <v>304</v>
      </c>
      <c r="B206" s="2973" t="s">
        <v>2910</v>
      </c>
      <c r="C206" s="2974">
        <v>0.13</v>
      </c>
      <c r="D206" s="2974">
        <v>0.13</v>
      </c>
      <c r="E206" s="2974">
        <v>0.13</v>
      </c>
      <c r="F206" s="2974">
        <v>0.128</v>
      </c>
      <c r="G206" s="2975">
        <v>0.13</v>
      </c>
    </row>
    <row r="207" spans="1:7">
      <c r="A207" s="2984" t="s">
        <v>304</v>
      </c>
      <c r="B207" s="2973" t="s">
        <v>2912</v>
      </c>
      <c r="C207" s="2974">
        <v>0.13</v>
      </c>
      <c r="D207" s="2974">
        <v>0.13</v>
      </c>
      <c r="E207" s="2974">
        <v>0.13</v>
      </c>
      <c r="F207" s="2974">
        <v>0.13</v>
      </c>
      <c r="G207" s="2975">
        <v>0.13</v>
      </c>
    </row>
    <row r="208" spans="1:7">
      <c r="A208" s="2984" t="s">
        <v>304</v>
      </c>
      <c r="B208" s="2973" t="s">
        <v>2915</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2922</v>
      </c>
      <c r="C210" s="2974">
        <v>0.121</v>
      </c>
      <c r="D210" s="2974">
        <v>0.121</v>
      </c>
      <c r="E210" s="2974">
        <v>0.125</v>
      </c>
      <c r="F210" s="2974">
        <v>0.13</v>
      </c>
      <c r="G210" s="2975">
        <v>0.123</v>
      </c>
    </row>
    <row r="211" spans="1:7">
      <c r="A211" s="2984" t="s">
        <v>304</v>
      </c>
      <c r="B211" s="2973" t="s">
        <v>2925</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2937</v>
      </c>
      <c r="C214" s="2974">
        <v>0.128</v>
      </c>
      <c r="D214" s="2974">
        <v>0.128</v>
      </c>
      <c r="E214" s="2974">
        <v>0.13</v>
      </c>
      <c r="F214" s="2974">
        <v>0.13</v>
      </c>
      <c r="G214" s="2975">
        <v>0.13</v>
      </c>
    </row>
    <row r="215" spans="1:7">
      <c r="A215" s="2984" t="s">
        <v>304</v>
      </c>
      <c r="B215" s="2973" t="s">
        <v>2941</v>
      </c>
      <c r="C215" s="2974">
        <v>0.13</v>
      </c>
      <c r="D215" s="2974">
        <v>0.13</v>
      </c>
      <c r="E215" s="2974">
        <v>0.13</v>
      </c>
      <c r="F215" s="2974">
        <v>0.129</v>
      </c>
      <c r="G215" s="2975">
        <v>0.13</v>
      </c>
    </row>
    <row r="216" spans="1:7">
      <c r="A216" s="2984" t="s">
        <v>304</v>
      </c>
      <c r="B216" s="2973" t="s">
        <v>2948</v>
      </c>
      <c r="C216" s="2974">
        <v>0.13</v>
      </c>
      <c r="D216" s="2974">
        <v>0.13</v>
      </c>
      <c r="E216" s="2974">
        <v>0.13</v>
      </c>
      <c r="F216" s="2974">
        <v>0.13</v>
      </c>
      <c r="G216" s="2975">
        <v>0.13</v>
      </c>
    </row>
    <row r="217" spans="1:7">
      <c r="A217" s="2984" t="s">
        <v>304</v>
      </c>
      <c r="B217" s="2973" t="s">
        <v>2955</v>
      </c>
      <c r="C217" s="2974">
        <v>0.129</v>
      </c>
      <c r="D217" s="2974">
        <v>0.129</v>
      </c>
      <c r="E217" s="2974">
        <v>0.13</v>
      </c>
      <c r="F217" s="2974">
        <v>0.13</v>
      </c>
      <c r="G217" s="2975">
        <v>0.13</v>
      </c>
    </row>
    <row r="218" spans="1:7">
      <c r="A218" s="2984" t="s">
        <v>304</v>
      </c>
      <c r="B218" s="2973" t="s">
        <v>2961</v>
      </c>
      <c r="C218" s="2985"/>
      <c r="D218" s="2985"/>
      <c r="E218" s="2985"/>
      <c r="F218" s="2974">
        <v>0.05</v>
      </c>
      <c r="G218" s="2991"/>
    </row>
    <row r="219" spans="1:7">
      <c r="A219" s="2984" t="s">
        <v>304</v>
      </c>
      <c r="B219" s="2973" t="s">
        <v>2968</v>
      </c>
      <c r="C219" s="2985"/>
      <c r="D219" s="2985"/>
      <c r="E219" s="2985"/>
      <c r="F219" s="2974">
        <v>0.05</v>
      </c>
      <c r="G219" s="2991"/>
    </row>
    <row r="220" spans="1:7">
      <c r="A220" s="2984" t="s">
        <v>304</v>
      </c>
      <c r="B220" s="2973" t="s">
        <v>2974</v>
      </c>
      <c r="C220" s="2985"/>
      <c r="D220" s="2985"/>
      <c r="E220" s="2985"/>
      <c r="F220" s="2974">
        <v>0.05</v>
      </c>
      <c r="G220" s="2991"/>
    </row>
    <row r="221" spans="1:7">
      <c r="A221" s="2984" t="s">
        <v>304</v>
      </c>
      <c r="B221" s="2973" t="s">
        <v>2979</v>
      </c>
      <c r="C221" s="2985"/>
      <c r="D221" s="2985"/>
      <c r="E221" s="2985"/>
      <c r="F221" s="2974">
        <v>0.05</v>
      </c>
      <c r="G221" s="2991"/>
    </row>
    <row r="222" spans="1:7">
      <c r="A222" s="2984" t="s">
        <v>304</v>
      </c>
      <c r="B222" s="2973" t="s">
        <v>2983</v>
      </c>
      <c r="C222" s="2985"/>
      <c r="D222" s="2985"/>
      <c r="E222" s="2985"/>
      <c r="F222" s="2974">
        <v>0.05</v>
      </c>
      <c r="G222" s="2991"/>
    </row>
    <row r="223" spans="1:7">
      <c r="A223" s="2984" t="s">
        <v>304</v>
      </c>
      <c r="B223" s="2973" t="s">
        <v>2988</v>
      </c>
      <c r="C223" s="2985"/>
      <c r="D223" s="2985"/>
      <c r="E223" s="2985"/>
      <c r="F223" s="2974">
        <v>0.05</v>
      </c>
      <c r="G223" s="2991"/>
    </row>
    <row r="224" spans="1:7">
      <c r="A224" s="2984" t="s">
        <v>304</v>
      </c>
      <c r="B224" s="2973" t="s">
        <v>2993</v>
      </c>
      <c r="C224" s="2985"/>
      <c r="D224" s="2985"/>
      <c r="E224" s="2985"/>
      <c r="F224" s="2974">
        <v>0.05</v>
      </c>
      <c r="G224" s="2991"/>
    </row>
    <row r="225" spans="1:7">
      <c r="A225" s="2984" t="s">
        <v>304</v>
      </c>
      <c r="B225" s="2973" t="s">
        <v>2998</v>
      </c>
      <c r="C225" s="2985"/>
      <c r="D225" s="2985"/>
      <c r="E225" s="2985"/>
      <c r="F225" s="2974">
        <v>0.05</v>
      </c>
      <c r="G225" s="2991"/>
    </row>
    <row r="226" spans="1:7">
      <c r="A226" s="2984" t="s">
        <v>304</v>
      </c>
      <c r="B226" s="2973" t="s">
        <v>3200</v>
      </c>
      <c r="C226" s="2985"/>
      <c r="D226" s="2985"/>
      <c r="E226" s="2985"/>
      <c r="F226" s="2974">
        <v>0.05</v>
      </c>
      <c r="G226" s="2991"/>
    </row>
    <row r="227" spans="1:7">
      <c r="A227" s="2984" t="s">
        <v>304</v>
      </c>
      <c r="B227" s="2973" t="s">
        <v>3201</v>
      </c>
      <c r="C227" s="2985"/>
      <c r="D227" s="2985"/>
      <c r="E227" s="2985"/>
      <c r="F227" s="2974">
        <v>0.05</v>
      </c>
      <c r="G227" s="2991"/>
    </row>
    <row r="228" spans="1:7">
      <c r="A228" s="2984" t="s">
        <v>304</v>
      </c>
      <c r="B228" s="2973" t="s">
        <v>3202</v>
      </c>
      <c r="C228" s="2985"/>
      <c r="D228" s="2985"/>
      <c r="E228" s="2985"/>
      <c r="F228" s="2974">
        <v>0.05</v>
      </c>
      <c r="G228" s="2991"/>
    </row>
    <row r="229" spans="1:7">
      <c r="A229" s="2984" t="s">
        <v>304</v>
      </c>
      <c r="B229" s="2973" t="s">
        <v>3203</v>
      </c>
      <c r="C229" s="2985"/>
      <c r="D229" s="2985"/>
      <c r="E229" s="2985"/>
      <c r="F229" s="2974">
        <v>0.05</v>
      </c>
      <c r="G229" s="2991"/>
    </row>
    <row r="230" spans="1:7">
      <c r="A230" s="2984" t="s">
        <v>304</v>
      </c>
      <c r="B230" s="2973" t="s">
        <v>3204</v>
      </c>
      <c r="C230" s="2985"/>
      <c r="D230" s="2985"/>
      <c r="E230" s="2985"/>
      <c r="F230" s="2974">
        <v>0.05</v>
      </c>
      <c r="G230" s="2991"/>
    </row>
    <row r="231" spans="1:7">
      <c r="A231" s="2984" t="s">
        <v>304</v>
      </c>
      <c r="B231" s="2973" t="s">
        <v>3205</v>
      </c>
      <c r="C231" s="2985"/>
      <c r="D231" s="2985"/>
      <c r="E231" s="2985"/>
      <c r="F231" s="2974">
        <v>0.05</v>
      </c>
      <c r="G231" s="2991"/>
    </row>
    <row r="232" spans="1:7">
      <c r="A232" s="2984" t="s">
        <v>304</v>
      </c>
      <c r="B232" s="2973" t="s">
        <v>3206</v>
      </c>
      <c r="C232" s="2985"/>
      <c r="D232" s="2985"/>
      <c r="E232" s="2985"/>
      <c r="F232" s="2974">
        <v>0.05</v>
      </c>
      <c r="G232" s="2991"/>
    </row>
    <row r="233" spans="1:7" ht="15" thickBot="1">
      <c r="A233" s="2987" t="s">
        <v>304</v>
      </c>
      <c r="B233" s="2977" t="s">
        <v>3207</v>
      </c>
      <c r="C233" s="2979"/>
      <c r="D233" s="2979"/>
      <c r="E233" s="2979"/>
      <c r="F233" s="2978">
        <v>0.05</v>
      </c>
      <c r="G233" s="2992"/>
    </row>
    <row r="234" spans="1:7">
      <c r="A234" s="2983" t="s">
        <v>305</v>
      </c>
      <c r="B234" s="2969" t="s">
        <v>2856</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2876</v>
      </c>
      <c r="C238" s="2974">
        <v>0.14899999999999999</v>
      </c>
      <c r="D238" s="2974">
        <v>0.14899999999999999</v>
      </c>
      <c r="E238" s="2974">
        <v>0.15</v>
      </c>
      <c r="F238" s="2974">
        <v>0.15</v>
      </c>
      <c r="G238" s="2975">
        <v>0.15</v>
      </c>
    </row>
    <row r="239" spans="1:7">
      <c r="A239" s="2984" t="s">
        <v>305</v>
      </c>
      <c r="B239" s="2973" t="s">
        <v>2880</v>
      </c>
      <c r="C239" s="2974">
        <v>0.15</v>
      </c>
      <c r="D239" s="2974">
        <v>0.15</v>
      </c>
      <c r="E239" s="2974">
        <v>0.15</v>
      </c>
      <c r="F239" s="2974">
        <v>0.15</v>
      </c>
      <c r="G239" s="2975">
        <v>0.15</v>
      </c>
    </row>
    <row r="240" spans="1:7">
      <c r="A240" s="2984" t="s">
        <v>305</v>
      </c>
      <c r="B240" s="2973" t="s">
        <v>2885</v>
      </c>
      <c r="C240" s="2974">
        <v>0.15</v>
      </c>
      <c r="D240" s="2974">
        <v>0.15</v>
      </c>
      <c r="E240" s="2974">
        <v>0.15</v>
      </c>
      <c r="F240" s="2974">
        <v>0.15</v>
      </c>
      <c r="G240" s="2975">
        <v>0.15</v>
      </c>
    </row>
    <row r="241" spans="1:7">
      <c r="A241" s="2984" t="s">
        <v>305</v>
      </c>
      <c r="B241" s="2973" t="s">
        <v>2889</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2895</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2903</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2908</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2916</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2929</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2938</v>
      </c>
      <c r="C258" s="2974">
        <v>0.14299999999999999</v>
      </c>
      <c r="D258" s="2974">
        <v>0.14299999999999999</v>
      </c>
      <c r="E258" s="2974">
        <v>0.15</v>
      </c>
      <c r="F258" s="2974">
        <v>0.14799999999999999</v>
      </c>
      <c r="G258" s="2975">
        <v>0.14599999999999999</v>
      </c>
    </row>
    <row r="259" spans="1:7">
      <c r="A259" s="2984" t="s">
        <v>305</v>
      </c>
      <c r="B259" s="2973" t="s">
        <v>2942</v>
      </c>
      <c r="C259" s="2974">
        <v>0.14399999999999999</v>
      </c>
      <c r="D259" s="2974">
        <v>0.14399999999999999</v>
      </c>
      <c r="E259" s="2974">
        <v>0.14899999999999999</v>
      </c>
      <c r="F259" s="2974">
        <v>0.14699999999999999</v>
      </c>
      <c r="G259" s="2975">
        <v>0.14599999999999999</v>
      </c>
    </row>
    <row r="260" spans="1:7">
      <c r="A260" s="2984" t="s">
        <v>305</v>
      </c>
      <c r="B260" s="2973" t="s">
        <v>2949</v>
      </c>
      <c r="C260" s="2974">
        <v>0.109</v>
      </c>
      <c r="D260" s="2974">
        <v>0.111</v>
      </c>
      <c r="E260" s="2974">
        <v>0.13100000000000001</v>
      </c>
      <c r="F260" s="2974">
        <v>0.126</v>
      </c>
      <c r="G260" s="2975">
        <v>0.11899999999999999</v>
      </c>
    </row>
    <row r="261" spans="1:7">
      <c r="A261" s="2984" t="s">
        <v>305</v>
      </c>
      <c r="B261" s="2973" t="s">
        <v>2956</v>
      </c>
      <c r="C261" s="2974">
        <v>0.1</v>
      </c>
      <c r="D261" s="2974">
        <v>0.1</v>
      </c>
      <c r="E261" s="2974">
        <v>0.11799999999999999</v>
      </c>
      <c r="F261" s="2974">
        <v>0.108</v>
      </c>
      <c r="G261" s="2975">
        <v>0.107</v>
      </c>
    </row>
    <row r="262" spans="1:7">
      <c r="A262" s="2984" t="s">
        <v>305</v>
      </c>
      <c r="B262" s="2973" t="s">
        <v>2962</v>
      </c>
      <c r="C262" s="2974">
        <v>0.1</v>
      </c>
      <c r="D262" s="2974">
        <v>0.1</v>
      </c>
      <c r="E262" s="2974">
        <v>0.1</v>
      </c>
      <c r="F262" s="2974">
        <v>0.14099999999999999</v>
      </c>
      <c r="G262" s="2975">
        <v>0.1</v>
      </c>
    </row>
    <row r="263" spans="1:7">
      <c r="A263" s="2984" t="s">
        <v>305</v>
      </c>
      <c r="B263" s="2973" t="s">
        <v>2969</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2980</v>
      </c>
      <c r="C265" s="2985"/>
      <c r="D265" s="2985"/>
      <c r="E265" s="2985"/>
      <c r="F265" s="2974">
        <v>0.05</v>
      </c>
      <c r="G265" s="2991"/>
    </row>
    <row r="266" spans="1:7">
      <c r="A266" s="2984" t="s">
        <v>305</v>
      </c>
      <c r="B266" s="2973" t="s">
        <v>2984</v>
      </c>
      <c r="C266" s="2985"/>
      <c r="D266" s="2985"/>
      <c r="E266" s="2985"/>
      <c r="F266" s="2974">
        <v>0.05</v>
      </c>
      <c r="G266" s="2991"/>
    </row>
    <row r="267" spans="1:7">
      <c r="A267" s="2984" t="s">
        <v>305</v>
      </c>
      <c r="B267" s="2973" t="s">
        <v>2989</v>
      </c>
      <c r="C267" s="2985"/>
      <c r="D267" s="2985"/>
      <c r="E267" s="2985"/>
      <c r="F267" s="2974">
        <v>0.05</v>
      </c>
      <c r="G267" s="2991"/>
    </row>
    <row r="268" spans="1:7">
      <c r="A268" s="2984" t="s">
        <v>305</v>
      </c>
      <c r="B268" s="2973" t="s">
        <v>2994</v>
      </c>
      <c r="C268" s="2985"/>
      <c r="D268" s="2985"/>
      <c r="E268" s="2985"/>
      <c r="F268" s="2974">
        <v>0.05</v>
      </c>
      <c r="G268" s="2991"/>
    </row>
    <row r="269" spans="1:7">
      <c r="A269" s="2984" t="s">
        <v>305</v>
      </c>
      <c r="B269" s="2973" t="s">
        <v>2999</v>
      </c>
      <c r="C269" s="2985"/>
      <c r="D269" s="2985"/>
      <c r="E269" s="2985"/>
      <c r="F269" s="2974">
        <v>0.05</v>
      </c>
      <c r="G269" s="2991"/>
    </row>
    <row r="270" spans="1:7">
      <c r="A270" s="2984" t="s">
        <v>305</v>
      </c>
      <c r="B270" s="2973" t="s">
        <v>3004</v>
      </c>
      <c r="C270" s="2985"/>
      <c r="D270" s="2985"/>
      <c r="E270" s="2985"/>
      <c r="F270" s="2974">
        <v>0.05</v>
      </c>
      <c r="G270" s="2991"/>
    </row>
    <row r="271" spans="1:7">
      <c r="A271" s="2984" t="s">
        <v>305</v>
      </c>
      <c r="B271" s="2973" t="s">
        <v>3208</v>
      </c>
      <c r="C271" s="2985"/>
      <c r="D271" s="2985"/>
      <c r="E271" s="2985"/>
      <c r="F271" s="2974">
        <v>0.05</v>
      </c>
      <c r="G271" s="2991"/>
    </row>
    <row r="272" spans="1:7">
      <c r="A272" s="2984" t="s">
        <v>305</v>
      </c>
      <c r="B272" s="2973" t="s">
        <v>3209</v>
      </c>
      <c r="C272" s="2985"/>
      <c r="D272" s="2985"/>
      <c r="E272" s="2985"/>
      <c r="F272" s="2974">
        <v>0.05</v>
      </c>
      <c r="G272" s="2991"/>
    </row>
    <row r="273" spans="1:7">
      <c r="A273" s="2984" t="s">
        <v>305</v>
      </c>
      <c r="B273" s="2973" t="s">
        <v>3210</v>
      </c>
      <c r="C273" s="2985"/>
      <c r="D273" s="2985"/>
      <c r="E273" s="2985"/>
      <c r="F273" s="2974">
        <v>0.05</v>
      </c>
      <c r="G273" s="2991"/>
    </row>
    <row r="274" spans="1:7">
      <c r="A274" s="2984" t="s">
        <v>305</v>
      </c>
      <c r="B274" s="2973" t="s">
        <v>3211</v>
      </c>
      <c r="C274" s="2985"/>
      <c r="D274" s="2985"/>
      <c r="E274" s="2985"/>
      <c r="F274" s="2974">
        <v>0.05</v>
      </c>
      <c r="G274" s="2991"/>
    </row>
    <row r="275" spans="1:7">
      <c r="A275" s="2984" t="s">
        <v>305</v>
      </c>
      <c r="B275" s="2973" t="s">
        <v>3212</v>
      </c>
      <c r="C275" s="2985"/>
      <c r="D275" s="2985"/>
      <c r="E275" s="2985"/>
      <c r="F275" s="2974">
        <v>0.05</v>
      </c>
      <c r="G275" s="2991"/>
    </row>
    <row r="276" spans="1:7" ht="15" thickBot="1">
      <c r="A276" s="2987" t="s">
        <v>305</v>
      </c>
      <c r="B276" s="2977" t="s">
        <v>3213</v>
      </c>
      <c r="C276" s="2979"/>
      <c r="D276" s="2979"/>
      <c r="E276" s="2979"/>
      <c r="F276" s="2978">
        <v>0.05</v>
      </c>
      <c r="G276" s="2992"/>
    </row>
    <row r="277" spans="1:7">
      <c r="A277" s="2983" t="s">
        <v>306</v>
      </c>
      <c r="B277" s="2969" t="s">
        <v>2857</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2869</v>
      </c>
      <c r="C279" s="2974">
        <v>0.15</v>
      </c>
      <c r="D279" s="2974">
        <v>0.15</v>
      </c>
      <c r="E279" s="2974">
        <v>0.15</v>
      </c>
      <c r="F279" s="2974">
        <v>0.15</v>
      </c>
      <c r="G279" s="2975">
        <v>0.15</v>
      </c>
    </row>
    <row r="280" spans="1:7">
      <c r="A280" s="2984" t="s">
        <v>306</v>
      </c>
      <c r="B280" s="2973" t="s">
        <v>2873</v>
      </c>
      <c r="C280" s="2974">
        <v>0.15</v>
      </c>
      <c r="D280" s="2974">
        <v>0.15</v>
      </c>
      <c r="E280" s="2974">
        <v>0.15</v>
      </c>
      <c r="F280" s="2974">
        <v>0.15</v>
      </c>
      <c r="G280" s="2975">
        <v>0.15</v>
      </c>
    </row>
    <row r="281" spans="1:7">
      <c r="A281" s="2984" t="s">
        <v>306</v>
      </c>
      <c r="B281" s="2973" t="s">
        <v>2877</v>
      </c>
      <c r="C281" s="2974">
        <v>0.15</v>
      </c>
      <c r="D281" s="2974">
        <v>0.15</v>
      </c>
      <c r="E281" s="2974">
        <v>0.15</v>
      </c>
      <c r="F281" s="2974">
        <v>0.15</v>
      </c>
      <c r="G281" s="2975">
        <v>0.15</v>
      </c>
    </row>
    <row r="282" spans="1:7">
      <c r="A282" s="2984" t="s">
        <v>306</v>
      </c>
      <c r="B282" s="2973" t="s">
        <v>2881</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2896</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2901</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2911</v>
      </c>
      <c r="C293" s="2974">
        <v>0.15</v>
      </c>
      <c r="D293" s="2974">
        <v>0.15</v>
      </c>
      <c r="E293" s="2974">
        <v>0.15</v>
      </c>
      <c r="F293" s="2974">
        <v>0.14499999999999999</v>
      </c>
      <c r="G293" s="2975">
        <v>0.15</v>
      </c>
    </row>
    <row r="294" spans="1:7">
      <c r="A294" s="2984" t="s">
        <v>306</v>
      </c>
      <c r="B294" s="2973" t="s">
        <v>2913</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2930</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2943</v>
      </c>
      <c r="C302" s="2974">
        <v>0.15</v>
      </c>
      <c r="D302" s="2974">
        <v>0.15</v>
      </c>
      <c r="E302" s="2974">
        <v>0.15</v>
      </c>
      <c r="F302" s="2974">
        <v>0.14699999999999999</v>
      </c>
      <c r="G302" s="2975">
        <v>0.15</v>
      </c>
    </row>
    <row r="303" spans="1:7">
      <c r="A303" s="2984" t="s">
        <v>306</v>
      </c>
      <c r="B303" s="2973" t="s">
        <v>2950</v>
      </c>
      <c r="C303" s="2974">
        <v>0.15</v>
      </c>
      <c r="D303" s="2974">
        <v>0.15</v>
      </c>
      <c r="E303" s="2974">
        <v>0.15</v>
      </c>
      <c r="F303" s="2974">
        <v>0.14199999999999999</v>
      </c>
      <c r="G303" s="2975">
        <v>0.15</v>
      </c>
    </row>
    <row r="304" spans="1:7">
      <c r="A304" s="2984" t="s">
        <v>306</v>
      </c>
      <c r="B304" s="2973" t="s">
        <v>2957</v>
      </c>
      <c r="C304" s="2974">
        <v>0.15</v>
      </c>
      <c r="D304" s="2974">
        <v>0.15</v>
      </c>
      <c r="E304" s="2974">
        <v>0.15</v>
      </c>
      <c r="F304" s="2974">
        <v>0.14499999999999999</v>
      </c>
      <c r="G304" s="2975">
        <v>0.15</v>
      </c>
    </row>
    <row r="305" spans="1:7">
      <c r="A305" s="2984" t="s">
        <v>306</v>
      </c>
      <c r="B305" s="2973" t="s">
        <v>2963</v>
      </c>
      <c r="C305" s="2974">
        <v>0.15</v>
      </c>
      <c r="D305" s="2974">
        <v>0.15</v>
      </c>
      <c r="E305" s="2974">
        <v>0.15</v>
      </c>
      <c r="F305" s="2974">
        <v>0.111</v>
      </c>
      <c r="G305" s="2975">
        <v>0.15</v>
      </c>
    </row>
    <row r="306" spans="1:7">
      <c r="A306" s="2984" t="s">
        <v>306</v>
      </c>
      <c r="B306" s="2973" t="s">
        <v>2970</v>
      </c>
      <c r="C306" s="2974">
        <v>0.15</v>
      </c>
      <c r="D306" s="2974">
        <v>0.15</v>
      </c>
      <c r="E306" s="2974">
        <v>0.15</v>
      </c>
      <c r="F306" s="2974">
        <v>0.126</v>
      </c>
      <c r="G306" s="2975">
        <v>0.15</v>
      </c>
    </row>
    <row r="307" spans="1:7">
      <c r="A307" s="2984" t="s">
        <v>306</v>
      </c>
      <c r="B307" s="2973" t="s">
        <v>2975</v>
      </c>
      <c r="C307" s="2974">
        <v>0.15</v>
      </c>
      <c r="D307" s="2974">
        <v>0.15</v>
      </c>
      <c r="E307" s="2974">
        <v>0.15</v>
      </c>
      <c r="F307" s="2974">
        <v>0.12</v>
      </c>
      <c r="G307" s="2975">
        <v>0.15</v>
      </c>
    </row>
    <row r="308" spans="1:7">
      <c r="A308" s="2984" t="s">
        <v>306</v>
      </c>
      <c r="B308" s="2973" t="s">
        <v>2981</v>
      </c>
      <c r="C308" s="2974">
        <v>0.15</v>
      </c>
      <c r="D308" s="2974">
        <v>0.15</v>
      </c>
      <c r="E308" s="2974">
        <v>0.15</v>
      </c>
      <c r="F308" s="2974">
        <v>0.13</v>
      </c>
      <c r="G308" s="2975">
        <v>0.15</v>
      </c>
    </row>
    <row r="309" spans="1:7">
      <c r="A309" s="2984" t="s">
        <v>306</v>
      </c>
      <c r="B309" s="2973" t="s">
        <v>2985</v>
      </c>
      <c r="C309" s="2974">
        <v>0.15</v>
      </c>
      <c r="D309" s="2974">
        <v>0.15</v>
      </c>
      <c r="E309" s="2974">
        <v>0.15</v>
      </c>
      <c r="F309" s="2974">
        <v>0.14099999999999999</v>
      </c>
      <c r="G309" s="2975">
        <v>0.15</v>
      </c>
    </row>
    <row r="310" spans="1:7">
      <c r="A310" s="2984" t="s">
        <v>306</v>
      </c>
      <c r="B310" s="2973" t="s">
        <v>2990</v>
      </c>
      <c r="C310" s="2974">
        <v>0.15</v>
      </c>
      <c r="D310" s="2974">
        <v>0.15</v>
      </c>
      <c r="E310" s="2974">
        <v>0.15</v>
      </c>
      <c r="F310" s="2974">
        <v>0.15</v>
      </c>
      <c r="G310" s="2975">
        <v>0.15</v>
      </c>
    </row>
    <row r="311" spans="1:7">
      <c r="A311" s="2984" t="s">
        <v>306</v>
      </c>
      <c r="B311" s="2973" t="s">
        <v>2995</v>
      </c>
      <c r="C311" s="2974">
        <v>0.13200000000000001</v>
      </c>
      <c r="D311" s="2974">
        <v>0.13300000000000001</v>
      </c>
      <c r="E311" s="2974">
        <v>0.14499999999999999</v>
      </c>
      <c r="F311" s="2974">
        <v>0.14199999999999999</v>
      </c>
      <c r="G311" s="2975">
        <v>0.14000000000000001</v>
      </c>
    </row>
    <row r="312" spans="1:7">
      <c r="A312" s="2984" t="s">
        <v>306</v>
      </c>
      <c r="B312" s="2973" t="s">
        <v>3000</v>
      </c>
      <c r="C312" s="2974">
        <v>0.13800000000000001</v>
      </c>
      <c r="D312" s="2974">
        <v>0.14000000000000001</v>
      </c>
      <c r="E312" s="2974">
        <v>0.14599999999999999</v>
      </c>
      <c r="F312" s="2974">
        <v>0.14899999999999999</v>
      </c>
      <c r="G312" s="2975">
        <v>0.14199999999999999</v>
      </c>
    </row>
    <row r="313" spans="1:7">
      <c r="A313" s="2984" t="s">
        <v>306</v>
      </c>
      <c r="B313" s="2973" t="s">
        <v>3005</v>
      </c>
      <c r="C313" s="2974">
        <v>0.125</v>
      </c>
      <c r="D313" s="2974">
        <v>0.127</v>
      </c>
      <c r="E313" s="2974">
        <v>0.14399999999999999</v>
      </c>
      <c r="F313" s="2974">
        <v>0.115</v>
      </c>
      <c r="G313" s="2975">
        <v>0.13600000000000001</v>
      </c>
    </row>
    <row r="314" spans="1:7">
      <c r="A314" s="2984" t="s">
        <v>306</v>
      </c>
      <c r="B314" s="2973" t="s">
        <v>3214</v>
      </c>
      <c r="C314" s="2990"/>
      <c r="D314" s="2990"/>
      <c r="E314" s="2990"/>
      <c r="F314" s="2974">
        <v>0.05</v>
      </c>
      <c r="G314" s="2991"/>
    </row>
    <row r="315" spans="1:7">
      <c r="A315" s="2984" t="s">
        <v>306</v>
      </c>
      <c r="B315" s="2973" t="s">
        <v>3215</v>
      </c>
      <c r="C315" s="2990"/>
      <c r="D315" s="2990"/>
      <c r="E315" s="2990"/>
      <c r="F315" s="2974">
        <v>0.05</v>
      </c>
      <c r="G315" s="2991"/>
    </row>
    <row r="316" spans="1:7">
      <c r="A316" s="2984" t="s">
        <v>306</v>
      </c>
      <c r="B316" s="2973" t="s">
        <v>3216</v>
      </c>
      <c r="C316" s="2985"/>
      <c r="D316" s="2985"/>
      <c r="E316" s="2985"/>
      <c r="F316" s="2974">
        <v>0.05</v>
      </c>
      <c r="G316" s="2991"/>
    </row>
    <row r="317" spans="1:7">
      <c r="A317" s="2984" t="s">
        <v>306</v>
      </c>
      <c r="B317" s="2973" t="s">
        <v>3217</v>
      </c>
      <c r="C317" s="2985"/>
      <c r="D317" s="2985"/>
      <c r="E317" s="2985"/>
      <c r="F317" s="2974">
        <v>0.05</v>
      </c>
      <c r="G317" s="2991"/>
    </row>
    <row r="318" spans="1:7">
      <c r="A318" s="2984" t="s">
        <v>306</v>
      </c>
      <c r="B318" s="2973" t="s">
        <v>3218</v>
      </c>
      <c r="C318" s="2985"/>
      <c r="D318" s="2985"/>
      <c r="E318" s="2985"/>
      <c r="F318" s="2974">
        <v>0.05</v>
      </c>
      <c r="G318" s="2991"/>
    </row>
    <row r="319" spans="1:7">
      <c r="A319" s="2984" t="s">
        <v>306</v>
      </c>
      <c r="B319" s="2973" t="s">
        <v>3219</v>
      </c>
      <c r="C319" s="2985"/>
      <c r="D319" s="2985"/>
      <c r="E319" s="2985"/>
      <c r="F319" s="2974">
        <v>0.05</v>
      </c>
      <c r="G319" s="2991"/>
    </row>
    <row r="320" spans="1:7">
      <c r="A320" s="2984" t="s">
        <v>306</v>
      </c>
      <c r="B320" s="2973" t="s">
        <v>3220</v>
      </c>
      <c r="C320" s="2985"/>
      <c r="D320" s="2985"/>
      <c r="E320" s="2985"/>
      <c r="F320" s="2974">
        <v>0.05</v>
      </c>
      <c r="G320" s="2991"/>
    </row>
    <row r="321" spans="1:7">
      <c r="A321" s="2984" t="s">
        <v>306</v>
      </c>
      <c r="B321" s="2973" t="s">
        <v>3221</v>
      </c>
      <c r="C321" s="2985"/>
      <c r="D321" s="2985"/>
      <c r="E321" s="2985"/>
      <c r="F321" s="2974">
        <v>0.05</v>
      </c>
      <c r="G321" s="2991"/>
    </row>
    <row r="322" spans="1:7">
      <c r="A322" s="2984" t="s">
        <v>306</v>
      </c>
      <c r="B322" s="2973" t="s">
        <v>3222</v>
      </c>
      <c r="C322" s="2985"/>
      <c r="D322" s="2985"/>
      <c r="E322" s="2985"/>
      <c r="F322" s="2974">
        <v>0.05</v>
      </c>
      <c r="G322" s="2991"/>
    </row>
    <row r="323" spans="1:7">
      <c r="A323" s="2984" t="s">
        <v>306</v>
      </c>
      <c r="B323" s="2973" t="s">
        <v>3223</v>
      </c>
      <c r="C323" s="2985"/>
      <c r="D323" s="2985"/>
      <c r="E323" s="2985"/>
      <c r="F323" s="2974">
        <v>0.05</v>
      </c>
      <c r="G323" s="2991"/>
    </row>
    <row r="324" spans="1:7">
      <c r="A324" s="2984" t="s">
        <v>306</v>
      </c>
      <c r="B324" s="2973" t="s">
        <v>3224</v>
      </c>
      <c r="C324" s="2985"/>
      <c r="D324" s="2985"/>
      <c r="E324" s="2985"/>
      <c r="F324" s="2974">
        <v>0.05</v>
      </c>
      <c r="G324" s="2991"/>
    </row>
    <row r="325" spans="1:7">
      <c r="A325" s="2984" t="s">
        <v>306</v>
      </c>
      <c r="B325" s="2973" t="s">
        <v>3225</v>
      </c>
      <c r="C325" s="2985"/>
      <c r="D325" s="2985"/>
      <c r="E325" s="2985"/>
      <c r="F325" s="2974">
        <v>0.05</v>
      </c>
      <c r="G325" s="2991"/>
    </row>
    <row r="326" spans="1:7" ht="15" thickBot="1">
      <c r="A326" s="2987" t="s">
        <v>306</v>
      </c>
      <c r="B326" s="2977" t="s">
        <v>3226</v>
      </c>
      <c r="C326" s="2979"/>
      <c r="D326" s="2979"/>
      <c r="E326" s="2979"/>
      <c r="F326" s="2978">
        <v>0.05</v>
      </c>
      <c r="G326" s="2992"/>
    </row>
    <row r="327" spans="1:7">
      <c r="A327" s="2983" t="s">
        <v>307</v>
      </c>
      <c r="B327" s="2969" t="s">
        <v>2858</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2870</v>
      </c>
      <c r="C329" s="2974">
        <v>0.15</v>
      </c>
      <c r="D329" s="2974">
        <v>0.15</v>
      </c>
      <c r="E329" s="2974">
        <v>0.15</v>
      </c>
      <c r="F329" s="2974">
        <v>0.15</v>
      </c>
      <c r="G329" s="2975">
        <v>0.15</v>
      </c>
    </row>
    <row r="330" spans="1:7">
      <c r="A330" s="2984" t="s">
        <v>307</v>
      </c>
      <c r="B330" s="2973" t="s">
        <v>2874</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2882</v>
      </c>
      <c r="C332" s="2974">
        <v>0.15</v>
      </c>
      <c r="D332" s="2974">
        <v>0.15</v>
      </c>
      <c r="E332" s="2974">
        <v>0.15</v>
      </c>
      <c r="F332" s="2974">
        <v>0.15</v>
      </c>
      <c r="G332" s="2975">
        <v>0.15</v>
      </c>
    </row>
    <row r="333" spans="1:7">
      <c r="A333" s="2984" t="s">
        <v>307</v>
      </c>
      <c r="B333" s="2973" t="s">
        <v>2886</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2892</v>
      </c>
      <c r="C336" s="2974">
        <v>0.15</v>
      </c>
      <c r="D336" s="2974">
        <v>0.15</v>
      </c>
      <c r="E336" s="2974">
        <v>0.15</v>
      </c>
      <c r="F336" s="2974">
        <v>0.14199999999999999</v>
      </c>
      <c r="G336" s="2975">
        <v>0.15</v>
      </c>
    </row>
    <row r="337" spans="1:7">
      <c r="A337" s="2984" t="s">
        <v>307</v>
      </c>
      <c r="B337" s="2973" t="s">
        <v>2897</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2904</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2909</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2917</v>
      </c>
      <c r="C345" s="2974">
        <v>0.15</v>
      </c>
      <c r="D345" s="2974">
        <v>0.15</v>
      </c>
      <c r="E345" s="2974">
        <v>0.15</v>
      </c>
      <c r="F345" s="2974">
        <v>0.13800000000000001</v>
      </c>
      <c r="G345" s="2975">
        <v>0.15</v>
      </c>
    </row>
    <row r="346" spans="1:7">
      <c r="A346" s="2984" t="s">
        <v>307</v>
      </c>
      <c r="B346" s="2973" t="s">
        <v>2919</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2926</v>
      </c>
      <c r="C348" s="2974">
        <v>0.15</v>
      </c>
      <c r="D348" s="2974">
        <v>0.15</v>
      </c>
      <c r="E348" s="2974">
        <v>0.15</v>
      </c>
      <c r="F348" s="2974">
        <v>0.14399999999999999</v>
      </c>
      <c r="G348" s="2975">
        <v>0.15</v>
      </c>
    </row>
    <row r="349" spans="1:7">
      <c r="A349" s="2984" t="s">
        <v>307</v>
      </c>
      <c r="B349" s="2973" t="s">
        <v>2931</v>
      </c>
      <c r="C349" s="2974">
        <v>0.15</v>
      </c>
      <c r="D349" s="2974">
        <v>0.15</v>
      </c>
      <c r="E349" s="2974">
        <v>0.15</v>
      </c>
      <c r="F349" s="2974">
        <v>0.15</v>
      </c>
      <c r="G349" s="2975">
        <v>0.15</v>
      </c>
    </row>
    <row r="350" spans="1:7">
      <c r="A350" s="2984" t="s">
        <v>307</v>
      </c>
      <c r="B350" s="2973" t="s">
        <v>2934</v>
      </c>
      <c r="C350" s="2974">
        <v>0.15</v>
      </c>
      <c r="D350" s="2974">
        <v>0.15</v>
      </c>
      <c r="E350" s="2974">
        <v>0.15</v>
      </c>
      <c r="F350" s="2974">
        <v>0.14699999999999999</v>
      </c>
      <c r="G350" s="2975">
        <v>0.15</v>
      </c>
    </row>
    <row r="351" spans="1:7">
      <c r="A351" s="2984" t="s">
        <v>307</v>
      </c>
      <c r="B351" s="2973" t="s">
        <v>2939</v>
      </c>
      <c r="C351" s="2974">
        <v>0.15</v>
      </c>
      <c r="D351" s="2974">
        <v>0.15</v>
      </c>
      <c r="E351" s="2974">
        <v>0.15</v>
      </c>
      <c r="F351" s="2974">
        <v>0.13</v>
      </c>
      <c r="G351" s="2975">
        <v>0.15</v>
      </c>
    </row>
    <row r="352" spans="1:7">
      <c r="A352" s="2984" t="s">
        <v>307</v>
      </c>
      <c r="B352" s="2973" t="s">
        <v>2944</v>
      </c>
      <c r="C352" s="2974">
        <v>0.15</v>
      </c>
      <c r="D352" s="2974">
        <v>0.15</v>
      </c>
      <c r="E352" s="2974">
        <v>0.15</v>
      </c>
      <c r="F352" s="2974">
        <v>0.14599999999999999</v>
      </c>
      <c r="G352" s="2975">
        <v>0.15</v>
      </c>
    </row>
    <row r="353" spans="1:7">
      <c r="A353" s="2984" t="s">
        <v>307</v>
      </c>
      <c r="B353" s="2973" t="s">
        <v>2951</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2964</v>
      </c>
      <c r="C355" s="2974">
        <v>0.15</v>
      </c>
      <c r="D355" s="2974">
        <v>0.15</v>
      </c>
      <c r="E355" s="2974">
        <v>0.15</v>
      </c>
      <c r="F355" s="2974">
        <v>0.15</v>
      </c>
      <c r="G355" s="2975">
        <v>0.15</v>
      </c>
    </row>
    <row r="356" spans="1:7">
      <c r="A356" s="2984" t="s">
        <v>307</v>
      </c>
      <c r="B356" s="2973" t="s">
        <v>2971</v>
      </c>
      <c r="C356" s="2974">
        <v>0.15</v>
      </c>
      <c r="D356" s="2974">
        <v>0.15</v>
      </c>
      <c r="E356" s="2974">
        <v>0.15</v>
      </c>
      <c r="F356" s="2974">
        <v>0.15</v>
      </c>
      <c r="G356" s="2975">
        <v>0.15</v>
      </c>
    </row>
    <row r="357" spans="1:7" ht="15" thickBot="1">
      <c r="A357" s="2987" t="s">
        <v>307</v>
      </c>
      <c r="B357" s="2977" t="s">
        <v>2976</v>
      </c>
      <c r="C357" s="2978">
        <v>0.126</v>
      </c>
      <c r="D357" s="2978">
        <v>0.127</v>
      </c>
      <c r="E357" s="2978">
        <v>0.14299999999999999</v>
      </c>
      <c r="F357" s="2978">
        <v>0.125</v>
      </c>
      <c r="G357" s="2980">
        <v>0.129</v>
      </c>
    </row>
    <row r="358" spans="1:7">
      <c r="A358" s="2983" t="s">
        <v>2845</v>
      </c>
      <c r="B358" s="2969" t="s">
        <v>2859</v>
      </c>
      <c r="C358" s="2970">
        <v>0.15</v>
      </c>
      <c r="D358" s="2970">
        <v>0.15</v>
      </c>
      <c r="E358" s="2970">
        <v>0.15</v>
      </c>
      <c r="F358" s="2970">
        <v>0.15</v>
      </c>
      <c r="G358" s="2971">
        <v>0.15</v>
      </c>
    </row>
    <row r="359" spans="1:7">
      <c r="A359" s="2984" t="s">
        <v>2845</v>
      </c>
      <c r="B359" s="2973" t="s">
        <v>2865</v>
      </c>
      <c r="C359" s="2974">
        <v>0.1</v>
      </c>
      <c r="D359" s="2974">
        <v>0.1</v>
      </c>
      <c r="E359" s="2974">
        <v>0.1</v>
      </c>
      <c r="F359" s="2974">
        <v>0.1</v>
      </c>
      <c r="G359" s="2975">
        <v>0.1</v>
      </c>
    </row>
    <row r="360" spans="1:7">
      <c r="A360" s="2984" t="s">
        <v>2845</v>
      </c>
      <c r="B360" s="2973" t="s">
        <v>2871</v>
      </c>
      <c r="C360" s="2974">
        <v>0.15</v>
      </c>
      <c r="D360" s="2974">
        <v>0.15</v>
      </c>
      <c r="E360" s="2974">
        <v>0.15</v>
      </c>
      <c r="F360" s="2974">
        <v>0.14899999999999999</v>
      </c>
      <c r="G360" s="2975">
        <v>0.15</v>
      </c>
    </row>
    <row r="361" spans="1:7">
      <c r="A361" s="2984" t="s">
        <v>2845</v>
      </c>
      <c r="B361" s="2973" t="s">
        <v>153</v>
      </c>
      <c r="C361" s="2974">
        <v>0.15</v>
      </c>
      <c r="D361" s="2974">
        <v>0.15</v>
      </c>
      <c r="E361" s="2974">
        <v>0.15</v>
      </c>
      <c r="F361" s="2974">
        <v>0.115</v>
      </c>
      <c r="G361" s="2975">
        <v>0.15</v>
      </c>
    </row>
    <row r="362" spans="1:7">
      <c r="A362" s="2984" t="s">
        <v>2845</v>
      </c>
      <c r="B362" s="2973" t="s">
        <v>2878</v>
      </c>
      <c r="C362" s="2974">
        <v>0.15</v>
      </c>
      <c r="D362" s="2974">
        <v>0.15</v>
      </c>
      <c r="E362" s="2974">
        <v>0.15</v>
      </c>
      <c r="F362" s="2974">
        <v>0.106</v>
      </c>
      <c r="G362" s="2975">
        <v>0.15</v>
      </c>
    </row>
    <row r="363" spans="1:7">
      <c r="A363" s="2984" t="s">
        <v>2845</v>
      </c>
      <c r="B363" s="2973" t="s">
        <v>2883</v>
      </c>
      <c r="C363" s="2974">
        <v>0.15</v>
      </c>
      <c r="D363" s="2974">
        <v>0.15</v>
      </c>
      <c r="E363" s="2974">
        <v>0.15</v>
      </c>
      <c r="F363" s="2974">
        <v>0.14699999999999999</v>
      </c>
      <c r="G363" s="2975">
        <v>0.15</v>
      </c>
    </row>
    <row r="364" spans="1:7">
      <c r="A364" s="2984" t="s">
        <v>2845</v>
      </c>
      <c r="B364" s="2973" t="s">
        <v>2887</v>
      </c>
      <c r="C364" s="2974">
        <v>0.15</v>
      </c>
      <c r="D364" s="2974">
        <v>0.15</v>
      </c>
      <c r="E364" s="2974">
        <v>0.15</v>
      </c>
      <c r="F364" s="2974">
        <v>0.14799999999999999</v>
      </c>
      <c r="G364" s="2975">
        <v>0.15</v>
      </c>
    </row>
    <row r="365" spans="1:7">
      <c r="A365" s="2984" t="s">
        <v>2845</v>
      </c>
      <c r="B365" s="2973" t="s">
        <v>200</v>
      </c>
      <c r="C365" s="2974">
        <v>0.15</v>
      </c>
      <c r="D365" s="2974">
        <v>0.15</v>
      </c>
      <c r="E365" s="2974">
        <v>0.15</v>
      </c>
      <c r="F365" s="2974">
        <v>0.15</v>
      </c>
      <c r="G365" s="2975">
        <v>0.15</v>
      </c>
    </row>
    <row r="366" spans="1:7">
      <c r="A366" s="2984" t="s">
        <v>2845</v>
      </c>
      <c r="B366" s="2973" t="s">
        <v>2890</v>
      </c>
      <c r="C366" s="2974">
        <v>0.15</v>
      </c>
      <c r="D366" s="2974">
        <v>0.15</v>
      </c>
      <c r="E366" s="2974">
        <v>0.15</v>
      </c>
      <c r="F366" s="2974">
        <v>0.15</v>
      </c>
      <c r="G366" s="2975">
        <v>0.15</v>
      </c>
    </row>
    <row r="367" spans="1:7">
      <c r="A367" s="2984" t="s">
        <v>2845</v>
      </c>
      <c r="B367" s="2973" t="s">
        <v>2893</v>
      </c>
      <c r="C367" s="2974">
        <v>0.15</v>
      </c>
      <c r="D367" s="2974">
        <v>0.15</v>
      </c>
      <c r="E367" s="2974">
        <v>0.15</v>
      </c>
      <c r="F367" s="2974">
        <v>0.14699999999999999</v>
      </c>
      <c r="G367" s="2975">
        <v>0.15</v>
      </c>
    </row>
    <row r="368" spans="1:7">
      <c r="A368" s="2984" t="s">
        <v>2845</v>
      </c>
      <c r="B368" s="2973" t="s">
        <v>2898</v>
      </c>
      <c r="C368" s="2974">
        <v>0.15</v>
      </c>
      <c r="D368" s="2974">
        <v>0.15</v>
      </c>
      <c r="E368" s="2974">
        <v>0.15</v>
      </c>
      <c r="F368" s="2974">
        <v>0.13600000000000001</v>
      </c>
      <c r="G368" s="2975">
        <v>0.15</v>
      </c>
    </row>
    <row r="369" spans="1:7">
      <c r="A369" s="2984" t="s">
        <v>2845</v>
      </c>
      <c r="B369" s="2973" t="s">
        <v>214</v>
      </c>
      <c r="C369" s="2974">
        <v>0.15</v>
      </c>
      <c r="D369" s="2974">
        <v>0.15</v>
      </c>
      <c r="E369" s="2974">
        <v>0.15</v>
      </c>
      <c r="F369" s="2974">
        <v>0.14399999999999999</v>
      </c>
      <c r="G369" s="2975">
        <v>0.15</v>
      </c>
    </row>
    <row r="370" spans="1:7">
      <c r="A370" s="2984" t="s">
        <v>2845</v>
      </c>
      <c r="B370" s="2973" t="s">
        <v>221</v>
      </c>
      <c r="C370" s="2974">
        <v>0.15</v>
      </c>
      <c r="D370" s="2974">
        <v>0.15</v>
      </c>
      <c r="E370" s="2974">
        <v>0.15</v>
      </c>
      <c r="F370" s="2974">
        <v>0.14599999999999999</v>
      </c>
      <c r="G370" s="2975">
        <v>0.15</v>
      </c>
    </row>
    <row r="371" spans="1:7">
      <c r="A371" s="2984" t="s">
        <v>2845</v>
      </c>
      <c r="B371" s="2973" t="s">
        <v>229</v>
      </c>
      <c r="C371" s="2974">
        <v>0.15</v>
      </c>
      <c r="D371" s="2974">
        <v>0.15</v>
      </c>
      <c r="E371" s="2974">
        <v>0.15</v>
      </c>
      <c r="F371" s="2974">
        <v>0.12</v>
      </c>
      <c r="G371" s="2975">
        <v>0.15</v>
      </c>
    </row>
    <row r="372" spans="1:7">
      <c r="A372" s="2984" t="s">
        <v>2845</v>
      </c>
      <c r="B372" s="2973" t="s">
        <v>2906</v>
      </c>
      <c r="C372" s="2974">
        <v>0.15</v>
      </c>
      <c r="D372" s="2974">
        <v>0.15</v>
      </c>
      <c r="E372" s="2974">
        <v>0.15</v>
      </c>
      <c r="F372" s="2974">
        <v>0.14299999999999999</v>
      </c>
      <c r="G372" s="2975">
        <v>0.15</v>
      </c>
    </row>
    <row r="373" spans="1:7">
      <c r="A373" s="2984" t="s">
        <v>2845</v>
      </c>
      <c r="B373" s="2973" t="s">
        <v>258</v>
      </c>
      <c r="C373" s="2974">
        <v>0.15</v>
      </c>
      <c r="D373" s="2974">
        <v>0.15</v>
      </c>
      <c r="E373" s="2974">
        <v>0.15</v>
      </c>
      <c r="F373" s="2974">
        <v>0.14599999999999999</v>
      </c>
      <c r="G373" s="2975">
        <v>0.15</v>
      </c>
    </row>
    <row r="374" spans="1:7">
      <c r="A374" s="2984" t="s">
        <v>2845</v>
      </c>
      <c r="B374" s="2973" t="s">
        <v>266</v>
      </c>
      <c r="C374" s="2974">
        <v>0.15</v>
      </c>
      <c r="D374" s="2974">
        <v>0.15</v>
      </c>
      <c r="E374" s="2974">
        <v>0.15</v>
      </c>
      <c r="F374" s="2974">
        <v>0.14399999999999999</v>
      </c>
      <c r="G374" s="2975">
        <v>0.15</v>
      </c>
    </row>
    <row r="375" spans="1:7">
      <c r="A375" s="2984" t="s">
        <v>2845</v>
      </c>
      <c r="B375" s="2973" t="s">
        <v>2914</v>
      </c>
      <c r="C375" s="2974">
        <v>0.15</v>
      </c>
      <c r="D375" s="2974">
        <v>0.15</v>
      </c>
      <c r="E375" s="2974">
        <v>0.15</v>
      </c>
      <c r="F375" s="2974">
        <v>0.13</v>
      </c>
      <c r="G375" s="2975">
        <v>0.15</v>
      </c>
    </row>
    <row r="376" spans="1:7">
      <c r="A376" s="2984" t="s">
        <v>2845</v>
      </c>
      <c r="B376" s="2973" t="s">
        <v>277</v>
      </c>
      <c r="C376" s="2974">
        <v>0.15</v>
      </c>
      <c r="D376" s="2974">
        <v>0.15</v>
      </c>
      <c r="E376" s="2974">
        <v>0.15</v>
      </c>
      <c r="F376" s="2974">
        <v>0.14199999999999999</v>
      </c>
      <c r="G376" s="2975">
        <v>0.15</v>
      </c>
    </row>
    <row r="377" spans="1:7" ht="15" thickBot="1">
      <c r="A377" s="2987" t="s">
        <v>2845</v>
      </c>
      <c r="B377" s="2977" t="s">
        <v>2920</v>
      </c>
      <c r="C377" s="2978">
        <v>0.15</v>
      </c>
      <c r="D377" s="2978">
        <v>0.15</v>
      </c>
      <c r="E377" s="2978">
        <v>0.15</v>
      </c>
      <c r="F377" s="2978">
        <v>0.14000000000000001</v>
      </c>
      <c r="G377" s="2980">
        <v>0.15</v>
      </c>
    </row>
    <row r="378" spans="1:7">
      <c r="A378" s="2983" t="s">
        <v>2846</v>
      </c>
      <c r="B378" s="2969" t="s">
        <v>2860</v>
      </c>
      <c r="C378" s="2970">
        <v>0.15</v>
      </c>
      <c r="D378" s="2970">
        <v>0.15</v>
      </c>
      <c r="E378" s="2970">
        <v>0.15</v>
      </c>
      <c r="F378" s="2970">
        <v>0.107</v>
      </c>
      <c r="G378" s="2971">
        <v>0.15</v>
      </c>
    </row>
    <row r="379" spans="1:7">
      <c r="A379" s="2984" t="s">
        <v>2846</v>
      </c>
      <c r="B379" s="2973" t="s">
        <v>2866</v>
      </c>
      <c r="C379" s="2974">
        <v>0.15</v>
      </c>
      <c r="D379" s="2974">
        <v>0.15</v>
      </c>
      <c r="E379" s="2974">
        <v>0.15</v>
      </c>
      <c r="F379" s="2974">
        <v>0.115</v>
      </c>
      <c r="G379" s="2975">
        <v>0.14899999999999999</v>
      </c>
    </row>
    <row r="380" spans="1:7">
      <c r="A380" s="2984" t="s">
        <v>2846</v>
      </c>
      <c r="B380" s="2973" t="s">
        <v>2872</v>
      </c>
      <c r="C380" s="2974">
        <v>0.15</v>
      </c>
      <c r="D380" s="2974">
        <v>0.15</v>
      </c>
      <c r="E380" s="2974">
        <v>0.15</v>
      </c>
      <c r="F380" s="2974">
        <v>0.1</v>
      </c>
      <c r="G380" s="2975">
        <v>0.14799999999999999</v>
      </c>
    </row>
    <row r="381" spans="1:7">
      <c r="A381" s="2984" t="s">
        <v>2846</v>
      </c>
      <c r="B381" s="2973" t="s">
        <v>2875</v>
      </c>
      <c r="C381" s="2974">
        <v>0.15</v>
      </c>
      <c r="D381" s="2974">
        <v>0.15</v>
      </c>
      <c r="E381" s="2974">
        <v>0.15</v>
      </c>
      <c r="F381" s="2974">
        <v>0.126</v>
      </c>
      <c r="G381" s="2975">
        <v>0.15</v>
      </c>
    </row>
    <row r="382" spans="1:7">
      <c r="A382" s="2984" t="s">
        <v>2846</v>
      </c>
      <c r="B382" s="2973" t="s">
        <v>2879</v>
      </c>
      <c r="C382" s="2974">
        <v>0.15</v>
      </c>
      <c r="D382" s="2974">
        <v>0.15</v>
      </c>
      <c r="E382" s="2974">
        <v>0.15</v>
      </c>
      <c r="F382" s="2974">
        <v>0.15</v>
      </c>
      <c r="G382" s="2975">
        <v>0.15</v>
      </c>
    </row>
    <row r="383" spans="1:7">
      <c r="A383" s="2984" t="s">
        <v>2846</v>
      </c>
      <c r="B383" s="2973" t="s">
        <v>2884</v>
      </c>
      <c r="C383" s="2974">
        <v>0.15</v>
      </c>
      <c r="D383" s="2974">
        <v>0.15</v>
      </c>
      <c r="E383" s="2974">
        <v>0.15</v>
      </c>
      <c r="F383" s="2974">
        <v>0.14699999999999999</v>
      </c>
      <c r="G383" s="2975">
        <v>0.15</v>
      </c>
    </row>
    <row r="384" spans="1:7" ht="15" thickBot="1">
      <c r="A384" s="2994" t="s">
        <v>2846</v>
      </c>
      <c r="B384" s="2995" t="s">
        <v>2888</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09"/>
  </cols>
  <sheetData>
    <row r="1" spans="1:6">
      <c r="A1" s="3502" t="s">
        <v>3227</v>
      </c>
      <c r="B1" s="3502"/>
      <c r="C1" s="3502"/>
      <c r="D1" s="3502"/>
      <c r="E1" s="3502"/>
      <c r="F1" s="3503"/>
    </row>
    <row r="2" spans="1:6">
      <c r="A2" s="2998" t="s">
        <v>3228</v>
      </c>
    </row>
    <row r="3" spans="1:6">
      <c r="A3" s="2998" t="s">
        <v>3229</v>
      </c>
      <c r="F3" s="2999" t="s">
        <v>3230</v>
      </c>
    </row>
    <row r="4" spans="1:6">
      <c r="A4" s="3000" t="s">
        <v>672</v>
      </c>
      <c r="B4" s="3000" t="s">
        <v>673</v>
      </c>
      <c r="C4" s="3000" t="s">
        <v>21</v>
      </c>
      <c r="D4" s="3000" t="s">
        <v>674</v>
      </c>
      <c r="E4" s="3000" t="s">
        <v>3</v>
      </c>
      <c r="F4" s="3000" t="s">
        <v>3231</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3">
        <f>基准地价修正!G23</f>
        <v>45793</v>
      </c>
      <c r="B1" s="2925" t="s">
        <v>3372</v>
      </c>
      <c r="C1" s="2926"/>
      <c r="D1" s="2926"/>
      <c r="E1" s="2926"/>
      <c r="F1" s="2926"/>
      <c r="G1" s="2926"/>
      <c r="H1" s="2926"/>
      <c r="I1" s="2926"/>
      <c r="J1" s="2892"/>
      <c r="K1" s="2926" t="s">
        <v>454</v>
      </c>
      <c r="L1" s="2926"/>
      <c r="M1" s="2926"/>
      <c r="N1" s="2926"/>
      <c r="O1" s="2926"/>
      <c r="P1" s="2926"/>
      <c r="Q1" s="2892"/>
      <c r="R1" s="3504" t="s">
        <v>456</v>
      </c>
      <c r="S1" s="3505"/>
      <c r="T1" s="3505"/>
      <c r="U1" s="3505"/>
      <c r="V1" s="3505"/>
      <c r="W1" s="3505"/>
      <c r="X1" s="2892"/>
      <c r="Y1" s="3504" t="s">
        <v>457</v>
      </c>
      <c r="Z1" s="3505"/>
      <c r="AA1" s="3505"/>
      <c r="AB1" s="3505"/>
      <c r="AC1" s="3505"/>
      <c r="AD1" s="3505"/>
    </row>
    <row r="2" spans="1:44" s="2007" customFormat="1" ht="15" thickBot="1">
      <c r="B2" s="2877"/>
      <c r="C2" s="2878"/>
      <c r="D2" s="2008" t="s">
        <v>2805</v>
      </c>
      <c r="E2" s="2009" t="s">
        <v>2806</v>
      </c>
      <c r="F2" s="2009" t="s">
        <v>2807</v>
      </c>
      <c r="G2" s="2009" t="s">
        <v>2808</v>
      </c>
      <c r="H2" s="2009" t="s">
        <v>2809</v>
      </c>
      <c r="I2" s="2009" t="s">
        <v>2626</v>
      </c>
      <c r="J2" s="2879"/>
      <c r="K2" s="2008" t="s">
        <v>2805</v>
      </c>
      <c r="L2" s="2009" t="s">
        <v>2806</v>
      </c>
      <c r="M2" s="2009" t="s">
        <v>2807</v>
      </c>
      <c r="N2" s="2009" t="s">
        <v>2808</v>
      </c>
      <c r="O2" s="2009" t="s">
        <v>2810</v>
      </c>
      <c r="P2" s="2009" t="s">
        <v>2626</v>
      </c>
      <c r="Q2" s="2879"/>
      <c r="R2" s="2008" t="s">
        <v>2805</v>
      </c>
      <c r="S2" s="2009" t="s">
        <v>2806</v>
      </c>
      <c r="T2" s="2009" t="s">
        <v>2807</v>
      </c>
      <c r="U2" s="2009" t="s">
        <v>2811</v>
      </c>
      <c r="V2" s="2009" t="s">
        <v>2812</v>
      </c>
      <c r="W2" s="2009" t="s">
        <v>2626</v>
      </c>
      <c r="X2" s="2879"/>
      <c r="Y2" s="2008" t="s">
        <v>2805</v>
      </c>
      <c r="Z2" s="2009" t="s">
        <v>2806</v>
      </c>
      <c r="AA2" s="2009" t="s">
        <v>2807</v>
      </c>
      <c r="AB2" s="2009" t="s">
        <v>2813</v>
      </c>
      <c r="AC2" s="2009" t="s">
        <v>2812</v>
      </c>
      <c r="AD2" s="2009" t="s">
        <v>2626</v>
      </c>
      <c r="AF2" t="s">
        <v>3399</v>
      </c>
      <c r="AG2" t="s">
        <v>673</v>
      </c>
      <c r="AH2" t="s">
        <v>21</v>
      </c>
      <c r="AI2" t="s">
        <v>3400</v>
      </c>
      <c r="AJ2" t="s">
        <v>3</v>
      </c>
      <c r="AK2" t="s">
        <v>3401</v>
      </c>
      <c r="AM2" t="s">
        <v>3399</v>
      </c>
      <c r="AN2" t="s">
        <v>673</v>
      </c>
      <c r="AO2" t="s">
        <v>21</v>
      </c>
      <c r="AP2" t="s">
        <v>3400</v>
      </c>
      <c r="AQ2" t="s">
        <v>3</v>
      </c>
      <c r="AR2" t="s">
        <v>3401</v>
      </c>
    </row>
    <row r="3" spans="1:44" s="2882" customFormat="1" ht="13.2">
      <c r="A3" s="2880" t="s">
        <v>2814</v>
      </c>
      <c r="B3" s="2881"/>
      <c r="D3" s="2882">
        <f>ROUND(AVERAGEIF(D4:D24,"&lt;&gt;0"),2)</f>
        <v>0.39</v>
      </c>
      <c r="E3" s="2882">
        <f t="shared" ref="E3:H3" si="0">ROUND(AVERAGEIF(E4:E24,"&lt;&gt;0"),2)</f>
        <v>0.21</v>
      </c>
      <c r="F3" s="2882">
        <f t="shared" si="0"/>
        <v>-0.06</v>
      </c>
      <c r="G3" s="2882">
        <f t="shared" si="0"/>
        <v>0.46</v>
      </c>
      <c r="H3" s="2882">
        <f t="shared" si="0"/>
        <v>0.51</v>
      </c>
      <c r="I3" s="2882">
        <f>F3</f>
        <v>-0.06</v>
      </c>
      <c r="J3" s="2883"/>
      <c r="K3" s="2884">
        <f>ROUND(AVERAGEIF(K4:K24,"&lt;&gt;0"),4)</f>
        <v>3.8999999999999998E-3</v>
      </c>
      <c r="L3" s="2885">
        <f t="shared" ref="L3:O3" si="1">ROUND(AVERAGEIF(L4:L24,"&lt;&gt;0"),4)</f>
        <v>2.0999999999999999E-3</v>
      </c>
      <c r="M3" s="2885">
        <f t="shared" si="1"/>
        <v>-5.9999999999999995E-4</v>
      </c>
      <c r="N3" s="2885">
        <f t="shared" si="1"/>
        <v>4.5999999999999999E-3</v>
      </c>
      <c r="O3" s="2885">
        <f t="shared" si="1"/>
        <v>5.1000000000000004E-3</v>
      </c>
      <c r="P3" s="2885">
        <f>M3</f>
        <v>-5.9999999999999995E-4</v>
      </c>
      <c r="Q3" s="2883"/>
      <c r="R3" s="2886">
        <f>ROUND(SUMPRODUCT(PRODUCT(1+K4:K24)),4)</f>
        <v>1.0674999999999999</v>
      </c>
      <c r="S3" s="2887">
        <f t="shared" ref="S3:V3" si="2">ROUND(SUMPRODUCT(PRODUCT(1+L4:L24)),4)</f>
        <v>1.0355000000000001</v>
      </c>
      <c r="T3" s="2887">
        <f t="shared" si="2"/>
        <v>0.98880000000000001</v>
      </c>
      <c r="U3" s="2887">
        <f t="shared" si="2"/>
        <v>1.0798000000000001</v>
      </c>
      <c r="V3" s="2887">
        <f t="shared" si="2"/>
        <v>1.0911</v>
      </c>
      <c r="W3" s="2886">
        <f>T3</f>
        <v>0.98880000000000001</v>
      </c>
      <c r="X3" s="2883"/>
      <c r="Y3" s="2888">
        <f>ROUND(AVERAGEIF(Y11:Y24,"&lt;&gt;0"),4)</f>
        <v>8.3999999999999995E-3</v>
      </c>
      <c r="Z3" s="2889">
        <f t="shared" ref="Z3:AC3" si="3">ROUND(AVERAGEIF(Z11:Z24,"&lt;&gt;0"),4)</f>
        <v>3.5000000000000001E-3</v>
      </c>
      <c r="AA3" s="2890">
        <f t="shared" si="3"/>
        <v>8.0000000000000004E-4</v>
      </c>
      <c r="AB3" s="2888">
        <f t="shared" si="3"/>
        <v>9.1000000000000004E-3</v>
      </c>
      <c r="AC3" s="2891">
        <f t="shared" si="3"/>
        <v>6.1000000000000004E-3</v>
      </c>
      <c r="AD3" s="2888">
        <f>AA3</f>
        <v>8.0000000000000004E-4</v>
      </c>
    </row>
    <row r="4" spans="1:44" s="2006" customFormat="1" ht="13.2">
      <c r="B4" s="2022"/>
      <c r="J4" s="2892"/>
      <c r="K4" s="2893"/>
      <c r="L4" s="2894"/>
      <c r="M4" s="2894"/>
      <c r="N4" s="2894"/>
      <c r="O4" s="2894"/>
      <c r="P4" s="2894"/>
      <c r="Q4" s="2892"/>
      <c r="R4" s="2024"/>
      <c r="S4" s="2895"/>
      <c r="T4" s="2896"/>
      <c r="U4" s="2024"/>
      <c r="V4" s="2897"/>
      <c r="W4" s="2024"/>
      <c r="X4" s="2892"/>
      <c r="Y4" s="2025"/>
      <c r="Z4" s="2898"/>
      <c r="AA4" s="2899"/>
      <c r="AB4" s="2025"/>
      <c r="AC4" s="2900"/>
      <c r="AD4" s="2025"/>
    </row>
    <row r="5" spans="1:44" s="2042" customFormat="1">
      <c r="A5" s="2037" t="s">
        <v>3398</v>
      </c>
      <c r="B5" s="2028">
        <v>2025</v>
      </c>
      <c r="C5" s="2039">
        <v>4</v>
      </c>
      <c r="D5" s="2004">
        <v>0</v>
      </c>
      <c r="E5" s="2004">
        <v>0</v>
      </c>
      <c r="F5" s="2004">
        <v>0</v>
      </c>
      <c r="G5" s="2004">
        <v>0</v>
      </c>
      <c r="H5" s="2004">
        <v>0</v>
      </c>
      <c r="I5" s="2005">
        <f t="shared" ref="I5" si="4">F5</f>
        <v>0</v>
      </c>
      <c r="J5" s="2902"/>
      <c r="K5" s="2040">
        <f t="shared" ref="K5" si="5">D5/100</f>
        <v>0</v>
      </c>
      <c r="L5" s="2025">
        <f t="shared" ref="L5" si="6">E5/100</f>
        <v>0</v>
      </c>
      <c r="M5" s="2025">
        <f t="shared" ref="M5" si="7">F5/100</f>
        <v>0</v>
      </c>
      <c r="N5" s="2025">
        <f t="shared" ref="N5" si="8">G5/100</f>
        <v>0</v>
      </c>
      <c r="O5" s="2025">
        <f t="shared" ref="O5" si="9">H5/100</f>
        <v>0</v>
      </c>
      <c r="P5" s="2025">
        <f t="shared" ref="P5:P11" si="10">M5</f>
        <v>0</v>
      </c>
      <c r="Q5" s="2902"/>
      <c r="R5" s="2024">
        <f>ROUND(IF(项目基本情况!$B$8="出让",SUMPRODUCT(PRODUCT(1+K5:$K$24)),SUMPRODUCT(PRODUCT(1+K5:$K$23))),4)</f>
        <v>1.0571999999999999</v>
      </c>
      <c r="S5" s="2024">
        <f>ROUND(IF(项目基本情况!$B$8="出让",SUMPRODUCT(PRODUCT(1+L5:$L$24)),SUMPRODUCT(PRODUCT(1+L5:$L$23))),4)</f>
        <v>1.0339</v>
      </c>
      <c r="T5" s="2024">
        <f>ROUND(IF(项目基本情况!$B$8="出让",SUMPRODUCT(PRODUCT(1+M5:$M$24)),SUMPRODUCT(PRODUCT(1+M5:$M$23))),4)</f>
        <v>0.99129999999999996</v>
      </c>
      <c r="U5" s="2024">
        <f>ROUND(IF(项目基本情况!$B$8="出让",SUMPRODUCT(PRODUCT(1+N5:$N$24)),SUMPRODUCT(PRODUCT(1+N5:$N$23))),4)</f>
        <v>1.0679000000000001</v>
      </c>
      <c r="V5" s="2024">
        <f>ROUND(IF(项目基本情况!$B$8="出让",SUMPRODUCT(PRODUCT(1+O5:$O$24)),SUMPRODUCT(PRODUCT(1+O5:$O$23))),4)</f>
        <v>1.0871999999999999</v>
      </c>
      <c r="W5" s="2024">
        <f t="shared" ref="W5:W11" si="11">T5</f>
        <v>0.99129999999999996</v>
      </c>
      <c r="X5" s="2902"/>
      <c r="Y5" s="2025">
        <f t="shared" ref="Y5:Y11" si="12">IF(D5=0,0,ROUND(AVERAGE(D5:D18)/100,4))</f>
        <v>0</v>
      </c>
      <c r="Z5" s="2025">
        <f t="shared" ref="Z5" si="13">IF(E5=0,0,ROUND(AVERAGE(E5:E18)/100,4))</f>
        <v>0</v>
      </c>
      <c r="AA5" s="2025">
        <f t="shared" ref="AA5" si="14">IF(F5=0,0,ROUND(AVERAGE(F5:F18)/100,4))</f>
        <v>0</v>
      </c>
      <c r="AB5" s="2025">
        <f t="shared" ref="AB5" si="15">IF(G5=0,0,ROUND(AVERAGE(G5:G18)/100,4))</f>
        <v>0</v>
      </c>
      <c r="AC5" s="2025">
        <f t="shared" ref="AC5" si="16">IF(H5=0,0,ROUND(AVERAGE(H5:H18)/100,4))</f>
        <v>0</v>
      </c>
      <c r="AD5" s="2025">
        <f t="shared" ref="AD5" si="17">AA5</f>
        <v>0</v>
      </c>
      <c r="AF5" s="3149">
        <f>$AF$24*R5</f>
        <v>105.72</v>
      </c>
      <c r="AG5" s="3149">
        <f t="shared" ref="AG5:AK5" si="18">$AF$24*S5</f>
        <v>103.39</v>
      </c>
      <c r="AH5" s="3149">
        <f t="shared" si="18"/>
        <v>99.13</v>
      </c>
      <c r="AI5" s="3149">
        <f t="shared" si="18"/>
        <v>106.79</v>
      </c>
      <c r="AJ5" s="3149">
        <f t="shared" si="18"/>
        <v>108.72</v>
      </c>
      <c r="AK5" s="3149">
        <f t="shared" si="18"/>
        <v>99.13</v>
      </c>
      <c r="AM5" s="3155">
        <v>100</v>
      </c>
      <c r="AN5" s="3155">
        <v>100</v>
      </c>
      <c r="AO5" s="3155">
        <v>100</v>
      </c>
      <c r="AP5" s="3155">
        <v>100</v>
      </c>
      <c r="AQ5" s="3155">
        <v>100</v>
      </c>
      <c r="AR5" s="3155">
        <v>100</v>
      </c>
    </row>
    <row r="6" spans="1:44" s="2042" customFormat="1" ht="13.2">
      <c r="A6" s="2037" t="s">
        <v>3397</v>
      </c>
      <c r="B6" s="2028">
        <v>2025</v>
      </c>
      <c r="C6" s="2039">
        <v>3</v>
      </c>
      <c r="D6" s="2004">
        <v>0</v>
      </c>
      <c r="E6" s="2004">
        <v>0</v>
      </c>
      <c r="F6" s="2004">
        <v>0</v>
      </c>
      <c r="G6" s="2004">
        <v>0</v>
      </c>
      <c r="H6" s="2004">
        <v>0</v>
      </c>
      <c r="I6" s="2005">
        <f t="shared" ref="I6" si="19">F6</f>
        <v>0</v>
      </c>
      <c r="J6" s="2902"/>
      <c r="K6" s="2040">
        <f t="shared" ref="K6" si="20">D6/100</f>
        <v>0</v>
      </c>
      <c r="L6" s="2025">
        <f t="shared" ref="L6" si="21">E6/100</f>
        <v>0</v>
      </c>
      <c r="M6" s="2025">
        <f t="shared" ref="M6" si="22">F6/100</f>
        <v>0</v>
      </c>
      <c r="N6" s="2025">
        <f t="shared" ref="N6" si="23">G6/100</f>
        <v>0</v>
      </c>
      <c r="O6" s="2025">
        <f t="shared" ref="O6" si="24">H6/100</f>
        <v>0</v>
      </c>
      <c r="P6" s="2025">
        <f t="shared" si="10"/>
        <v>0</v>
      </c>
      <c r="Q6" s="2902"/>
      <c r="R6" s="2024">
        <f>ROUND(IF(项目基本情况!$B$8="出让",SUMPRODUCT(PRODUCT(1+K6:$K$24)),SUMPRODUCT(PRODUCT(1+K6:$K$23))),4)</f>
        <v>1.0571999999999999</v>
      </c>
      <c r="S6" s="2024">
        <f>ROUND(IF(项目基本情况!$B$8="出让",SUMPRODUCT(PRODUCT(1+L6:$L$24)),SUMPRODUCT(PRODUCT(1+L6:$L$23))),4)</f>
        <v>1.0339</v>
      </c>
      <c r="T6" s="2024">
        <f>ROUND(IF(项目基本情况!$B$8="出让",SUMPRODUCT(PRODUCT(1+M6:$M$24)),SUMPRODUCT(PRODUCT(1+M6:$M$23))),4)</f>
        <v>0.99129999999999996</v>
      </c>
      <c r="U6" s="2024">
        <f>ROUND(IF(项目基本情况!$B$8="出让",SUMPRODUCT(PRODUCT(1+N6:$N$24)),SUMPRODUCT(PRODUCT(1+N6:$N$23))),4)</f>
        <v>1.0679000000000001</v>
      </c>
      <c r="V6" s="2024">
        <f>ROUND(IF(项目基本情况!$B$8="出让",SUMPRODUCT(PRODUCT(1+O6:$O$24)),SUMPRODUCT(PRODUCT(1+O6:$O$23))),4)</f>
        <v>1.0871999999999999</v>
      </c>
      <c r="W6" s="2024">
        <f t="shared" si="11"/>
        <v>0.99129999999999996</v>
      </c>
      <c r="X6" s="2902"/>
      <c r="Y6" s="2025">
        <f t="shared" si="12"/>
        <v>0</v>
      </c>
      <c r="Z6" s="2025">
        <f t="shared" ref="Z6" si="25">IF(E6=0,0,ROUND(AVERAGE(E6:E19)/100,4))</f>
        <v>0</v>
      </c>
      <c r="AA6" s="2025">
        <f t="shared" ref="AA6" si="26">IF(F6=0,0,ROUND(AVERAGE(F6:F19)/100,4))</f>
        <v>0</v>
      </c>
      <c r="AB6" s="2025">
        <f t="shared" ref="AB6" si="27">IF(G6=0,0,ROUND(AVERAGE(G6:G19)/100,4))</f>
        <v>0</v>
      </c>
      <c r="AC6" s="2025">
        <f t="shared" ref="AC6" si="28">IF(H6=0,0,ROUND(AVERAGE(H6:H19)/100,4))</f>
        <v>0</v>
      </c>
      <c r="AD6" s="2025">
        <f t="shared" ref="AD6" si="29">AA6</f>
        <v>0</v>
      </c>
      <c r="AF6" s="3149">
        <f t="shared" ref="AF6:AF23" si="30">$AF$24*R6</f>
        <v>105.72</v>
      </c>
      <c r="AG6" s="3149">
        <f t="shared" ref="AG6:AG23" si="31">$AF$24*S6</f>
        <v>103.39</v>
      </c>
      <c r="AH6" s="3149">
        <f t="shared" ref="AH6:AH23" si="32">$AF$24*T6</f>
        <v>99.13</v>
      </c>
      <c r="AI6" s="3149">
        <f t="shared" ref="AI6:AI23" si="33">$AF$24*U6</f>
        <v>106.79</v>
      </c>
      <c r="AJ6" s="3149">
        <f t="shared" ref="AJ6:AJ23" si="34">$AF$24*V6</f>
        <v>108.72</v>
      </c>
      <c r="AK6" s="3149">
        <f t="shared" ref="AK6:AK23" si="35">$AF$24*W6</f>
        <v>99.13</v>
      </c>
      <c r="AM6" s="3149">
        <f>AM5/(1+D5/100)</f>
        <v>100</v>
      </c>
      <c r="AN6" s="3149">
        <f t="shared" ref="AN6:AR6" si="36">AN5/(1+E5/100)</f>
        <v>100</v>
      </c>
      <c r="AO6" s="3149">
        <f t="shared" si="36"/>
        <v>100</v>
      </c>
      <c r="AP6" s="3149">
        <f t="shared" si="36"/>
        <v>100</v>
      </c>
      <c r="AQ6" s="3149">
        <f t="shared" si="36"/>
        <v>100</v>
      </c>
      <c r="AR6" s="3149">
        <f t="shared" si="36"/>
        <v>100</v>
      </c>
    </row>
    <row r="7" spans="1:44" s="2912" customFormat="1" ht="13.2">
      <c r="A7" s="2903" t="s">
        <v>3396</v>
      </c>
      <c r="B7" s="2904">
        <v>2025</v>
      </c>
      <c r="C7" s="2905">
        <v>2</v>
      </c>
      <c r="D7" s="2906">
        <v>0</v>
      </c>
      <c r="E7" s="2906">
        <v>0</v>
      </c>
      <c r="F7" s="2906">
        <v>0</v>
      </c>
      <c r="G7" s="2906">
        <v>0</v>
      </c>
      <c r="H7" s="2907">
        <v>0</v>
      </c>
      <c r="I7" s="2908">
        <f t="shared" ref="I7" si="37">F7</f>
        <v>0</v>
      </c>
      <c r="J7" s="2909"/>
      <c r="K7" s="2910">
        <f t="shared" ref="K7" si="38">D7/100</f>
        <v>0</v>
      </c>
      <c r="L7" s="2911">
        <f t="shared" ref="L7" si="39">E7/100</f>
        <v>0</v>
      </c>
      <c r="M7" s="2911">
        <f t="shared" ref="M7" si="40">F7/100</f>
        <v>0</v>
      </c>
      <c r="N7" s="2911">
        <f t="shared" ref="N7" si="41">G7/100</f>
        <v>0</v>
      </c>
      <c r="O7" s="2911">
        <f t="shared" ref="O7" si="42">H7/100</f>
        <v>0</v>
      </c>
      <c r="P7" s="2911">
        <f t="shared" si="10"/>
        <v>0</v>
      </c>
      <c r="Q7" s="2909"/>
      <c r="R7" s="2909">
        <f>ROUND(IF(项目基本情况!$B$8="出让",SUMPRODUCT(PRODUCT(1+K7:$K$24)),SUMPRODUCT(PRODUCT(1+K7:$K$23))),4)</f>
        <v>1.0571999999999999</v>
      </c>
      <c r="S7" s="2909">
        <f>ROUND(IF(项目基本情况!$B$8="出让",SUMPRODUCT(PRODUCT(1+L7:$L$24)),SUMPRODUCT(PRODUCT(1+L7:$L$23))),4)</f>
        <v>1.0339</v>
      </c>
      <c r="T7" s="2909">
        <f>ROUND(IF(项目基本情况!$B$8="出让",SUMPRODUCT(PRODUCT(1+M7:$M$24)),SUMPRODUCT(PRODUCT(1+M7:$M$23))),4)</f>
        <v>0.99129999999999996</v>
      </c>
      <c r="U7" s="2909">
        <f>ROUND(IF(项目基本情况!$B$8="出让",SUMPRODUCT(PRODUCT(1+N7:$N$24)),SUMPRODUCT(PRODUCT(1+N7:$N$23))),4)</f>
        <v>1.0679000000000001</v>
      </c>
      <c r="V7" s="2909">
        <f>ROUND(IF(项目基本情况!$B$8="出让",SUMPRODUCT(PRODUCT(1+O7:$O$24)),SUMPRODUCT(PRODUCT(1+O7:$O$23))),4)</f>
        <v>1.0871999999999999</v>
      </c>
      <c r="W7" s="2909">
        <f t="shared" si="11"/>
        <v>0.99129999999999996</v>
      </c>
      <c r="X7" s="2909"/>
      <c r="Y7" s="2911">
        <f t="shared" si="12"/>
        <v>0</v>
      </c>
      <c r="Z7" s="2911">
        <f t="shared" ref="Z7" si="43">IF(E7=0,0,ROUND(AVERAGE(E7:E20)/100,4))</f>
        <v>0</v>
      </c>
      <c r="AA7" s="2911">
        <f t="shared" ref="AA7" si="44">IF(F7=0,0,ROUND(AVERAGE(F7:F20)/100,4))</f>
        <v>0</v>
      </c>
      <c r="AB7" s="2911">
        <f t="shared" ref="AB7" si="45">IF(G7=0,0,ROUND(AVERAGE(G7:G20)/100,4))</f>
        <v>0</v>
      </c>
      <c r="AC7" s="2911">
        <f t="shared" ref="AC7" si="46">IF(H7=0,0,ROUND(AVERAGE(H7:H20)/100,4))</f>
        <v>0</v>
      </c>
      <c r="AD7" s="2911">
        <f t="shared" ref="AD7" si="47">AA7</f>
        <v>0</v>
      </c>
      <c r="AF7" s="3150">
        <f t="shared" si="30"/>
        <v>105.72</v>
      </c>
      <c r="AG7" s="3150">
        <f t="shared" si="31"/>
        <v>103.39</v>
      </c>
      <c r="AH7" s="3150">
        <f t="shared" si="32"/>
        <v>99.13</v>
      </c>
      <c r="AI7" s="3150">
        <f t="shared" si="33"/>
        <v>106.79</v>
      </c>
      <c r="AJ7" s="3150">
        <f t="shared" si="34"/>
        <v>108.72</v>
      </c>
      <c r="AK7" s="3150">
        <f t="shared" si="35"/>
        <v>99.13</v>
      </c>
      <c r="AM7" s="3150">
        <f t="shared" ref="AM7:AM24" si="48">AM6/(1+D6/100)</f>
        <v>100</v>
      </c>
      <c r="AN7" s="3150">
        <f t="shared" ref="AN7:AN24" si="49">AN6/(1+E6/100)</f>
        <v>100</v>
      </c>
      <c r="AO7" s="3150">
        <f t="shared" ref="AO7:AO24" si="50">AO6/(1+F6/100)</f>
        <v>100</v>
      </c>
      <c r="AP7" s="3150">
        <f t="shared" ref="AP7:AP24" si="51">AP6/(1+G6/100)</f>
        <v>100</v>
      </c>
      <c r="AQ7" s="3150">
        <f t="shared" ref="AQ7:AQ24" si="52">AQ6/(1+H6/100)</f>
        <v>100</v>
      </c>
      <c r="AR7" s="3150">
        <f t="shared" ref="AR7:AR24" si="53">AR6/(1+I6/100)</f>
        <v>100</v>
      </c>
    </row>
    <row r="8" spans="1:44" s="2042" customFormat="1" ht="13.2">
      <c r="A8" s="2037" t="s">
        <v>3404</v>
      </c>
      <c r="B8" s="2028">
        <v>2025</v>
      </c>
      <c r="C8" s="2039">
        <v>1</v>
      </c>
      <c r="D8" s="2004">
        <v>0.56999999999999995</v>
      </c>
      <c r="E8" s="2004">
        <v>-0.56999999999999995</v>
      </c>
      <c r="F8" s="2004">
        <v>-0.9</v>
      </c>
      <c r="G8" s="2004">
        <v>1.1200000000000001</v>
      </c>
      <c r="H8" s="2004">
        <v>0.42</v>
      </c>
      <c r="I8" s="2005">
        <f t="shared" ref="I8" si="54">F8</f>
        <v>-0.9</v>
      </c>
      <c r="J8" s="2902"/>
      <c r="K8" s="2040">
        <f t="shared" ref="K8" si="55">D8/100</f>
        <v>5.6999999999999993E-3</v>
      </c>
      <c r="L8" s="2025">
        <f t="shared" ref="L8" si="56">E8/100</f>
        <v>-5.6999999999999993E-3</v>
      </c>
      <c r="M8" s="2025">
        <f t="shared" ref="M8" si="57">F8/100</f>
        <v>-9.0000000000000011E-3</v>
      </c>
      <c r="N8" s="2025">
        <f t="shared" ref="N8" si="58">G8/100</f>
        <v>1.1200000000000002E-2</v>
      </c>
      <c r="O8" s="2025">
        <f t="shared" ref="O8" si="59">H8/100</f>
        <v>4.1999999999999997E-3</v>
      </c>
      <c r="P8" s="2025">
        <f t="shared" si="10"/>
        <v>-9.0000000000000011E-3</v>
      </c>
      <c r="Q8" s="2902"/>
      <c r="R8" s="2024">
        <f>ROUND(IF(项目基本情况!$B$8="出让",SUMPRODUCT(PRODUCT(1+K8:$K$24)),SUMPRODUCT(PRODUCT(1+K8:$K$23))),4)</f>
        <v>1.0571999999999999</v>
      </c>
      <c r="S8" s="2024">
        <f>ROUND(IF(项目基本情况!$B$8="出让",SUMPRODUCT(PRODUCT(1+L8:$L$24)),SUMPRODUCT(PRODUCT(1+L8:$L$23))),4)</f>
        <v>1.0339</v>
      </c>
      <c r="T8" s="2024">
        <f>ROUND(IF(项目基本情况!$B$8="出让",SUMPRODUCT(PRODUCT(1+M8:$M$24)),SUMPRODUCT(PRODUCT(1+M8:$M$23))),4)</f>
        <v>0.99129999999999996</v>
      </c>
      <c r="U8" s="2024">
        <f>ROUND(IF(项目基本情况!$B$8="出让",SUMPRODUCT(PRODUCT(1+N8:$N$24)),SUMPRODUCT(PRODUCT(1+N8:$N$23))),4)</f>
        <v>1.0679000000000001</v>
      </c>
      <c r="V8" s="2024">
        <f>ROUND(IF(项目基本情况!$B$8="出让",SUMPRODUCT(PRODUCT(1+O8:$O$24)),SUMPRODUCT(PRODUCT(1+O8:$O$23))),4)</f>
        <v>1.0871999999999999</v>
      </c>
      <c r="W8" s="2024">
        <f t="shared" si="11"/>
        <v>0.99129999999999996</v>
      </c>
      <c r="X8" s="2902"/>
      <c r="Y8" s="2025">
        <f t="shared" si="12"/>
        <v>3.0000000000000001E-3</v>
      </c>
      <c r="Z8" s="2025">
        <f t="shared" ref="Z8" si="60">IF(E8=0,0,ROUND(AVERAGE(E8:E21)/100,4))</f>
        <v>1.6000000000000001E-3</v>
      </c>
      <c r="AA8" s="2025">
        <f t="shared" ref="AA8" si="61">IF(F8=0,0,ROUND(AVERAGE(F8:F21)/100,4))</f>
        <v>-1.1000000000000001E-3</v>
      </c>
      <c r="AB8" s="2025">
        <f t="shared" ref="AB8" si="62">IF(G8=0,0,ROUND(AVERAGE(G8:G21)/100,4))</f>
        <v>3.7000000000000002E-3</v>
      </c>
      <c r="AC8" s="2025">
        <f t="shared" ref="AC8" si="63">IF(H8=0,0,ROUND(AVERAGE(H8:H21)/100,4))</f>
        <v>4.8999999999999998E-3</v>
      </c>
      <c r="AD8" s="2025">
        <f t="shared" ref="AD8" si="64">AA8</f>
        <v>-1.1000000000000001E-3</v>
      </c>
      <c r="AF8" s="3149">
        <f t="shared" si="30"/>
        <v>105.72</v>
      </c>
      <c r="AG8" s="3149">
        <f t="shared" si="31"/>
        <v>103.39</v>
      </c>
      <c r="AH8" s="3149">
        <f t="shared" si="32"/>
        <v>99.13</v>
      </c>
      <c r="AI8" s="3149">
        <f t="shared" si="33"/>
        <v>106.79</v>
      </c>
      <c r="AJ8" s="3149">
        <f t="shared" si="34"/>
        <v>108.72</v>
      </c>
      <c r="AK8" s="3149">
        <f t="shared" si="35"/>
        <v>99.13</v>
      </c>
      <c r="AM8" s="3149">
        <f t="shared" si="48"/>
        <v>100</v>
      </c>
      <c r="AN8" s="3149">
        <f t="shared" si="49"/>
        <v>100</v>
      </c>
      <c r="AO8" s="3149">
        <f t="shared" si="50"/>
        <v>100</v>
      </c>
      <c r="AP8" s="3149">
        <f t="shared" si="51"/>
        <v>100</v>
      </c>
      <c r="AQ8" s="3149">
        <f t="shared" si="52"/>
        <v>100</v>
      </c>
      <c r="AR8" s="3149">
        <f t="shared" si="53"/>
        <v>100</v>
      </c>
    </row>
    <row r="9" spans="1:44" s="2042" customFormat="1" ht="13.2">
      <c r="A9" s="2037" t="s">
        <v>3403</v>
      </c>
      <c r="B9" s="2028">
        <v>2024</v>
      </c>
      <c r="C9" s="2039">
        <v>4</v>
      </c>
      <c r="D9" s="2004">
        <v>-1.02</v>
      </c>
      <c r="E9" s="2004">
        <v>-0.48</v>
      </c>
      <c r="F9" s="2004">
        <v>-0.75</v>
      </c>
      <c r="G9" s="2004">
        <v>-1.05</v>
      </c>
      <c r="H9" s="2004">
        <v>0.08</v>
      </c>
      <c r="I9" s="2005">
        <f t="shared" ref="I9" si="65">F9</f>
        <v>-0.75</v>
      </c>
      <c r="J9" s="2902"/>
      <c r="K9" s="2040">
        <f t="shared" ref="K9" si="66">D9/100</f>
        <v>-1.0200000000000001E-2</v>
      </c>
      <c r="L9" s="2025">
        <f t="shared" ref="L9" si="67">E9/100</f>
        <v>-4.7999999999999996E-3</v>
      </c>
      <c r="M9" s="2025">
        <f t="shared" ref="M9" si="68">F9/100</f>
        <v>-7.4999999999999997E-3</v>
      </c>
      <c r="N9" s="2025">
        <f t="shared" ref="N9" si="69">G9/100</f>
        <v>-1.0500000000000001E-2</v>
      </c>
      <c r="O9" s="2025">
        <f t="shared" ref="O9" si="70">H9/100</f>
        <v>8.0000000000000004E-4</v>
      </c>
      <c r="P9" s="2025">
        <f t="shared" si="10"/>
        <v>-7.4999999999999997E-3</v>
      </c>
      <c r="Q9" s="2902"/>
      <c r="R9" s="2024">
        <f>ROUND(IF(项目基本情况!$B$8="出让",SUMPRODUCT(PRODUCT(1+K9:$K$24)),SUMPRODUCT(PRODUCT(1+K9:$K$23))),4)</f>
        <v>1.0511999999999999</v>
      </c>
      <c r="S9" s="2024">
        <f>ROUND(IF(项目基本情况!$B$8="出让",SUMPRODUCT(PRODUCT(1+L9:$L$24)),SUMPRODUCT(PRODUCT(1+L9:$L$23))),4)</f>
        <v>1.0398000000000001</v>
      </c>
      <c r="T9" s="2024">
        <f>ROUND(IF(项目基本情况!$B$8="出让",SUMPRODUCT(PRODUCT(1+M9:$M$24)),SUMPRODUCT(PRODUCT(1+M9:$M$23))),4)</f>
        <v>1.0003</v>
      </c>
      <c r="U9" s="2024">
        <f>ROUND(IF(项目基本情况!$B$8="出让",SUMPRODUCT(PRODUCT(1+N9:$N$24)),SUMPRODUCT(PRODUCT(1+N9:$N$23))),4)</f>
        <v>1.0561</v>
      </c>
      <c r="V9" s="2024">
        <f>ROUND(IF(项目基本情况!$B$8="出让",SUMPRODUCT(PRODUCT(1+O9:$O$24)),SUMPRODUCT(PRODUCT(1+O9:$O$23))),4)</f>
        <v>1.0827</v>
      </c>
      <c r="W9" s="2024">
        <f t="shared" si="11"/>
        <v>1.0003</v>
      </c>
      <c r="X9" s="2902"/>
      <c r="Y9" s="2025">
        <f t="shared" si="12"/>
        <v>2.8999999999999998E-3</v>
      </c>
      <c r="Z9" s="2025">
        <f t="shared" ref="Z9" si="71">IF(E9=0,0,ROUND(AVERAGE(E9:E22)/100,4))</f>
        <v>2.3E-3</v>
      </c>
      <c r="AA9" s="2025">
        <f t="shared" ref="AA9" si="72">IF(F9=0,0,ROUND(AVERAGE(F9:F22)/100,4))</f>
        <v>-2.9999999999999997E-4</v>
      </c>
      <c r="AB9" s="2025">
        <f t="shared" ref="AB9" si="73">IF(G9=0,0,ROUND(AVERAGE(G9:G22)/100,4))</f>
        <v>3.3E-3</v>
      </c>
      <c r="AC9" s="2025">
        <f t="shared" ref="AC9" si="74">IF(H9=0,0,ROUND(AVERAGE(H9:H22)/100,4))</f>
        <v>5.0000000000000001E-3</v>
      </c>
      <c r="AD9" s="2025">
        <f t="shared" ref="AD9" si="75">AA9</f>
        <v>-2.9999999999999997E-4</v>
      </c>
      <c r="AF9" s="3149">
        <f t="shared" si="30"/>
        <v>105.11999999999999</v>
      </c>
      <c r="AG9" s="3149">
        <f t="shared" si="31"/>
        <v>103.98</v>
      </c>
      <c r="AH9" s="3149">
        <f t="shared" si="32"/>
        <v>100.03</v>
      </c>
      <c r="AI9" s="3149">
        <f t="shared" si="33"/>
        <v>105.61</v>
      </c>
      <c r="AJ9" s="3149">
        <f t="shared" si="34"/>
        <v>108.27</v>
      </c>
      <c r="AK9" s="3149">
        <f t="shared" si="35"/>
        <v>100.03</v>
      </c>
      <c r="AM9" s="3149">
        <f t="shared" si="48"/>
        <v>99.433230585661718</v>
      </c>
      <c r="AN9" s="3149">
        <f t="shared" si="49"/>
        <v>100.57326762546515</v>
      </c>
      <c r="AO9" s="3149">
        <f t="shared" si="50"/>
        <v>100.90817356205852</v>
      </c>
      <c r="AP9" s="3149">
        <f t="shared" si="51"/>
        <v>98.892405063291136</v>
      </c>
      <c r="AQ9" s="3149">
        <f t="shared" si="52"/>
        <v>99.581756622186816</v>
      </c>
      <c r="AR9" s="3149">
        <f t="shared" si="53"/>
        <v>100.90817356205852</v>
      </c>
    </row>
    <row r="10" spans="1:44" s="2042" customFormat="1" ht="13.2">
      <c r="A10" s="2037" t="s">
        <v>3376</v>
      </c>
      <c r="B10" s="2028">
        <v>2024</v>
      </c>
      <c r="C10" s="2039">
        <v>3</v>
      </c>
      <c r="D10" s="2004">
        <v>-1.19</v>
      </c>
      <c r="E10" s="2004">
        <v>-0.47</v>
      </c>
      <c r="F10" s="2004">
        <v>-0.28999999999999998</v>
      </c>
      <c r="G10" s="2004">
        <v>-0.74</v>
      </c>
      <c r="H10" s="2004">
        <v>-0.21</v>
      </c>
      <c r="I10" s="2005">
        <f t="shared" ref="I10" si="76">F10</f>
        <v>-0.28999999999999998</v>
      </c>
      <c r="J10" s="2902"/>
      <c r="K10" s="2040">
        <f t="shared" ref="K10" si="77">D10/100</f>
        <v>-1.1899999999999999E-2</v>
      </c>
      <c r="L10" s="2025">
        <f t="shared" ref="L10" si="78">E10/100</f>
        <v>-4.6999999999999993E-3</v>
      </c>
      <c r="M10" s="2025">
        <f t="shared" ref="M10" si="79">F10/100</f>
        <v>-2.8999999999999998E-3</v>
      </c>
      <c r="N10" s="2025">
        <f t="shared" ref="N10" si="80">G10/100</f>
        <v>-7.4000000000000003E-3</v>
      </c>
      <c r="O10" s="2025">
        <f t="shared" ref="O10" si="81">H10/100</f>
        <v>-2.0999999999999999E-3</v>
      </c>
      <c r="P10" s="2025">
        <f t="shared" si="10"/>
        <v>-2.8999999999999998E-3</v>
      </c>
      <c r="Q10" s="2902"/>
      <c r="R10" s="2024">
        <f>ROUND(IF(项目基本情况!$B$8="出让",SUMPRODUCT(PRODUCT(1+K10:$K$24)),SUMPRODUCT(PRODUCT(1+K10:$K$23))),4)</f>
        <v>1.0620000000000001</v>
      </c>
      <c r="S10" s="2024">
        <f>ROUND(IF(项目基本情况!$B$8="出让",SUMPRODUCT(PRODUCT(1+L10:$L$24)),SUMPRODUCT(PRODUCT(1+L10:$L$23))),4)</f>
        <v>1.0448</v>
      </c>
      <c r="T10" s="2024">
        <f>ROUND(IF(项目基本情况!$B$8="出让",SUMPRODUCT(PRODUCT(1+M10:$M$24)),SUMPRODUCT(PRODUCT(1+M10:$M$23))),4)</f>
        <v>1.0079</v>
      </c>
      <c r="U10" s="2024">
        <f>ROUND(IF(项目基本情况!$B$8="出让",SUMPRODUCT(PRODUCT(1+N10:$N$24)),SUMPRODUCT(PRODUCT(1+N10:$N$23))),4)</f>
        <v>1.0672999999999999</v>
      </c>
      <c r="V10" s="2024">
        <f>ROUND(IF(项目基本情况!$B$8="出让",SUMPRODUCT(PRODUCT(1+O10:$O$24)),SUMPRODUCT(PRODUCT(1+O10:$O$23))),4)</f>
        <v>1.0818000000000001</v>
      </c>
      <c r="W10" s="2024">
        <f t="shared" si="11"/>
        <v>1.0079</v>
      </c>
      <c r="X10" s="2902"/>
      <c r="Y10" s="2025">
        <f t="shared" si="12"/>
        <v>4.3E-3</v>
      </c>
      <c r="Z10" s="2025">
        <f t="shared" ref="Z10" si="82">IF(E10=0,0,ROUND(AVERAGE(E10:E23)/100,4))</f>
        <v>3.0999999999999999E-3</v>
      </c>
      <c r="AA10" s="2025">
        <f t="shared" ref="AA10" si="83">IF(F10=0,0,ROUND(AVERAGE(F10:F23)/100,4))</f>
        <v>5.9999999999999995E-4</v>
      </c>
      <c r="AB10" s="2025">
        <f t="shared" ref="AB10" si="84">IF(G10=0,0,ROUND(AVERAGE(G10:G23)/100,4))</f>
        <v>4.7000000000000002E-3</v>
      </c>
      <c r="AC10" s="2025">
        <f t="shared" ref="AC10" si="85">IF(H10=0,0,ROUND(AVERAGE(H10:H23)/100,4))</f>
        <v>5.5999999999999999E-3</v>
      </c>
      <c r="AD10" s="2025">
        <f t="shared" ref="AD10" si="86">AA10</f>
        <v>5.9999999999999995E-4</v>
      </c>
      <c r="AF10" s="3149">
        <f t="shared" si="30"/>
        <v>106.2</v>
      </c>
      <c r="AG10" s="3149">
        <f t="shared" si="31"/>
        <v>104.47999999999999</v>
      </c>
      <c r="AH10" s="3149">
        <f t="shared" si="32"/>
        <v>100.79</v>
      </c>
      <c r="AI10" s="3149">
        <f t="shared" si="33"/>
        <v>106.72999999999999</v>
      </c>
      <c r="AJ10" s="3149">
        <f t="shared" si="34"/>
        <v>108.18</v>
      </c>
      <c r="AK10" s="3149">
        <f t="shared" si="35"/>
        <v>100.79</v>
      </c>
      <c r="AM10" s="3149">
        <f t="shared" si="48"/>
        <v>100.45790117767399</v>
      </c>
      <c r="AN10" s="3149">
        <f t="shared" si="49"/>
        <v>101.05834769439826</v>
      </c>
      <c r="AO10" s="3149">
        <f t="shared" si="50"/>
        <v>101.670703840865</v>
      </c>
      <c r="AP10" s="3149">
        <f t="shared" si="51"/>
        <v>99.941793899233076</v>
      </c>
      <c r="AQ10" s="3149">
        <f t="shared" si="52"/>
        <v>99.502154898268216</v>
      </c>
      <c r="AR10" s="3149">
        <f t="shared" si="53"/>
        <v>101.670703840865</v>
      </c>
    </row>
    <row r="11" spans="1:44" s="2042" customFormat="1" ht="13.2">
      <c r="A11" s="2901" t="s">
        <v>3370</v>
      </c>
      <c r="B11" s="2028">
        <v>2024</v>
      </c>
      <c r="C11" s="2039">
        <v>2</v>
      </c>
      <c r="D11" s="2004">
        <v>-0.59</v>
      </c>
      <c r="E11" s="2004">
        <v>-0.21</v>
      </c>
      <c r="F11" s="2004">
        <v>-1.38</v>
      </c>
      <c r="G11" s="2004">
        <v>-1.24</v>
      </c>
      <c r="H11" s="2913">
        <v>0.34</v>
      </c>
      <c r="I11" s="2005">
        <f t="shared" ref="I11:I24" si="87">F11</f>
        <v>-1.38</v>
      </c>
      <c r="J11" s="2902"/>
      <c r="K11" s="2040">
        <f t="shared" ref="K11:O24" si="88">D11/100</f>
        <v>-5.8999999999999999E-3</v>
      </c>
      <c r="L11" s="2025">
        <f t="shared" si="88"/>
        <v>-2.0999999999999999E-3</v>
      </c>
      <c r="M11" s="2025">
        <f t="shared" si="88"/>
        <v>-1.38E-2</v>
      </c>
      <c r="N11" s="2025">
        <f t="shared" si="88"/>
        <v>-1.24E-2</v>
      </c>
      <c r="O11" s="2025">
        <f t="shared" si="88"/>
        <v>3.4000000000000002E-3</v>
      </c>
      <c r="P11" s="2025">
        <f t="shared" si="10"/>
        <v>-1.38E-2</v>
      </c>
      <c r="Q11" s="2902"/>
      <c r="R11" s="2024">
        <f>ROUND(IF(项目基本情况!$B$8="出让",SUMPRODUCT(PRODUCT(1+K11:$K$24)),SUMPRODUCT(PRODUCT(1+K11:$K$23))),4)</f>
        <v>1.0748</v>
      </c>
      <c r="S11" s="2024">
        <f>ROUND(IF(项目基本情况!$B$8="出让",SUMPRODUCT(PRODUCT(1+L11:$L$24)),SUMPRODUCT(PRODUCT(1+L11:$L$23))),4)</f>
        <v>1.0498000000000001</v>
      </c>
      <c r="T11" s="2024">
        <f>ROUND(IF(项目基本情况!$B$8="出让",SUMPRODUCT(PRODUCT(1+M11:$M$24)),SUMPRODUCT(PRODUCT(1+M11:$M$23))),4)</f>
        <v>1.0107999999999999</v>
      </c>
      <c r="U11" s="2024">
        <f>ROUND(IF(项目基本情况!$B$8="出让",SUMPRODUCT(PRODUCT(1+N11:$N$24)),SUMPRODUCT(PRODUCT(1+N11:$N$23))),4)</f>
        <v>1.0752999999999999</v>
      </c>
      <c r="V11" s="2024">
        <f>ROUND(IF(项目基本情况!$B$8="出让",SUMPRODUCT(PRODUCT(1+O11:$O$24)),SUMPRODUCT(PRODUCT(1+O11:$O$23))),4)</f>
        <v>1.0841000000000001</v>
      </c>
      <c r="W11" s="2024">
        <f t="shared" si="11"/>
        <v>1.0107999999999999</v>
      </c>
      <c r="X11" s="2902"/>
      <c r="Y11" s="2025">
        <f t="shared" si="12"/>
        <v>5.8999999999999999E-3</v>
      </c>
      <c r="Z11" s="2025">
        <f t="shared" ref="Z11:AC11" si="89">IF(E11=0,0,ROUND(AVERAGE(E11:E24)/100,4))</f>
        <v>3.5999999999999999E-3</v>
      </c>
      <c r="AA11" s="2025">
        <f t="shared" si="89"/>
        <v>5.9999999999999995E-4</v>
      </c>
      <c r="AB11" s="2025">
        <f t="shared" si="89"/>
        <v>6.0000000000000001E-3</v>
      </c>
      <c r="AC11" s="2025">
        <f t="shared" si="89"/>
        <v>6.0000000000000001E-3</v>
      </c>
      <c r="AD11" s="2025">
        <f t="shared" ref="AD11:AD23" si="90">AA11</f>
        <v>5.9999999999999995E-4</v>
      </c>
      <c r="AF11" s="3149">
        <f t="shared" si="30"/>
        <v>107.48</v>
      </c>
      <c r="AG11" s="3149">
        <f t="shared" si="31"/>
        <v>104.98</v>
      </c>
      <c r="AH11" s="3149">
        <f t="shared" si="32"/>
        <v>101.08</v>
      </c>
      <c r="AI11" s="3149">
        <f t="shared" si="33"/>
        <v>107.52999999999999</v>
      </c>
      <c r="AJ11" s="3149">
        <f t="shared" si="34"/>
        <v>108.41000000000001</v>
      </c>
      <c r="AK11" s="3149">
        <f t="shared" si="35"/>
        <v>101.08</v>
      </c>
      <c r="AM11" s="3149">
        <f t="shared" si="48"/>
        <v>101.66774737139357</v>
      </c>
      <c r="AN11" s="3149">
        <f t="shared" si="49"/>
        <v>101.53556484918946</v>
      </c>
      <c r="AO11" s="3149">
        <f t="shared" si="50"/>
        <v>101.9664064194815</v>
      </c>
      <c r="AP11" s="3149">
        <f t="shared" si="51"/>
        <v>100.68687678746028</v>
      </c>
      <c r="AQ11" s="3149">
        <f t="shared" si="52"/>
        <v>99.711549151486338</v>
      </c>
      <c r="AR11" s="3149">
        <f t="shared" si="53"/>
        <v>101.9664064194815</v>
      </c>
    </row>
    <row r="12" spans="1:44" s="2042" customFormat="1" ht="13.2">
      <c r="A12" s="2901" t="s">
        <v>3369</v>
      </c>
      <c r="B12" s="2028">
        <v>2024</v>
      </c>
      <c r="C12" s="2039">
        <v>1</v>
      </c>
      <c r="D12" s="2004">
        <v>0.08</v>
      </c>
      <c r="E12" s="2004">
        <v>0.46</v>
      </c>
      <c r="F12" s="2004">
        <v>-0.16</v>
      </c>
      <c r="G12" s="2004">
        <v>0.26</v>
      </c>
      <c r="H12" s="2913">
        <v>0.59</v>
      </c>
      <c r="I12" s="2005">
        <f t="shared" si="87"/>
        <v>-0.16</v>
      </c>
      <c r="J12" s="2902"/>
      <c r="K12" s="2040">
        <f t="shared" ref="K12" si="91">D12/100</f>
        <v>8.0000000000000004E-4</v>
      </c>
      <c r="L12" s="2025">
        <f t="shared" ref="L12" si="92">E12/100</f>
        <v>4.5999999999999999E-3</v>
      </c>
      <c r="M12" s="2025">
        <f t="shared" ref="M12" si="93">F12/100</f>
        <v>-1.6000000000000001E-3</v>
      </c>
      <c r="N12" s="2025">
        <f t="shared" ref="N12" si="94">G12/100</f>
        <v>2.5999999999999999E-3</v>
      </c>
      <c r="O12" s="2025">
        <f t="shared" ref="O12" si="95">H12/100</f>
        <v>5.8999999999999999E-3</v>
      </c>
      <c r="P12" s="2025">
        <f t="shared" ref="P12" si="96">M12</f>
        <v>-1.6000000000000001E-3</v>
      </c>
      <c r="Q12" s="2902"/>
      <c r="R12" s="2024">
        <f>ROUND(IF(项目基本情况!$B$8="出让",SUMPRODUCT(PRODUCT(1+K12:$K$24)),SUMPRODUCT(PRODUCT(1+K12:$K$23))),4)</f>
        <v>1.0811999999999999</v>
      </c>
      <c r="S12" s="2024">
        <f>ROUND(IF(项目基本情况!$B$8="出让",SUMPRODUCT(PRODUCT(1+L12:$L$24)),SUMPRODUCT(PRODUCT(1+L12:$L$23))),4)</f>
        <v>1.052</v>
      </c>
      <c r="T12" s="2024">
        <f>ROUND(IF(项目基本情况!$B$8="出让",SUMPRODUCT(PRODUCT(1+M12:$M$24)),SUMPRODUCT(PRODUCT(1+M12:$M$23))),4)</f>
        <v>1.0249999999999999</v>
      </c>
      <c r="U12" s="2024">
        <f>ROUND(IF(项目基本情况!$B$8="出让",SUMPRODUCT(PRODUCT(1+N12:$N$24)),SUMPRODUCT(PRODUCT(1+N12:$N$23))),4)</f>
        <v>1.0888</v>
      </c>
      <c r="V12" s="2024">
        <f>ROUND(IF(项目基本情况!$B$8="出让",SUMPRODUCT(PRODUCT(1+O12:$O$24)),SUMPRODUCT(PRODUCT(1+O12:$O$23))),4)</f>
        <v>1.0804</v>
      </c>
      <c r="W12" s="2024">
        <f t="shared" ref="W12" si="97">T12</f>
        <v>1.0249999999999999</v>
      </c>
      <c r="X12" s="2902"/>
      <c r="Y12" s="2025"/>
      <c r="Z12" s="2025"/>
      <c r="AA12" s="2025"/>
      <c r="AB12" s="2025"/>
      <c r="AC12" s="2025"/>
      <c r="AD12" s="2025"/>
      <c r="AF12" s="3149">
        <f t="shared" si="30"/>
        <v>108.11999999999999</v>
      </c>
      <c r="AG12" s="3149">
        <f t="shared" si="31"/>
        <v>105.2</v>
      </c>
      <c r="AH12" s="3149">
        <f t="shared" si="32"/>
        <v>102.49999999999999</v>
      </c>
      <c r="AI12" s="3149">
        <f t="shared" si="33"/>
        <v>108.88</v>
      </c>
      <c r="AJ12" s="3149">
        <f t="shared" si="34"/>
        <v>108.04</v>
      </c>
      <c r="AK12" s="3149">
        <f t="shared" si="35"/>
        <v>102.49999999999999</v>
      </c>
      <c r="AM12" s="3149">
        <f t="shared" si="48"/>
        <v>102.27114713951673</v>
      </c>
      <c r="AN12" s="3149">
        <f t="shared" si="49"/>
        <v>101.74923824951344</v>
      </c>
      <c r="AO12" s="3149">
        <f t="shared" si="50"/>
        <v>103.3932330353696</v>
      </c>
      <c r="AP12" s="3149">
        <f t="shared" si="51"/>
        <v>101.95107005615662</v>
      </c>
      <c r="AQ12" s="3149">
        <f t="shared" si="52"/>
        <v>99.373678644096401</v>
      </c>
      <c r="AR12" s="3149">
        <f t="shared" si="53"/>
        <v>103.3932330353696</v>
      </c>
    </row>
    <row r="13" spans="1:44" s="2042" customFormat="1" ht="13.2">
      <c r="A13" s="2901" t="s">
        <v>3365</v>
      </c>
      <c r="B13" s="2028">
        <v>2023</v>
      </c>
      <c r="C13" s="2039">
        <v>4</v>
      </c>
      <c r="D13" s="2004">
        <v>0.19</v>
      </c>
      <c r="E13" s="2004">
        <v>0.24</v>
      </c>
      <c r="F13" s="2004">
        <v>-0.16</v>
      </c>
      <c r="G13" s="2004">
        <v>0.17</v>
      </c>
      <c r="H13" s="2913">
        <v>0.61</v>
      </c>
      <c r="I13" s="2005">
        <f>F13</f>
        <v>-0.16</v>
      </c>
      <c r="J13" s="2902"/>
      <c r="K13" s="2040">
        <f t="shared" si="88"/>
        <v>1.9E-3</v>
      </c>
      <c r="L13" s="2025">
        <f t="shared" si="88"/>
        <v>2.3999999999999998E-3</v>
      </c>
      <c r="M13" s="2025">
        <f t="shared" si="88"/>
        <v>-1.6000000000000001E-3</v>
      </c>
      <c r="N13" s="2025">
        <f t="shared" si="88"/>
        <v>1.7000000000000001E-3</v>
      </c>
      <c r="O13" s="2025">
        <f t="shared" si="88"/>
        <v>6.0999999999999995E-3</v>
      </c>
      <c r="P13" s="2025">
        <f t="shared" ref="P13" si="98">M13</f>
        <v>-1.6000000000000001E-3</v>
      </c>
      <c r="Q13" s="2902"/>
      <c r="R13" s="2024">
        <f>ROUND(IF(项目基本情况!$B$8="出让",SUMPRODUCT(PRODUCT(1+K13:$K$24)),SUMPRODUCT(PRODUCT(1+K13:$K$23))),4)</f>
        <v>1.0804</v>
      </c>
      <c r="S13" s="2024">
        <f>ROUND(IF(项目基本情况!$B$8="出让",SUMPRODUCT(PRODUCT(1+L13:$L$24)),SUMPRODUCT(PRODUCT(1+L13:$L$23))),4)</f>
        <v>1.0471999999999999</v>
      </c>
      <c r="T13" s="2024">
        <f>ROUND(IF(项目基本情况!$B$8="出让",SUMPRODUCT(PRODUCT(1+M13:$M$24)),SUMPRODUCT(PRODUCT(1+M13:$M$23))),4)</f>
        <v>1.0266</v>
      </c>
      <c r="U13" s="2024">
        <f>ROUND(IF(项目基本情况!$B$8="出让",SUMPRODUCT(PRODUCT(1+N13:$N$24)),SUMPRODUCT(PRODUCT(1+N13:$N$23))),4)</f>
        <v>1.0859000000000001</v>
      </c>
      <c r="V13" s="2024">
        <f>ROUND(IF(项目基本情况!$B$8="出让",SUMPRODUCT(PRODUCT(1+O13:$O$24)),SUMPRODUCT(PRODUCT(1+O13:$O$23))),4)</f>
        <v>1.0741000000000001</v>
      </c>
      <c r="W13" s="2024">
        <f t="shared" ref="W13" si="99">T13</f>
        <v>1.0266</v>
      </c>
      <c r="X13" s="2902"/>
      <c r="Y13" s="2025"/>
      <c r="Z13" s="2025"/>
      <c r="AA13" s="2025"/>
      <c r="AB13" s="2025"/>
      <c r="AC13" s="2025"/>
      <c r="AD13" s="2025"/>
      <c r="AF13" s="3149">
        <f t="shared" si="30"/>
        <v>108.04</v>
      </c>
      <c r="AG13" s="3149">
        <f t="shared" si="31"/>
        <v>104.71999999999998</v>
      </c>
      <c r="AH13" s="3149">
        <f t="shared" si="32"/>
        <v>102.66</v>
      </c>
      <c r="AI13" s="3149">
        <f t="shared" si="33"/>
        <v>108.59</v>
      </c>
      <c r="AJ13" s="3149">
        <f t="shared" si="34"/>
        <v>107.41000000000001</v>
      </c>
      <c r="AK13" s="3149">
        <f t="shared" si="35"/>
        <v>102.66</v>
      </c>
      <c r="AM13" s="3149">
        <f t="shared" si="48"/>
        <v>102.18939562301833</v>
      </c>
      <c r="AN13" s="3149">
        <f t="shared" si="49"/>
        <v>101.28333490893236</v>
      </c>
      <c r="AO13" s="3149">
        <f t="shared" si="50"/>
        <v>103.55892731908014</v>
      </c>
      <c r="AP13" s="3149">
        <f t="shared" si="51"/>
        <v>101.68668467599903</v>
      </c>
      <c r="AQ13" s="3149">
        <f t="shared" si="52"/>
        <v>98.79081284829148</v>
      </c>
      <c r="AR13" s="3149">
        <f t="shared" si="53"/>
        <v>103.55892731908014</v>
      </c>
    </row>
    <row r="14" spans="1:44" s="2042" customFormat="1" ht="13.2">
      <c r="A14" s="2901" t="s">
        <v>3364</v>
      </c>
      <c r="B14" s="2028">
        <v>2023</v>
      </c>
      <c r="C14" s="2039">
        <v>3</v>
      </c>
      <c r="D14" s="2004">
        <v>0.25</v>
      </c>
      <c r="E14" s="2004">
        <v>0.5</v>
      </c>
      <c r="F14" s="2004">
        <v>0.31</v>
      </c>
      <c r="G14" s="2004">
        <v>0.21</v>
      </c>
      <c r="H14" s="2913">
        <v>0.43</v>
      </c>
      <c r="I14" s="2005">
        <f t="shared" si="87"/>
        <v>0.31</v>
      </c>
      <c r="J14" s="2902"/>
      <c r="K14" s="2040">
        <f t="shared" ref="K14:K16" si="100">D14/100</f>
        <v>2.5000000000000001E-3</v>
      </c>
      <c r="L14" s="2025">
        <f t="shared" ref="L14:L16" si="101">E14/100</f>
        <v>5.0000000000000001E-3</v>
      </c>
      <c r="M14" s="2025">
        <f t="shared" ref="M14:M16" si="102">F14/100</f>
        <v>3.0999999999999999E-3</v>
      </c>
      <c r="N14" s="2025">
        <f t="shared" ref="N14:N16" si="103">G14/100</f>
        <v>2.0999999999999999E-3</v>
      </c>
      <c r="O14" s="2025">
        <f t="shared" ref="O14:O16" si="104">H14/100</f>
        <v>4.3E-3</v>
      </c>
      <c r="P14" s="2025">
        <f t="shared" ref="P14:P16" si="105">M14</f>
        <v>3.0999999999999999E-3</v>
      </c>
      <c r="Q14" s="2902"/>
      <c r="R14" s="2024">
        <f>ROUND(IF(项目基本情况!$B$8="出让",SUMPRODUCT(PRODUCT(1+K14:$K$24)),SUMPRODUCT(PRODUCT(1+K14:$K$23))),4)</f>
        <v>1.0783</v>
      </c>
      <c r="S14" s="2024">
        <f>ROUND(IF(项目基本情况!$B$8="出让",SUMPRODUCT(PRODUCT(1+L14:$L$24)),SUMPRODUCT(PRODUCT(1+L14:$L$23))),4)</f>
        <v>1.0447</v>
      </c>
      <c r="T14" s="2024">
        <f>ROUND(IF(项目基本情况!$B$8="出让",SUMPRODUCT(PRODUCT(1+M14:$M$24)),SUMPRODUCT(PRODUCT(1+M14:$M$23))),4)</f>
        <v>1.0282</v>
      </c>
      <c r="U14" s="2024">
        <f>ROUND(IF(项目基本情况!$B$8="出让",SUMPRODUCT(PRODUCT(1+N14:$N$24)),SUMPRODUCT(PRODUCT(1+N14:$N$23))),4)</f>
        <v>1.0841000000000001</v>
      </c>
      <c r="V14" s="2024">
        <f>ROUND(IF(项目基本情况!$B$8="出让",SUMPRODUCT(PRODUCT(1+O14:$O$24)),SUMPRODUCT(PRODUCT(1+O14:$O$23))),4)</f>
        <v>1.0674999999999999</v>
      </c>
      <c r="W14" s="2024">
        <f t="shared" ref="W14:W15" si="106">T14</f>
        <v>1.0282</v>
      </c>
      <c r="X14" s="2902"/>
      <c r="Y14" s="2025"/>
      <c r="Z14" s="2025"/>
      <c r="AA14" s="2025"/>
      <c r="AB14" s="2025"/>
      <c r="AC14" s="2025"/>
      <c r="AD14" s="2025"/>
      <c r="AF14" s="3149">
        <f t="shared" si="30"/>
        <v>107.83</v>
      </c>
      <c r="AG14" s="3149">
        <f t="shared" si="31"/>
        <v>104.47</v>
      </c>
      <c r="AH14" s="3149">
        <f t="shared" si="32"/>
        <v>102.82</v>
      </c>
      <c r="AI14" s="3149">
        <f t="shared" si="33"/>
        <v>108.41000000000001</v>
      </c>
      <c r="AJ14" s="3149">
        <f t="shared" si="34"/>
        <v>106.74999999999999</v>
      </c>
      <c r="AK14" s="3149">
        <f t="shared" si="35"/>
        <v>102.82</v>
      </c>
      <c r="AM14" s="3149">
        <f t="shared" si="48"/>
        <v>101.99560397546495</v>
      </c>
      <c r="AN14" s="3149">
        <f t="shared" si="49"/>
        <v>101.04083690037147</v>
      </c>
      <c r="AO14" s="3149">
        <f t="shared" si="50"/>
        <v>103.72488713850174</v>
      </c>
      <c r="AP14" s="3149">
        <f t="shared" si="51"/>
        <v>101.51411068782971</v>
      </c>
      <c r="AQ14" s="3149">
        <f t="shared" si="52"/>
        <v>98.191842608380355</v>
      </c>
      <c r="AR14" s="3149">
        <f t="shared" si="53"/>
        <v>103.72488713850174</v>
      </c>
    </row>
    <row r="15" spans="1:44" s="2042" customFormat="1" ht="13.2">
      <c r="A15" s="2901" t="s">
        <v>3362</v>
      </c>
      <c r="B15" s="2028">
        <v>2023</v>
      </c>
      <c r="C15" s="2039">
        <v>2</v>
      </c>
      <c r="D15" s="2004">
        <v>0.91</v>
      </c>
      <c r="E15" s="2004">
        <v>0.66</v>
      </c>
      <c r="F15" s="2004">
        <v>0.47</v>
      </c>
      <c r="G15" s="2004">
        <v>0.96</v>
      </c>
      <c r="H15" s="2913">
        <v>0.71</v>
      </c>
      <c r="I15" s="2005">
        <f t="shared" si="87"/>
        <v>0.47</v>
      </c>
      <c r="J15" s="2902"/>
      <c r="K15" s="2040">
        <f t="shared" si="100"/>
        <v>9.1000000000000004E-3</v>
      </c>
      <c r="L15" s="2025">
        <f t="shared" si="101"/>
        <v>6.6E-3</v>
      </c>
      <c r="M15" s="2025">
        <f t="shared" si="102"/>
        <v>4.6999999999999993E-3</v>
      </c>
      <c r="N15" s="2025">
        <f t="shared" si="103"/>
        <v>9.5999999999999992E-3</v>
      </c>
      <c r="O15" s="2025">
        <f t="shared" si="104"/>
        <v>7.0999999999999995E-3</v>
      </c>
      <c r="P15" s="2025">
        <f t="shared" si="105"/>
        <v>4.6999999999999993E-3</v>
      </c>
      <c r="Q15" s="2902"/>
      <c r="R15" s="2024">
        <f>ROUND(IF(项目基本情况!$B$8="出让",SUMPRODUCT(PRODUCT(1+K15:$K$24)),SUMPRODUCT(PRODUCT(1+K15:$K$23))),4)</f>
        <v>1.0755999999999999</v>
      </c>
      <c r="S15" s="2024">
        <f>ROUND(IF(项目基本情况!$B$8="出让",SUMPRODUCT(PRODUCT(1+L15:$L$24)),SUMPRODUCT(PRODUCT(1+L15:$L$23))),4)</f>
        <v>1.0395000000000001</v>
      </c>
      <c r="T15" s="2024">
        <f>ROUND(IF(项目基本情况!$B$8="出让",SUMPRODUCT(PRODUCT(1+M15:$M$24)),SUMPRODUCT(PRODUCT(1+M15:$M$23))),4)</f>
        <v>1.0250999999999999</v>
      </c>
      <c r="U15" s="2024">
        <f>ROUND(IF(项目基本情况!$B$8="出让",SUMPRODUCT(PRODUCT(1+N15:$N$24)),SUMPRODUCT(PRODUCT(1+N15:$N$23))),4)</f>
        <v>1.0818000000000001</v>
      </c>
      <c r="V15" s="2024">
        <f>ROUND(IF(项目基本情况!$B$8="出让",SUMPRODUCT(PRODUCT(1+O15:$O$24)),SUMPRODUCT(PRODUCT(1+O15:$O$23))),4)</f>
        <v>1.0629999999999999</v>
      </c>
      <c r="W15" s="2024">
        <f t="shared" si="106"/>
        <v>1.0250999999999999</v>
      </c>
      <c r="X15" s="2902"/>
      <c r="Y15" s="2025"/>
      <c r="Z15" s="2025"/>
      <c r="AA15" s="2025"/>
      <c r="AB15" s="2025"/>
      <c r="AC15" s="2025"/>
      <c r="AD15" s="2025"/>
      <c r="AF15" s="3149">
        <f t="shared" si="30"/>
        <v>107.55999999999999</v>
      </c>
      <c r="AG15" s="3149">
        <f t="shared" si="31"/>
        <v>103.95</v>
      </c>
      <c r="AH15" s="3149">
        <f t="shared" si="32"/>
        <v>102.50999999999999</v>
      </c>
      <c r="AI15" s="3149">
        <f t="shared" si="33"/>
        <v>108.18</v>
      </c>
      <c r="AJ15" s="3149">
        <f t="shared" si="34"/>
        <v>106.3</v>
      </c>
      <c r="AK15" s="3149">
        <f t="shared" si="35"/>
        <v>102.50999999999999</v>
      </c>
      <c r="AM15" s="3149">
        <f t="shared" si="48"/>
        <v>101.74125084834409</v>
      </c>
      <c r="AN15" s="3149">
        <f t="shared" si="49"/>
        <v>100.53814616952387</v>
      </c>
      <c r="AO15" s="3149">
        <f t="shared" si="50"/>
        <v>103.40433370401927</v>
      </c>
      <c r="AP15" s="3149">
        <f t="shared" si="51"/>
        <v>101.30137779446135</v>
      </c>
      <c r="AQ15" s="3149">
        <f t="shared" si="52"/>
        <v>97.771425478821428</v>
      </c>
      <c r="AR15" s="3149">
        <f t="shared" si="53"/>
        <v>103.40433370401927</v>
      </c>
    </row>
    <row r="16" spans="1:44" s="2042" customFormat="1" ht="13.2">
      <c r="A16" s="2901" t="s">
        <v>3361</v>
      </c>
      <c r="B16" s="2028">
        <v>2023</v>
      </c>
      <c r="C16" s="2039">
        <v>1</v>
      </c>
      <c r="D16" s="2004">
        <v>0.89</v>
      </c>
      <c r="E16" s="2004">
        <v>0.74</v>
      </c>
      <c r="F16" s="2004">
        <v>0.56999999999999995</v>
      </c>
      <c r="G16" s="2004">
        <v>0.92</v>
      </c>
      <c r="H16" s="2913">
        <v>0.5</v>
      </c>
      <c r="I16" s="2005">
        <f t="shared" si="87"/>
        <v>0.56999999999999995</v>
      </c>
      <c r="J16" s="2902"/>
      <c r="K16" s="2040">
        <f t="shared" si="100"/>
        <v>8.8999999999999999E-3</v>
      </c>
      <c r="L16" s="2025">
        <f t="shared" si="101"/>
        <v>7.4000000000000003E-3</v>
      </c>
      <c r="M16" s="2025">
        <f t="shared" si="102"/>
        <v>5.6999999999999993E-3</v>
      </c>
      <c r="N16" s="2025">
        <f t="shared" si="103"/>
        <v>9.1999999999999998E-3</v>
      </c>
      <c r="O16" s="2025">
        <f t="shared" si="104"/>
        <v>5.0000000000000001E-3</v>
      </c>
      <c r="P16" s="2025">
        <f t="shared" si="105"/>
        <v>5.6999999999999993E-3</v>
      </c>
      <c r="Q16" s="2902"/>
      <c r="R16" s="2024">
        <f>ROUND(IF(项目基本情况!$B$8="出让",SUMPRODUCT(PRODUCT(1+K16:$K$24)),SUMPRODUCT(PRODUCT(1+K16:$K$23))),4)</f>
        <v>1.0659000000000001</v>
      </c>
      <c r="S16" s="2024">
        <f>ROUND(IF(项目基本情况!$B$8="出让",SUMPRODUCT(PRODUCT(1+L16:$L$24)),SUMPRODUCT(PRODUCT(1+L16:$L$23))),4)</f>
        <v>1.0326</v>
      </c>
      <c r="T16" s="2024">
        <f>ROUND(IF(项目基本情况!$B$8="出让",SUMPRODUCT(PRODUCT(1+M16:$M$24)),SUMPRODUCT(PRODUCT(1+M16:$M$23))),4)</f>
        <v>1.0203</v>
      </c>
      <c r="U16" s="2024">
        <f>ROUND(IF(项目基本情况!$B$8="出让",SUMPRODUCT(PRODUCT(1+N16:$N$24)),SUMPRODUCT(PRODUCT(1+N16:$N$23))),4)</f>
        <v>1.0714999999999999</v>
      </c>
      <c r="V16" s="2024">
        <f>ROUND(IF(项目基本情况!$B$8="出让",SUMPRODUCT(PRODUCT(1+O16:$O$24)),SUMPRODUCT(PRODUCT(1+O16:$O$23))),4)</f>
        <v>1.0555000000000001</v>
      </c>
      <c r="W16" s="2024">
        <f t="shared" ref="W16:W23" si="107">T16</f>
        <v>1.0203</v>
      </c>
      <c r="X16" s="2902"/>
      <c r="Y16" s="2025"/>
      <c r="Z16" s="2025"/>
      <c r="AA16" s="2025"/>
      <c r="AB16" s="2025"/>
      <c r="AC16" s="2025"/>
      <c r="AD16" s="2025"/>
      <c r="AF16" s="3149">
        <f t="shared" si="30"/>
        <v>106.59</v>
      </c>
      <c r="AG16" s="3149">
        <f t="shared" si="31"/>
        <v>103.25999999999999</v>
      </c>
      <c r="AH16" s="3149">
        <f t="shared" si="32"/>
        <v>102.03</v>
      </c>
      <c r="AI16" s="3149">
        <f t="shared" si="33"/>
        <v>107.14999999999999</v>
      </c>
      <c r="AJ16" s="3149">
        <f t="shared" si="34"/>
        <v>105.55000000000001</v>
      </c>
      <c r="AK16" s="3149">
        <f t="shared" si="35"/>
        <v>102.03</v>
      </c>
      <c r="AM16" s="3149">
        <f t="shared" si="48"/>
        <v>100.82375468074926</v>
      </c>
      <c r="AN16" s="3149">
        <f t="shared" si="49"/>
        <v>99.878945131654959</v>
      </c>
      <c r="AO16" s="3149">
        <f t="shared" si="50"/>
        <v>102.92060685181573</v>
      </c>
      <c r="AP16" s="3149">
        <f t="shared" si="51"/>
        <v>100.33813172985474</v>
      </c>
      <c r="AQ16" s="3149">
        <f t="shared" si="52"/>
        <v>97.082142268713554</v>
      </c>
      <c r="AR16" s="3149">
        <f t="shared" si="53"/>
        <v>102.92060685181573</v>
      </c>
    </row>
    <row r="17" spans="1:44" s="2042" customFormat="1" ht="13.2">
      <c r="A17" s="2901" t="s">
        <v>3360</v>
      </c>
      <c r="B17" s="2028">
        <v>2022</v>
      </c>
      <c r="C17" s="2039">
        <v>4</v>
      </c>
      <c r="D17" s="2004">
        <v>0.62</v>
      </c>
      <c r="E17" s="2004">
        <v>0.2</v>
      </c>
      <c r="F17" s="2004">
        <v>0.11</v>
      </c>
      <c r="G17" s="2004">
        <v>0.69</v>
      </c>
      <c r="H17" s="2913">
        <v>0.53</v>
      </c>
      <c r="I17" s="2005">
        <f t="shared" si="87"/>
        <v>0.11</v>
      </c>
      <c r="J17" s="2902"/>
      <c r="K17" s="2040">
        <f t="shared" si="88"/>
        <v>6.1999999999999998E-3</v>
      </c>
      <c r="L17" s="2025">
        <f t="shared" si="88"/>
        <v>2E-3</v>
      </c>
      <c r="M17" s="2025">
        <f t="shared" si="88"/>
        <v>1.1000000000000001E-3</v>
      </c>
      <c r="N17" s="2025">
        <f t="shared" si="88"/>
        <v>6.8999999999999999E-3</v>
      </c>
      <c r="O17" s="2025">
        <f t="shared" si="88"/>
        <v>5.3E-3</v>
      </c>
      <c r="P17" s="2025">
        <f t="shared" ref="P17:P24" si="108">M17</f>
        <v>1.1000000000000001E-3</v>
      </c>
      <c r="Q17" s="2902"/>
      <c r="R17" s="2024">
        <f>ROUND(IF(项目基本情况!$B$8="出让",SUMPRODUCT(PRODUCT(1+K17:$K$24)),SUMPRODUCT(PRODUCT(1+K17:$K$23))),4)</f>
        <v>1.0565</v>
      </c>
      <c r="S17" s="2024">
        <f>ROUND(IF(项目基本情况!$B$8="出让",SUMPRODUCT(PRODUCT(1+L17:$L$24)),SUMPRODUCT(PRODUCT(1+L17:$L$23))),4)</f>
        <v>1.0250999999999999</v>
      </c>
      <c r="T17" s="2024">
        <f>ROUND(IF(项目基本情况!$B$8="出让",SUMPRODUCT(PRODUCT(1+M17:$M$24)),SUMPRODUCT(PRODUCT(1+M17:$M$23))),4)</f>
        <v>1.0145</v>
      </c>
      <c r="U17" s="2024">
        <f>ROUND(IF(项目基本情况!$B$8="出让",SUMPRODUCT(PRODUCT(1+N17:$N$24)),SUMPRODUCT(PRODUCT(1+N17:$N$23))),4)</f>
        <v>1.0618000000000001</v>
      </c>
      <c r="V17" s="2024">
        <f>ROUND(IF(项目基本情况!$B$8="出让",SUMPRODUCT(PRODUCT(1+O17:$O$24)),SUMPRODUCT(PRODUCT(1+O17:$O$23))),4)</f>
        <v>1.0502</v>
      </c>
      <c r="W17" s="2024">
        <f t="shared" si="107"/>
        <v>1.0145</v>
      </c>
      <c r="X17" s="2902"/>
      <c r="Y17" s="2025">
        <f>IF(D17=0,0,ROUND(AVERAGE(D17:D25)/100,4))</f>
        <v>8.0999999999999996E-3</v>
      </c>
      <c r="Z17" s="2025">
        <f t="shared" ref="Z17:AC17" si="109">IF(E17=0,0,ROUND(AVERAGE(E17:E24)/100,4))</f>
        <v>3.3E-3</v>
      </c>
      <c r="AA17" s="2025">
        <f t="shared" si="109"/>
        <v>1.5E-3</v>
      </c>
      <c r="AB17" s="2025">
        <f t="shared" si="109"/>
        <v>8.8999999999999999E-3</v>
      </c>
      <c r="AC17" s="2025">
        <f t="shared" si="109"/>
        <v>6.6E-3</v>
      </c>
      <c r="AD17" s="2025">
        <f t="shared" si="90"/>
        <v>1.5E-3</v>
      </c>
      <c r="AF17" s="3149">
        <f t="shared" si="30"/>
        <v>105.65</v>
      </c>
      <c r="AG17" s="3149">
        <f t="shared" si="31"/>
        <v>102.50999999999999</v>
      </c>
      <c r="AH17" s="3149">
        <f t="shared" si="32"/>
        <v>101.44999999999999</v>
      </c>
      <c r="AI17" s="3149">
        <f t="shared" si="33"/>
        <v>106.18</v>
      </c>
      <c r="AJ17" s="3149">
        <f t="shared" si="34"/>
        <v>105.02</v>
      </c>
      <c r="AK17" s="3149">
        <f t="shared" si="35"/>
        <v>101.44999999999999</v>
      </c>
      <c r="AM17" s="3149">
        <f t="shared" si="48"/>
        <v>99.934339063087791</v>
      </c>
      <c r="AN17" s="3149">
        <f t="shared" si="49"/>
        <v>99.145270132673176</v>
      </c>
      <c r="AO17" s="3149">
        <f t="shared" si="50"/>
        <v>102.3372843311283</v>
      </c>
      <c r="AP17" s="3149">
        <f t="shared" si="51"/>
        <v>99.423436117573061</v>
      </c>
      <c r="AQ17" s="3149">
        <f t="shared" si="52"/>
        <v>96.599146536033402</v>
      </c>
      <c r="AR17" s="3149">
        <f t="shared" si="53"/>
        <v>102.3372843311283</v>
      </c>
    </row>
    <row r="18" spans="1:44" s="2042" customFormat="1" ht="13.2">
      <c r="A18" s="2901" t="s">
        <v>3358</v>
      </c>
      <c r="B18" s="2028">
        <v>2022</v>
      </c>
      <c r="C18" s="2039">
        <v>3</v>
      </c>
      <c r="D18" s="2004">
        <v>0.66</v>
      </c>
      <c r="E18" s="2004">
        <v>0.32</v>
      </c>
      <c r="F18" s="2004">
        <v>0.23</v>
      </c>
      <c r="G18" s="2004">
        <v>0.72</v>
      </c>
      <c r="H18" s="2913">
        <v>0.63</v>
      </c>
      <c r="I18" s="2005">
        <f t="shared" si="87"/>
        <v>0.23</v>
      </c>
      <c r="J18" s="2902"/>
      <c r="K18" s="2040">
        <f t="shared" si="88"/>
        <v>6.6E-3</v>
      </c>
      <c r="L18" s="2025">
        <f t="shared" si="88"/>
        <v>3.2000000000000002E-3</v>
      </c>
      <c r="M18" s="2025">
        <f t="shared" si="88"/>
        <v>2.3E-3</v>
      </c>
      <c r="N18" s="2025">
        <f t="shared" si="88"/>
        <v>7.1999999999999998E-3</v>
      </c>
      <c r="O18" s="2025">
        <f t="shared" si="88"/>
        <v>6.3E-3</v>
      </c>
      <c r="P18" s="2025">
        <f t="shared" si="108"/>
        <v>2.3E-3</v>
      </c>
      <c r="Q18" s="2902"/>
      <c r="R18" s="2024">
        <f>ROUND(IF(项目基本情况!$B$8="出让",SUMPRODUCT(PRODUCT(1+K18:$K$24)),SUMPRODUCT(PRODUCT(1+K18:$K$23))),4)</f>
        <v>1.05</v>
      </c>
      <c r="S18" s="2024">
        <f>ROUND(IF(项目基本情况!$B$8="出让",SUMPRODUCT(PRODUCT(1+L18:$L$24)),SUMPRODUCT(PRODUCT(1+L18:$L$23))),4)</f>
        <v>1.0229999999999999</v>
      </c>
      <c r="T18" s="2024">
        <f>ROUND(IF(项目基本情况!$B$8="出让",SUMPRODUCT(PRODUCT(1+M18:$M$24)),SUMPRODUCT(PRODUCT(1+M18:$M$23))),4)</f>
        <v>1.0134000000000001</v>
      </c>
      <c r="U18" s="2024">
        <f>ROUND(IF(项目基本情况!$B$8="出让",SUMPRODUCT(PRODUCT(1+N18:$N$24)),SUMPRODUCT(PRODUCT(1+N18:$N$23))),4)</f>
        <v>1.0545</v>
      </c>
      <c r="V18" s="2024">
        <f>ROUND(IF(项目基本情况!$B$8="出让",SUMPRODUCT(PRODUCT(1+O18:$O$24)),SUMPRODUCT(PRODUCT(1+O18:$O$23))),4)</f>
        <v>1.0447</v>
      </c>
      <c r="W18" s="2024">
        <f t="shared" si="107"/>
        <v>1.0134000000000001</v>
      </c>
      <c r="X18" s="2902"/>
      <c r="Y18" s="2025">
        <f>IF(D18=0,0,ROUND(AVERAGE(D18:D24)/100,4))</f>
        <v>8.3999999999999995E-3</v>
      </c>
      <c r="Z18" s="2025">
        <f t="shared" ref="Z18:AC18" si="110">IF(E18=0,0,ROUND(AVERAGE(E18:E24)/100,4))</f>
        <v>3.5000000000000001E-3</v>
      </c>
      <c r="AA18" s="2025">
        <f t="shared" si="110"/>
        <v>1.5E-3</v>
      </c>
      <c r="AB18" s="2025">
        <f t="shared" si="110"/>
        <v>9.1999999999999998E-3</v>
      </c>
      <c r="AC18" s="2025">
        <f t="shared" si="110"/>
        <v>6.7999999999999996E-3</v>
      </c>
      <c r="AD18" s="2025">
        <f t="shared" si="90"/>
        <v>1.5E-3</v>
      </c>
      <c r="AF18" s="3149">
        <f t="shared" si="30"/>
        <v>105</v>
      </c>
      <c r="AG18" s="3149">
        <f t="shared" si="31"/>
        <v>102.3</v>
      </c>
      <c r="AH18" s="3149">
        <f t="shared" si="32"/>
        <v>101.34</v>
      </c>
      <c r="AI18" s="3149">
        <f t="shared" si="33"/>
        <v>105.45</v>
      </c>
      <c r="AJ18" s="3149">
        <f t="shared" si="34"/>
        <v>104.47</v>
      </c>
      <c r="AK18" s="3149">
        <f t="shared" si="35"/>
        <v>101.34</v>
      </c>
      <c r="AM18" s="3149">
        <f t="shared" si="48"/>
        <v>99.318563966495518</v>
      </c>
      <c r="AN18" s="3149">
        <f t="shared" si="49"/>
        <v>98.947375381909353</v>
      </c>
      <c r="AO18" s="3149">
        <f t="shared" si="50"/>
        <v>102.22483701041683</v>
      </c>
      <c r="AP18" s="3149">
        <f t="shared" si="51"/>
        <v>98.742115520481747</v>
      </c>
      <c r="AQ18" s="3149">
        <f t="shared" si="52"/>
        <v>96.089870223847001</v>
      </c>
      <c r="AR18" s="3149">
        <f t="shared" si="53"/>
        <v>102.22483701041683</v>
      </c>
    </row>
    <row r="19" spans="1:44" s="2042" customFormat="1" ht="13.2">
      <c r="A19" s="2901" t="s">
        <v>3349</v>
      </c>
      <c r="B19" s="2028">
        <v>2022</v>
      </c>
      <c r="C19" s="2039">
        <v>2</v>
      </c>
      <c r="D19" s="2004">
        <v>0.93</v>
      </c>
      <c r="E19" s="2004">
        <v>0.15</v>
      </c>
      <c r="F19" s="2004">
        <v>0.01</v>
      </c>
      <c r="G19" s="2004">
        <v>1.05</v>
      </c>
      <c r="H19" s="2913">
        <v>1.08</v>
      </c>
      <c r="I19" s="2005">
        <f t="shared" si="87"/>
        <v>0.01</v>
      </c>
      <c r="J19" s="2902"/>
      <c r="K19" s="2040">
        <f t="shared" si="88"/>
        <v>9.300000000000001E-3</v>
      </c>
      <c r="L19" s="2025">
        <f t="shared" si="88"/>
        <v>1.5E-3</v>
      </c>
      <c r="M19" s="2025">
        <f t="shared" si="88"/>
        <v>1E-4</v>
      </c>
      <c r="N19" s="2025">
        <f t="shared" si="88"/>
        <v>1.0500000000000001E-2</v>
      </c>
      <c r="O19" s="2025">
        <f t="shared" si="88"/>
        <v>1.0800000000000001E-2</v>
      </c>
      <c r="P19" s="2025">
        <f t="shared" si="108"/>
        <v>1E-4</v>
      </c>
      <c r="Q19" s="2902"/>
      <c r="R19" s="2024">
        <f>ROUND(IF(项目基本情况!$B$8="出让",SUMPRODUCT(PRODUCT(1+K19:$K$24)),SUMPRODUCT(PRODUCT(1+K19:$K$23))),4)</f>
        <v>1.0430999999999999</v>
      </c>
      <c r="S19" s="2024">
        <f>ROUND(IF(项目基本情况!$B$8="出让",SUMPRODUCT(PRODUCT(1+L19:$L$24)),SUMPRODUCT(PRODUCT(1+L19:$L$23))),4)</f>
        <v>1.0197000000000001</v>
      </c>
      <c r="T19" s="2024">
        <f>ROUND(IF(项目基本情况!$B$8="出让",SUMPRODUCT(PRODUCT(1+M19:$M$24)),SUMPRODUCT(PRODUCT(1+M19:$M$23))),4)</f>
        <v>1.0109999999999999</v>
      </c>
      <c r="U19" s="2024">
        <f>ROUND(IF(项目基本情况!$B$8="出让",SUMPRODUCT(PRODUCT(1+N19:$N$24)),SUMPRODUCT(PRODUCT(1+N19:$N$23))),4)</f>
        <v>1.0468999999999999</v>
      </c>
      <c r="V19" s="2024">
        <f>ROUND(IF(项目基本情况!$B$8="出让",SUMPRODUCT(PRODUCT(1+O19:$O$24)),SUMPRODUCT(PRODUCT(1+O19:$O$23))),4)</f>
        <v>1.0382</v>
      </c>
      <c r="W19" s="2024">
        <f t="shared" si="107"/>
        <v>1.0109999999999999</v>
      </c>
      <c r="X19" s="2902"/>
      <c r="Y19" s="2025">
        <f>IF(D19=0,0,ROUND(AVERAGE(D19:D24)/100,4))</f>
        <v>8.6999999999999994E-3</v>
      </c>
      <c r="Z19" s="2025">
        <f t="shared" ref="Z19:AC19" si="111">IF(E19=0,0,ROUND(AVERAGE(E19:E24)/100,4))</f>
        <v>3.5000000000000001E-3</v>
      </c>
      <c r="AA19" s="2025">
        <f t="shared" si="111"/>
        <v>1.4E-3</v>
      </c>
      <c r="AB19" s="2025">
        <f t="shared" si="111"/>
        <v>9.4999999999999998E-3</v>
      </c>
      <c r="AC19" s="2025">
        <f t="shared" si="111"/>
        <v>6.8999999999999999E-3</v>
      </c>
      <c r="AD19" s="2025">
        <f t="shared" si="90"/>
        <v>1.4E-3</v>
      </c>
      <c r="AF19" s="3149">
        <f t="shared" si="30"/>
        <v>104.30999999999999</v>
      </c>
      <c r="AG19" s="3149">
        <f t="shared" si="31"/>
        <v>101.97</v>
      </c>
      <c r="AH19" s="3149">
        <f t="shared" si="32"/>
        <v>101.1</v>
      </c>
      <c r="AI19" s="3149">
        <f t="shared" si="33"/>
        <v>104.69</v>
      </c>
      <c r="AJ19" s="3149">
        <f t="shared" si="34"/>
        <v>103.82000000000001</v>
      </c>
      <c r="AK19" s="3149">
        <f t="shared" si="35"/>
        <v>101.1</v>
      </c>
      <c r="AM19" s="3149">
        <f t="shared" si="48"/>
        <v>98.667359394491882</v>
      </c>
      <c r="AN19" s="3149">
        <f t="shared" si="49"/>
        <v>98.631753769845844</v>
      </c>
      <c r="AO19" s="3149">
        <f t="shared" si="50"/>
        <v>101.99025941376517</v>
      </c>
      <c r="AP19" s="3149">
        <f t="shared" si="51"/>
        <v>98.036254488166932</v>
      </c>
      <c r="AQ19" s="3149">
        <f t="shared" si="52"/>
        <v>95.488293971824504</v>
      </c>
      <c r="AR19" s="3149">
        <f t="shared" si="53"/>
        <v>101.99025941376517</v>
      </c>
    </row>
    <row r="20" spans="1:44" s="2042" customFormat="1" ht="13.2">
      <c r="A20" s="2901" t="s">
        <v>2815</v>
      </c>
      <c r="B20" s="2028">
        <v>2022</v>
      </c>
      <c r="C20" s="2039">
        <v>1</v>
      </c>
      <c r="D20" s="2004">
        <v>0.89</v>
      </c>
      <c r="E20" s="2004">
        <v>0.44</v>
      </c>
      <c r="F20" s="2004">
        <v>0.37</v>
      </c>
      <c r="G20" s="2004">
        <v>0.96</v>
      </c>
      <c r="H20" s="2913">
        <v>0.64</v>
      </c>
      <c r="I20" s="2005">
        <f t="shared" si="87"/>
        <v>0.37</v>
      </c>
      <c r="J20" s="2902"/>
      <c r="K20" s="2040">
        <f t="shared" si="88"/>
        <v>8.8999999999999999E-3</v>
      </c>
      <c r="L20" s="2025">
        <f t="shared" si="88"/>
        <v>4.4000000000000003E-3</v>
      </c>
      <c r="M20" s="2025">
        <f t="shared" si="88"/>
        <v>3.7000000000000002E-3</v>
      </c>
      <c r="N20" s="2025">
        <f t="shared" si="88"/>
        <v>9.5999999999999992E-3</v>
      </c>
      <c r="O20" s="2025">
        <f t="shared" si="88"/>
        <v>6.4000000000000003E-3</v>
      </c>
      <c r="P20" s="2025">
        <f t="shared" si="108"/>
        <v>3.7000000000000002E-3</v>
      </c>
      <c r="Q20" s="2902"/>
      <c r="R20" s="2024">
        <f>ROUND(IF(项目基本情况!$B$8="出让",SUMPRODUCT(PRODUCT(1+K20:$K$24)),SUMPRODUCT(PRODUCT(1+K20:$K$23))),4)</f>
        <v>1.0335000000000001</v>
      </c>
      <c r="S20" s="2024">
        <f>ROUND(IF(项目基本情况!$B$8="出让",SUMPRODUCT(PRODUCT(1+L20:$L$24)),SUMPRODUCT(PRODUCT(1+L20:$L$23))),4)</f>
        <v>1.0182</v>
      </c>
      <c r="T20" s="2024">
        <f>ROUND(IF(项目基本情况!$B$8="出让",SUMPRODUCT(PRODUCT(1+M20:$M$24)),SUMPRODUCT(PRODUCT(1+M20:$M$23))),4)</f>
        <v>1.0108999999999999</v>
      </c>
      <c r="U20" s="2024">
        <f>ROUND(IF(项目基本情况!$B$8="出让",SUMPRODUCT(PRODUCT(1+N20:$N$24)),SUMPRODUCT(PRODUCT(1+N20:$N$23))),4)</f>
        <v>1.0361</v>
      </c>
      <c r="V20" s="2024">
        <f>ROUND(IF(项目基本情况!$B$8="出让",SUMPRODUCT(PRODUCT(1+O20:$O$24)),SUMPRODUCT(PRODUCT(1+O20:$O$23))),4)</f>
        <v>1.0270999999999999</v>
      </c>
      <c r="W20" s="2024">
        <f t="shared" si="107"/>
        <v>1.0108999999999999</v>
      </c>
      <c r="X20" s="2902"/>
      <c r="Y20" s="2025">
        <f>IF(D20=0,0,ROUND(AVERAGE(D20:D24)/100,4))</f>
        <v>8.6E-3</v>
      </c>
      <c r="Z20" s="2025">
        <f t="shared" ref="Z20:AC20" si="112">IF(E20=0,0,ROUND(AVERAGE(E20:E24)/100,4))</f>
        <v>3.8999999999999998E-3</v>
      </c>
      <c r="AA20" s="2025">
        <f t="shared" si="112"/>
        <v>1.6999999999999999E-3</v>
      </c>
      <c r="AB20" s="2025">
        <f t="shared" si="112"/>
        <v>9.2999999999999992E-3</v>
      </c>
      <c r="AC20" s="2025">
        <f t="shared" si="112"/>
        <v>6.1000000000000004E-3</v>
      </c>
      <c r="AD20" s="2025">
        <f t="shared" si="90"/>
        <v>1.6999999999999999E-3</v>
      </c>
      <c r="AF20" s="3149">
        <f t="shared" si="30"/>
        <v>103.35000000000001</v>
      </c>
      <c r="AG20" s="3149">
        <f t="shared" si="31"/>
        <v>101.82</v>
      </c>
      <c r="AH20" s="3149">
        <f t="shared" si="32"/>
        <v>101.08999999999999</v>
      </c>
      <c r="AI20" s="3149">
        <f t="shared" si="33"/>
        <v>103.61</v>
      </c>
      <c r="AJ20" s="3149">
        <f t="shared" si="34"/>
        <v>102.71</v>
      </c>
      <c r="AK20" s="3149">
        <f t="shared" si="35"/>
        <v>101.08999999999999</v>
      </c>
      <c r="AM20" s="3149">
        <f t="shared" si="48"/>
        <v>97.758208059538163</v>
      </c>
      <c r="AN20" s="3149">
        <f t="shared" si="49"/>
        <v>98.484027728253452</v>
      </c>
      <c r="AO20" s="3149">
        <f t="shared" si="50"/>
        <v>101.98006140762442</v>
      </c>
      <c r="AP20" s="3149">
        <f t="shared" si="51"/>
        <v>97.017570003134026</v>
      </c>
      <c r="AQ20" s="3149">
        <f t="shared" si="52"/>
        <v>94.468039149015155</v>
      </c>
      <c r="AR20" s="3149">
        <f t="shared" si="53"/>
        <v>101.98006140762442</v>
      </c>
    </row>
    <row r="21" spans="1:44" s="2042" customFormat="1" ht="13.2">
      <c r="A21" s="2901" t="s">
        <v>2816</v>
      </c>
      <c r="B21" s="2028">
        <v>2021</v>
      </c>
      <c r="C21" s="2039">
        <v>4</v>
      </c>
      <c r="D21" s="2004">
        <v>1.03</v>
      </c>
      <c r="E21" s="2004">
        <v>0.24</v>
      </c>
      <c r="F21" s="2004">
        <v>7.0000000000000007E-2</v>
      </c>
      <c r="G21" s="2004">
        <v>1.17</v>
      </c>
      <c r="H21" s="2913">
        <v>0.55000000000000004</v>
      </c>
      <c r="I21" s="2005">
        <f t="shared" si="87"/>
        <v>7.0000000000000007E-2</v>
      </c>
      <c r="J21" s="2902"/>
      <c r="K21" s="2040">
        <f t="shared" si="88"/>
        <v>1.03E-2</v>
      </c>
      <c r="L21" s="2025">
        <f t="shared" si="88"/>
        <v>2.3999999999999998E-3</v>
      </c>
      <c r="M21" s="2025">
        <f t="shared" si="88"/>
        <v>7.000000000000001E-4</v>
      </c>
      <c r="N21" s="2025">
        <f t="shared" si="88"/>
        <v>1.1699999999999999E-2</v>
      </c>
      <c r="O21" s="2025">
        <f t="shared" si="88"/>
        <v>5.5000000000000005E-3</v>
      </c>
      <c r="P21" s="2025">
        <f t="shared" si="108"/>
        <v>7.000000000000001E-4</v>
      </c>
      <c r="Q21" s="2902"/>
      <c r="R21" s="2024">
        <f>ROUND(IF(项目基本情况!$B$8="出让",SUMPRODUCT(PRODUCT(1+K21:$K$24)),SUMPRODUCT(PRODUCT(1+K21:$K$23))),4)</f>
        <v>1.0244</v>
      </c>
      <c r="S21" s="2024">
        <f>ROUND(IF(项目基本情况!$B$8="出让",SUMPRODUCT(PRODUCT(1+L21:$L$24)),SUMPRODUCT(PRODUCT(1+L21:$L$23))),4)</f>
        <v>1.0138</v>
      </c>
      <c r="T21" s="2024">
        <f>ROUND(IF(项目基本情况!$B$8="出让",SUMPRODUCT(PRODUCT(1+M21:$M$24)),SUMPRODUCT(PRODUCT(1+M21:$M$23))),4)</f>
        <v>1.0072000000000001</v>
      </c>
      <c r="U21" s="2024">
        <f>ROUND(IF(项目基本情况!$B$8="出让",SUMPRODUCT(PRODUCT(1+N21:$N$24)),SUMPRODUCT(PRODUCT(1+N21:$N$23))),4)</f>
        <v>1.0262</v>
      </c>
      <c r="V21" s="2024">
        <f>ROUND(IF(项目基本情况!$B$8="出让",SUMPRODUCT(PRODUCT(1+O21:$O$24)),SUMPRODUCT(PRODUCT(1+O21:$O$23))),4)</f>
        <v>1.0205</v>
      </c>
      <c r="W21" s="2024">
        <f t="shared" si="107"/>
        <v>1.0072000000000001</v>
      </c>
      <c r="X21" s="2902"/>
      <c r="Y21" s="2025">
        <f>IF(D21=0,0,ROUND(AVERAGE(D21:D24)/100,4))</f>
        <v>8.5000000000000006E-3</v>
      </c>
      <c r="Z21" s="2025">
        <f t="shared" ref="Z21:AC21" si="113">IF(E21=0,0,ROUND(AVERAGE(E21:E24)/100,4))</f>
        <v>3.8E-3</v>
      </c>
      <c r="AA21" s="2025">
        <f t="shared" si="113"/>
        <v>1.1999999999999999E-3</v>
      </c>
      <c r="AB21" s="2025">
        <f t="shared" si="113"/>
        <v>9.2999999999999992E-3</v>
      </c>
      <c r="AC21" s="2025">
        <f t="shared" si="113"/>
        <v>6.0000000000000001E-3</v>
      </c>
      <c r="AD21" s="2025">
        <f t="shared" si="90"/>
        <v>1.1999999999999999E-3</v>
      </c>
      <c r="AF21" s="3149">
        <f t="shared" si="30"/>
        <v>102.44</v>
      </c>
      <c r="AG21" s="3149">
        <f t="shared" si="31"/>
        <v>101.38000000000001</v>
      </c>
      <c r="AH21" s="3149">
        <f t="shared" si="32"/>
        <v>100.72000000000001</v>
      </c>
      <c r="AI21" s="3149">
        <f t="shared" si="33"/>
        <v>102.62</v>
      </c>
      <c r="AJ21" s="3149">
        <f t="shared" si="34"/>
        <v>102.05</v>
      </c>
      <c r="AK21" s="3149">
        <f t="shared" si="35"/>
        <v>100.72000000000001</v>
      </c>
      <c r="AM21" s="3149">
        <f t="shared" si="48"/>
        <v>96.895835126908679</v>
      </c>
      <c r="AN21" s="3149">
        <f t="shared" si="49"/>
        <v>98.0525963045136</v>
      </c>
      <c r="AO21" s="3149">
        <f t="shared" si="50"/>
        <v>101.60412614090308</v>
      </c>
      <c r="AP21" s="3149">
        <f t="shared" si="51"/>
        <v>96.095057451598677</v>
      </c>
      <c r="AQ21" s="3149">
        <f t="shared" si="52"/>
        <v>93.867288502598527</v>
      </c>
      <c r="AR21" s="3149">
        <f t="shared" si="53"/>
        <v>101.60412614090308</v>
      </c>
    </row>
    <row r="22" spans="1:44" s="2042" customFormat="1" ht="13.2">
      <c r="A22" s="2901" t="s">
        <v>2817</v>
      </c>
      <c r="B22" s="2028">
        <v>2021</v>
      </c>
      <c r="C22" s="2039">
        <v>3</v>
      </c>
      <c r="D22" s="2004">
        <v>0.47</v>
      </c>
      <c r="E22" s="2004">
        <v>0.41</v>
      </c>
      <c r="F22" s="2004">
        <v>0.24</v>
      </c>
      <c r="G22" s="2004">
        <v>0.48</v>
      </c>
      <c r="H22" s="2913">
        <v>0.48</v>
      </c>
      <c r="I22" s="2005">
        <f t="shared" si="87"/>
        <v>0.24</v>
      </c>
      <c r="J22" s="2902"/>
      <c r="K22" s="2040">
        <f t="shared" si="88"/>
        <v>4.6999999999999993E-3</v>
      </c>
      <c r="L22" s="2025">
        <f t="shared" si="88"/>
        <v>4.0999999999999995E-3</v>
      </c>
      <c r="M22" s="2025">
        <f t="shared" si="88"/>
        <v>2.3999999999999998E-3</v>
      </c>
      <c r="N22" s="2025">
        <f t="shared" si="88"/>
        <v>4.7999999999999996E-3</v>
      </c>
      <c r="O22" s="2025">
        <f t="shared" si="88"/>
        <v>4.7999999999999996E-3</v>
      </c>
      <c r="P22" s="2025">
        <f t="shared" si="108"/>
        <v>2.3999999999999998E-3</v>
      </c>
      <c r="Q22" s="2902"/>
      <c r="R22" s="2024">
        <f>ROUND(IF(项目基本情况!$B$8="出让",SUMPRODUCT(PRODUCT(1+K22:$K$24)),SUMPRODUCT(PRODUCT(1+K22:$K$23))),4)</f>
        <v>1.0139</v>
      </c>
      <c r="S22" s="2024">
        <f>ROUND(IF(项目基本情况!$B$8="出让",SUMPRODUCT(PRODUCT(1+L22:$L$24)),SUMPRODUCT(PRODUCT(1+L22:$L$23))),4)</f>
        <v>1.0113000000000001</v>
      </c>
      <c r="T22" s="2024">
        <f>ROUND(IF(项目基本情况!$B$8="出让",SUMPRODUCT(PRODUCT(1+M22:$M$24)),SUMPRODUCT(PRODUCT(1+M22:$M$23))),4)</f>
        <v>1.0065</v>
      </c>
      <c r="U22" s="2024">
        <f>ROUND(IF(项目基本情况!$B$8="出让",SUMPRODUCT(PRODUCT(1+N22:$N$24)),SUMPRODUCT(PRODUCT(1+N22:$N$23))),4)</f>
        <v>1.0143</v>
      </c>
      <c r="V22" s="2024">
        <f>ROUND(IF(项目基本情况!$B$8="出让",SUMPRODUCT(PRODUCT(1+O22:$O$24)),SUMPRODUCT(PRODUCT(1+O22:$O$23))),4)</f>
        <v>1.0148999999999999</v>
      </c>
      <c r="W22" s="2024">
        <f t="shared" si="107"/>
        <v>1.0065</v>
      </c>
      <c r="X22" s="2902"/>
      <c r="Y22" s="2025">
        <f>IF(D22=0,0,ROUND(AVERAGE(D22:D24)/100,4))</f>
        <v>7.9000000000000008E-3</v>
      </c>
      <c r="Z22" s="2025">
        <f>IF(E22=0,0,ROUND(AVERAGE(E22:E24)/100,4))</f>
        <v>4.3E-3</v>
      </c>
      <c r="AA22" s="2025">
        <f>IF(F22=0,0,ROUND(AVERAGE(F22:F24)/100,4))</f>
        <v>1.2999999999999999E-3</v>
      </c>
      <c r="AB22" s="2025">
        <f>IF(G22=0,0,ROUND(AVERAGE(G22:G24)/100,4))</f>
        <v>8.5000000000000006E-3</v>
      </c>
      <c r="AC22" s="2025">
        <f>IF(H22=0,0,ROUND(AVERAGE(H22:H24)/100,4))</f>
        <v>6.1999999999999998E-3</v>
      </c>
      <c r="AD22" s="2025">
        <f t="shared" si="90"/>
        <v>1.2999999999999999E-3</v>
      </c>
      <c r="AF22" s="3149">
        <f t="shared" si="30"/>
        <v>101.39</v>
      </c>
      <c r="AG22" s="3149">
        <f t="shared" si="31"/>
        <v>101.13000000000001</v>
      </c>
      <c r="AH22" s="3149">
        <f t="shared" si="32"/>
        <v>100.64999999999999</v>
      </c>
      <c r="AI22" s="3149">
        <f t="shared" si="33"/>
        <v>101.42999999999999</v>
      </c>
      <c r="AJ22" s="3149">
        <f t="shared" si="34"/>
        <v>101.49</v>
      </c>
      <c r="AK22" s="3149">
        <f t="shared" si="35"/>
        <v>100.64999999999999</v>
      </c>
      <c r="AM22" s="3149">
        <f t="shared" si="48"/>
        <v>95.907982903007706</v>
      </c>
      <c r="AN22" s="3149">
        <f t="shared" si="49"/>
        <v>97.81783350410376</v>
      </c>
      <c r="AO22" s="3149">
        <f t="shared" si="50"/>
        <v>101.53305300380042</v>
      </c>
      <c r="AP22" s="3149">
        <f t="shared" si="51"/>
        <v>94.983747604624568</v>
      </c>
      <c r="AQ22" s="3149">
        <f t="shared" si="52"/>
        <v>93.353842369565911</v>
      </c>
      <c r="AR22" s="3149">
        <f t="shared" si="53"/>
        <v>101.53305300380042</v>
      </c>
    </row>
    <row r="23" spans="1:44" s="2042" customFormat="1" ht="13.2">
      <c r="A23" s="2901" t="s">
        <v>2818</v>
      </c>
      <c r="B23" s="2028">
        <v>2021</v>
      </c>
      <c r="C23" s="2039">
        <v>2</v>
      </c>
      <c r="D23" s="2004">
        <v>0.92</v>
      </c>
      <c r="E23" s="2004">
        <v>0.72</v>
      </c>
      <c r="F23" s="2004">
        <v>0.41</v>
      </c>
      <c r="G23" s="2004">
        <v>0.95</v>
      </c>
      <c r="H23" s="2913">
        <v>1.01</v>
      </c>
      <c r="I23" s="2005">
        <f t="shared" si="87"/>
        <v>0.41</v>
      </c>
      <c r="J23" s="2902"/>
      <c r="K23" s="2040">
        <f t="shared" si="88"/>
        <v>9.1999999999999998E-3</v>
      </c>
      <c r="L23" s="2025">
        <f t="shared" si="88"/>
        <v>7.1999999999999998E-3</v>
      </c>
      <c r="M23" s="2025">
        <f t="shared" si="88"/>
        <v>4.0999999999999995E-3</v>
      </c>
      <c r="N23" s="2025">
        <f t="shared" si="88"/>
        <v>9.4999999999999998E-3</v>
      </c>
      <c r="O23" s="2025">
        <f t="shared" si="88"/>
        <v>1.01E-2</v>
      </c>
      <c r="P23" s="2025">
        <f t="shared" si="108"/>
        <v>4.0999999999999995E-3</v>
      </c>
      <c r="Q23" s="2902"/>
      <c r="R23" s="2024">
        <f>ROUND(IF(项目基本情况!$B$8="出让",SUMPRODUCT(PRODUCT(1+K23:$K$24)),SUMPRODUCT(PRODUCT(1+K23:$K$23))),4)</f>
        <v>1.0092000000000001</v>
      </c>
      <c r="S23" s="2024">
        <f>ROUND(IF(项目基本情况!$B$8="出让",SUMPRODUCT(PRODUCT(1+L23:$L$24)),SUMPRODUCT(PRODUCT(1+L23:$L$23))),4)</f>
        <v>1.0072000000000001</v>
      </c>
      <c r="T23" s="2024">
        <f>ROUND(IF(项目基本情况!$B$8="出让",SUMPRODUCT(PRODUCT(1+M23:$M$24)),SUMPRODUCT(PRODUCT(1+M23:$M$23))),4)</f>
        <v>1.0041</v>
      </c>
      <c r="U23" s="2024">
        <f>ROUND(IF(项目基本情况!$B$8="出让",SUMPRODUCT(PRODUCT(1+N23:$N$24)),SUMPRODUCT(PRODUCT(1+N23:$N$23))),4)</f>
        <v>1.0095000000000001</v>
      </c>
      <c r="V23" s="2024">
        <f>ROUND(IF(项目基本情况!$B$8="出让",SUMPRODUCT(PRODUCT(1+O23:$O$24)),SUMPRODUCT(PRODUCT(1+O23:$O$23))),4)</f>
        <v>1.0101</v>
      </c>
      <c r="W23" s="2024">
        <f t="shared" si="107"/>
        <v>1.0041</v>
      </c>
      <c r="X23" s="2902"/>
      <c r="Y23" s="2025">
        <f>IF(D23=0,0,ROUND(AVERAGE(D23:D24)/100,4))</f>
        <v>9.4999999999999998E-3</v>
      </c>
      <c r="Z23" s="2025">
        <f>IF(E23=0,0,ROUND(AVERAGE(E23:E24)/100,4))</f>
        <v>4.4000000000000003E-3</v>
      </c>
      <c r="AA23" s="2025">
        <f>IF(F23=0,0,ROUND(AVERAGE(F23:F24)/100,4))</f>
        <v>8.0000000000000004E-4</v>
      </c>
      <c r="AB23" s="2025">
        <f>IF(G23=0,0,ROUND(AVERAGE(G23:G24)/100,4))</f>
        <v>1.03E-2</v>
      </c>
      <c r="AC23" s="2025">
        <f>IF(H23=0,0,ROUND(AVERAGE(H23:H24)/100,4))</f>
        <v>6.8999999999999999E-3</v>
      </c>
      <c r="AD23" s="2025">
        <f t="shared" si="90"/>
        <v>8.0000000000000004E-4</v>
      </c>
      <c r="AF23" s="3149">
        <f t="shared" si="30"/>
        <v>100.92000000000002</v>
      </c>
      <c r="AG23" s="3149">
        <f t="shared" si="31"/>
        <v>100.72000000000001</v>
      </c>
      <c r="AH23" s="3149">
        <f t="shared" si="32"/>
        <v>100.41</v>
      </c>
      <c r="AI23" s="3149">
        <f t="shared" si="33"/>
        <v>100.95</v>
      </c>
      <c r="AJ23" s="3149">
        <f t="shared" si="34"/>
        <v>101.01</v>
      </c>
      <c r="AK23" s="3149">
        <f t="shared" si="35"/>
        <v>100.41</v>
      </c>
      <c r="AM23" s="3149">
        <f t="shared" si="48"/>
        <v>95.459324079832498</v>
      </c>
      <c r="AN23" s="3149">
        <f t="shared" si="49"/>
        <v>97.418417990343357</v>
      </c>
      <c r="AO23" s="3149">
        <f t="shared" si="50"/>
        <v>101.28995710674424</v>
      </c>
      <c r="AP23" s="3149">
        <f t="shared" si="51"/>
        <v>94.530003587405034</v>
      </c>
      <c r="AQ23" s="3149">
        <f t="shared" si="52"/>
        <v>92.907884523851436</v>
      </c>
      <c r="AR23" s="3149">
        <f t="shared" si="53"/>
        <v>101.28995710674424</v>
      </c>
    </row>
    <row r="24" spans="1:44" s="2924" customFormat="1" ht="15" thickBot="1">
      <c r="A24" s="2914" t="s">
        <v>2819</v>
      </c>
      <c r="B24" s="2915">
        <v>2021</v>
      </c>
      <c r="C24" s="2916">
        <v>1</v>
      </c>
      <c r="D24" s="2917">
        <v>0.97</v>
      </c>
      <c r="E24" s="2917">
        <v>0.16</v>
      </c>
      <c r="F24" s="2917">
        <v>-0.25</v>
      </c>
      <c r="G24" s="2917">
        <v>1.1100000000000001</v>
      </c>
      <c r="H24" s="2918">
        <v>0.36</v>
      </c>
      <c r="I24" s="2919">
        <f t="shared" si="87"/>
        <v>-0.25</v>
      </c>
      <c r="J24" s="2920"/>
      <c r="K24" s="2921">
        <f t="shared" si="88"/>
        <v>9.7000000000000003E-3</v>
      </c>
      <c r="L24" s="2922">
        <f t="shared" si="88"/>
        <v>1.6000000000000001E-3</v>
      </c>
      <c r="M24" s="2922">
        <f>F24/100</f>
        <v>-2.5000000000000001E-3</v>
      </c>
      <c r="N24" s="2922">
        <f t="shared" si="88"/>
        <v>1.11E-2</v>
      </c>
      <c r="O24" s="2922">
        <f t="shared" si="88"/>
        <v>3.5999999999999999E-3</v>
      </c>
      <c r="P24" s="2922">
        <f t="shared" si="108"/>
        <v>-2.5000000000000001E-3</v>
      </c>
      <c r="Q24" s="2920"/>
      <c r="R24" s="2923">
        <v>1</v>
      </c>
      <c r="S24" s="2923">
        <v>1</v>
      </c>
      <c r="T24" s="2923">
        <v>1</v>
      </c>
      <c r="U24" s="2923">
        <v>1</v>
      </c>
      <c r="V24" s="2923">
        <v>1</v>
      </c>
      <c r="W24" s="2923">
        <f t="shared" ref="W24" si="114">T24</f>
        <v>1</v>
      </c>
      <c r="X24" s="2920"/>
      <c r="Y24" s="2922">
        <f>IF(D24=0,0,ROUND(AVERAGE(D24:D24)/100,4))</f>
        <v>9.7000000000000003E-3</v>
      </c>
      <c r="Z24" s="2922">
        <f>IF(E24=0,0,ROUND(AVERAGE(E24:E24)/100,4))</f>
        <v>1.6000000000000001E-3</v>
      </c>
      <c r="AA24" s="2922">
        <f>IF(F24=0,0,ROUND(AVERAGE(F24:F24)/100,4))</f>
        <v>-2.5000000000000001E-3</v>
      </c>
      <c r="AB24" s="2922">
        <f>IF(G24=0,0,ROUND(AVERAGE(G24:G24)/100,4))</f>
        <v>1.11E-2</v>
      </c>
      <c r="AC24" s="2922">
        <f>IF(H24=0,0,ROUND(AVERAGE(H24:H24)/100,4))</f>
        <v>3.5999999999999999E-3</v>
      </c>
      <c r="AD24" s="2922">
        <f>AA24</f>
        <v>-2.5000000000000001E-3</v>
      </c>
      <c r="AF24" s="3157">
        <v>100</v>
      </c>
      <c r="AG24" s="3157">
        <v>100</v>
      </c>
      <c r="AH24" s="3157">
        <v>100</v>
      </c>
      <c r="AI24" s="3157">
        <v>100</v>
      </c>
      <c r="AJ24" s="3157">
        <v>100</v>
      </c>
      <c r="AK24" s="3157">
        <v>100</v>
      </c>
      <c r="AM24" s="3156">
        <f t="shared" si="48"/>
        <v>94.589104320087685</v>
      </c>
      <c r="AN24" s="3156">
        <f t="shared" si="49"/>
        <v>96.722019450301175</v>
      </c>
      <c r="AO24" s="3156">
        <f t="shared" si="50"/>
        <v>100.87636401428567</v>
      </c>
      <c r="AP24" s="3156">
        <f t="shared" si="51"/>
        <v>93.640419601193685</v>
      </c>
      <c r="AQ24" s="3156">
        <f t="shared" si="52"/>
        <v>91.978897657510586</v>
      </c>
      <c r="AR24" s="3156">
        <f t="shared" si="53"/>
        <v>100.87636401428567</v>
      </c>
    </row>
    <row r="25" spans="1:44" ht="15" thickTop="1"/>
    <row r="26" spans="1:44">
      <c r="A26" s="3139" t="s">
        <v>3375</v>
      </c>
    </row>
    <row r="27" spans="1:44">
      <c r="I27" s="1403" t="s">
        <v>2820</v>
      </c>
    </row>
    <row r="29" spans="1:44" s="2006" customFormat="1" ht="13.2">
      <c r="B29" s="2925" t="s">
        <v>3373</v>
      </c>
      <c r="C29" s="2926"/>
      <c r="D29" s="2926"/>
      <c r="E29" s="2926"/>
      <c r="F29" s="2926"/>
      <c r="G29" s="2926"/>
      <c r="H29" s="2926"/>
      <c r="I29" s="2926"/>
      <c r="J29" s="2892"/>
      <c r="K29" s="2926" t="s">
        <v>2821</v>
      </c>
      <c r="L29" s="2926"/>
      <c r="M29" s="2926"/>
      <c r="N29" s="2926"/>
      <c r="O29" s="2926"/>
      <c r="P29" s="2926"/>
      <c r="Q29" s="2892"/>
      <c r="R29" s="3504" t="s">
        <v>2822</v>
      </c>
      <c r="S29" s="3505"/>
      <c r="T29" s="3505"/>
      <c r="U29" s="3505"/>
      <c r="V29" s="3505"/>
      <c r="W29" s="3505"/>
      <c r="X29" s="2892"/>
      <c r="Y29" s="3504" t="s">
        <v>2823</v>
      </c>
      <c r="Z29" s="3505"/>
      <c r="AA29" s="3505"/>
      <c r="AB29" s="3505"/>
      <c r="AC29" s="3505"/>
      <c r="AD29" s="3505"/>
    </row>
    <row r="30" spans="1:44" s="2007" customFormat="1" ht="15" thickBot="1">
      <c r="B30" s="2877"/>
      <c r="C30" s="2878"/>
      <c r="D30" s="2008" t="s">
        <v>2824</v>
      </c>
      <c r="E30" s="2009" t="s">
        <v>2825</v>
      </c>
      <c r="F30" s="2009" t="s">
        <v>2826</v>
      </c>
      <c r="G30" s="2009" t="s">
        <v>2827</v>
      </c>
      <c r="H30" s="2009"/>
      <c r="I30" s="2009" t="s">
        <v>2828</v>
      </c>
      <c r="J30" s="2879"/>
      <c r="K30" s="2008" t="s">
        <v>2824</v>
      </c>
      <c r="L30" s="2009" t="s">
        <v>2825</v>
      </c>
      <c r="M30" s="2009" t="s">
        <v>2826</v>
      </c>
      <c r="N30" s="2009" t="s">
        <v>2827</v>
      </c>
      <c r="O30" s="2009"/>
      <c r="P30" s="2009" t="s">
        <v>2828</v>
      </c>
      <c r="Q30" s="2879"/>
      <c r="R30" s="2008" t="s">
        <v>2824</v>
      </c>
      <c r="S30" s="2009" t="s">
        <v>2825</v>
      </c>
      <c r="T30" s="2009" t="s">
        <v>2826</v>
      </c>
      <c r="U30" s="2009" t="s">
        <v>2827</v>
      </c>
      <c r="V30" s="2009"/>
      <c r="W30" s="2009" t="s">
        <v>2828</v>
      </c>
      <c r="X30" s="2879"/>
      <c r="Y30" s="2008" t="s">
        <v>2824</v>
      </c>
      <c r="Z30" s="2009" t="s">
        <v>2825</v>
      </c>
      <c r="AA30" s="2009" t="s">
        <v>2826</v>
      </c>
      <c r="AB30" s="2009" t="s">
        <v>2827</v>
      </c>
      <c r="AC30" s="2009"/>
      <c r="AD30" s="2009" t="s">
        <v>2828</v>
      </c>
      <c r="AG30" t="s">
        <v>673</v>
      </c>
      <c r="AH30" t="s">
        <v>21</v>
      </c>
      <c r="AI30" t="s">
        <v>3400</v>
      </c>
      <c r="AJ30"/>
      <c r="AK30" t="s">
        <v>3401</v>
      </c>
      <c r="AN30" t="s">
        <v>673</v>
      </c>
      <c r="AO30" t="s">
        <v>21</v>
      </c>
      <c r="AP30" t="s">
        <v>3400</v>
      </c>
      <c r="AQ30"/>
      <c r="AR30" t="s">
        <v>3401</v>
      </c>
    </row>
    <row r="31" spans="1:44" s="2882" customFormat="1" ht="13.2">
      <c r="A31" s="2880" t="s">
        <v>2829</v>
      </c>
      <c r="B31" s="2881"/>
      <c r="E31" s="2882">
        <f t="shared" ref="E31:G31" si="115">ROUND(AVERAGEIF(E32:E52,"&lt;&gt;0"),2)</f>
        <v>0.11</v>
      </c>
      <c r="F31" s="2882">
        <f t="shared" si="115"/>
        <v>7.0000000000000007E-2</v>
      </c>
      <c r="G31" s="2882">
        <f t="shared" si="115"/>
        <v>0.26</v>
      </c>
      <c r="I31" s="2882">
        <f>F31</f>
        <v>7.0000000000000007E-2</v>
      </c>
      <c r="J31" s="2883"/>
      <c r="K31" s="2884"/>
      <c r="L31" s="2885">
        <f t="shared" ref="L31:N31" si="116">ROUND(AVERAGEIF(L32:L52,"&lt;&gt;0"),4)</f>
        <v>1.1000000000000001E-3</v>
      </c>
      <c r="M31" s="2885">
        <f t="shared" si="116"/>
        <v>6.9999999999999999E-4</v>
      </c>
      <c r="N31" s="2885">
        <f t="shared" si="116"/>
        <v>2.5999999999999999E-3</v>
      </c>
      <c r="O31" s="2885"/>
      <c r="P31" s="2885">
        <f>M31</f>
        <v>6.9999999999999999E-4</v>
      </c>
      <c r="Q31" s="2883"/>
      <c r="R31" s="2886"/>
      <c r="S31" s="2887">
        <f>ROUND(SUMPRODUCT(PRODUCT(1+L32:L52)),4)</f>
        <v>1.0185</v>
      </c>
      <c r="T31" s="2887">
        <f t="shared" ref="T31:U31" si="117">ROUND(SUMPRODUCT(PRODUCT(1+M32:M52)),4)</f>
        <v>1.012</v>
      </c>
      <c r="U31" s="2887">
        <f t="shared" si="117"/>
        <v>1.0436000000000001</v>
      </c>
      <c r="V31" s="2887"/>
      <c r="W31" s="2886">
        <f>T31</f>
        <v>1.012</v>
      </c>
      <c r="X31" s="2883"/>
      <c r="Y31" s="2888"/>
      <c r="Z31" s="2889">
        <f t="shared" ref="Z31:AB31" si="118">ROUND(AVERAGEIF(Z32:Z52,"&lt;&gt;0"),4)</f>
        <v>3.5999999999999999E-3</v>
      </c>
      <c r="AA31" s="2890">
        <f t="shared" si="118"/>
        <v>3.0000000000000001E-3</v>
      </c>
      <c r="AB31" s="2888">
        <f t="shared" si="118"/>
        <v>7.0000000000000001E-3</v>
      </c>
      <c r="AC31" s="2891"/>
      <c r="AD31" s="2888">
        <f>AA31</f>
        <v>3.0000000000000001E-3</v>
      </c>
    </row>
    <row r="32" spans="1:44" s="2006" customFormat="1" ht="13.2">
      <c r="B32" s="2022"/>
      <c r="J32" s="2892"/>
      <c r="K32" s="2893"/>
      <c r="L32" s="2894"/>
      <c r="M32" s="2894"/>
      <c r="N32" s="2894"/>
      <c r="O32" s="2894"/>
      <c r="P32" s="2894"/>
      <c r="Q32" s="2892"/>
      <c r="R32" s="2024"/>
      <c r="S32" s="2895"/>
      <c r="T32" s="2896"/>
      <c r="U32" s="2024"/>
      <c r="V32" s="2897"/>
      <c r="W32" s="2024"/>
      <c r="X32" s="2892"/>
      <c r="Y32" s="2025"/>
      <c r="Z32" s="2898"/>
      <c r="AA32" s="2899"/>
      <c r="AB32" s="2025"/>
      <c r="AC32" s="2900"/>
      <c r="AD32" s="2025"/>
    </row>
    <row r="33" spans="1:44" s="2042" customFormat="1">
      <c r="A33" s="2037" t="s">
        <v>3398</v>
      </c>
      <c r="B33" s="2028">
        <v>2025</v>
      </c>
      <c r="C33" s="2039">
        <v>4</v>
      </c>
      <c r="D33" s="2004"/>
      <c r="E33" s="2004">
        <v>0</v>
      </c>
      <c r="F33" s="2004">
        <v>0</v>
      </c>
      <c r="G33" s="2004">
        <v>0</v>
      </c>
      <c r="H33" s="2004"/>
      <c r="I33" s="2005">
        <f t="shared" ref="I33" si="119">F33</f>
        <v>0</v>
      </c>
      <c r="J33" s="2902"/>
      <c r="K33" s="2040"/>
      <c r="L33" s="2025">
        <f t="shared" ref="L33" si="120">E33/100</f>
        <v>0</v>
      </c>
      <c r="M33" s="2025">
        <f t="shared" ref="M33" si="121">F33/100</f>
        <v>0</v>
      </c>
      <c r="N33" s="2025">
        <f t="shared" ref="N33" si="122">G33/100</f>
        <v>0</v>
      </c>
      <c r="O33" s="2025"/>
      <c r="P33" s="2025">
        <f t="shared" ref="P33:P39" si="123">M33</f>
        <v>0</v>
      </c>
      <c r="Q33" s="2902"/>
      <c r="R33" s="2024"/>
      <c r="S33" s="2024">
        <f>ROUND(IF(项目基本情况!$B$8="出让",SUMPRODUCT(PRODUCT(1+L33:L$52)),SUMPRODUCT(PRODUCT(1+L33:L$51))),4)</f>
        <v>1.0148999999999999</v>
      </c>
      <c r="T33" s="2024">
        <f>ROUND(IF(项目基本情况!$B$8="出让",SUMPRODUCT(PRODUCT(1+M33:M$52)),SUMPRODUCT(PRODUCT(1+M33:M$51))),4)</f>
        <v>1.0072000000000001</v>
      </c>
      <c r="U33" s="2024">
        <f>ROUND(IF(项目基本情况!$B$8="出让",SUMPRODUCT(PRODUCT(1+N33:N$52)),SUMPRODUCT(PRODUCT(1+N33:N$51))),4)</f>
        <v>1.0335000000000001</v>
      </c>
      <c r="V33" s="2024"/>
      <c r="W33" s="2024">
        <f t="shared" ref="W33:W39" si="124">T33</f>
        <v>1.0072000000000001</v>
      </c>
      <c r="X33" s="2902"/>
      <c r="Y33" s="2025"/>
      <c r="Z33" s="2898">
        <f t="shared" ref="Z33" si="125">IF(E33=0,0,ROUND(AVERAGE(E33:E46)/100,4))</f>
        <v>0</v>
      </c>
      <c r="AA33" s="2898">
        <f t="shared" ref="AA33" si="126">IF(F33=0,0,ROUND(AVERAGE(F33:F46)/100,4))</f>
        <v>0</v>
      </c>
      <c r="AB33" s="2898">
        <f t="shared" ref="AB33" si="127">IF(G33=0,0,ROUND(AVERAGE(G33:G46)/100,4))</f>
        <v>0</v>
      </c>
      <c r="AC33" s="2900"/>
      <c r="AD33" s="2025">
        <f t="shared" ref="AD33:AD39" si="128">IF(I33=0,0,ROUND(AVERAGE(I33:I46)/100,4))</f>
        <v>0</v>
      </c>
      <c r="AG33" s="3149">
        <f t="shared" ref="AG33:AG50" si="129">$AG$52*S33</f>
        <v>101.49</v>
      </c>
      <c r="AH33" s="3149">
        <f t="shared" ref="AH33:AH50" si="130">$AG$52*T33</f>
        <v>100.72000000000001</v>
      </c>
      <c r="AI33" s="3149">
        <f t="shared" ref="AI33:AI50" si="131">$AG$52*U33</f>
        <v>103.35000000000001</v>
      </c>
      <c r="AJ33" s="3151"/>
      <c r="AK33" s="3149">
        <f t="shared" ref="AK33:AK50" si="132">$AG$52*W33</f>
        <v>100.72000000000001</v>
      </c>
      <c r="AN33" s="3154">
        <v>100</v>
      </c>
      <c r="AO33" s="3154">
        <v>100</v>
      </c>
      <c r="AP33" s="3154">
        <v>100</v>
      </c>
      <c r="AQ33" s="3154"/>
      <c r="AR33" s="3154">
        <v>100</v>
      </c>
    </row>
    <row r="34" spans="1:44" s="2042" customFormat="1" ht="13.2">
      <c r="A34" s="2037" t="s">
        <v>3397</v>
      </c>
      <c r="B34" s="2028">
        <v>2025</v>
      </c>
      <c r="C34" s="2039">
        <v>3</v>
      </c>
      <c r="D34" s="2004"/>
      <c r="E34" s="2004">
        <v>0</v>
      </c>
      <c r="F34" s="2004">
        <v>0</v>
      </c>
      <c r="G34" s="2004">
        <v>0</v>
      </c>
      <c r="H34" s="2004"/>
      <c r="I34" s="2005">
        <f t="shared" ref="I34" si="133">F34</f>
        <v>0</v>
      </c>
      <c r="J34" s="2902"/>
      <c r="K34" s="2040"/>
      <c r="L34" s="2025">
        <f t="shared" ref="L34" si="134">E34/100</f>
        <v>0</v>
      </c>
      <c r="M34" s="2025">
        <f t="shared" ref="M34" si="135">F34/100</f>
        <v>0</v>
      </c>
      <c r="N34" s="2025">
        <f t="shared" ref="N34" si="136">G34/100</f>
        <v>0</v>
      </c>
      <c r="O34" s="2025"/>
      <c r="P34" s="2025">
        <f t="shared" si="123"/>
        <v>0</v>
      </c>
      <c r="Q34" s="2902"/>
      <c r="R34" s="2024"/>
      <c r="S34" s="2024">
        <f>ROUND(IF(项目基本情况!$B$8="出让",SUMPRODUCT(PRODUCT(1+L34:L$52)),SUMPRODUCT(PRODUCT(1+L34:L$51))),4)</f>
        <v>1.0148999999999999</v>
      </c>
      <c r="T34" s="2024">
        <f>ROUND(IF(项目基本情况!$B$8="出让",SUMPRODUCT(PRODUCT(1+M34:M$52)),SUMPRODUCT(PRODUCT(1+M34:M$51))),4)</f>
        <v>1.0072000000000001</v>
      </c>
      <c r="U34" s="2024">
        <f>ROUND(IF(项目基本情况!$B$8="出让",SUMPRODUCT(PRODUCT(1+N34:N$52)),SUMPRODUCT(PRODUCT(1+N34:N$51))),4)</f>
        <v>1.0335000000000001</v>
      </c>
      <c r="V34" s="2024"/>
      <c r="W34" s="2024">
        <f t="shared" si="124"/>
        <v>1.0072000000000001</v>
      </c>
      <c r="X34" s="2902"/>
      <c r="Y34" s="2025"/>
      <c r="Z34" s="2898">
        <f t="shared" ref="Z34" si="137">IF(E34=0,0,ROUND(AVERAGE(E34:E47)/100,4))</f>
        <v>0</v>
      </c>
      <c r="AA34" s="2898">
        <f t="shared" ref="AA34" si="138">IF(F34=0,0,ROUND(AVERAGE(F34:F47)/100,4))</f>
        <v>0</v>
      </c>
      <c r="AB34" s="2898">
        <f t="shared" ref="AB34" si="139">IF(G34=0,0,ROUND(AVERAGE(G34:G47)/100,4))</f>
        <v>0</v>
      </c>
      <c r="AC34" s="2900"/>
      <c r="AD34" s="2025">
        <f t="shared" si="128"/>
        <v>0</v>
      </c>
      <c r="AG34" s="3149">
        <f t="shared" si="129"/>
        <v>101.49</v>
      </c>
      <c r="AH34" s="3149">
        <f t="shared" si="130"/>
        <v>100.72000000000001</v>
      </c>
      <c r="AI34" s="3149">
        <f t="shared" si="131"/>
        <v>103.35000000000001</v>
      </c>
      <c r="AJ34" s="3151"/>
      <c r="AK34" s="3149">
        <f t="shared" si="132"/>
        <v>100.72000000000001</v>
      </c>
      <c r="AN34" s="3149">
        <f>AN33/(1+E33/100)</f>
        <v>100</v>
      </c>
      <c r="AO34" s="3149">
        <f t="shared" ref="AO34:AR34" si="140">AO33/(1+F33/100)</f>
        <v>100</v>
      </c>
      <c r="AP34" s="3149">
        <f t="shared" si="140"/>
        <v>100</v>
      </c>
      <c r="AQ34" s="3149"/>
      <c r="AR34" s="3149">
        <f t="shared" si="140"/>
        <v>100</v>
      </c>
    </row>
    <row r="35" spans="1:44" s="2912" customFormat="1" ht="13.2">
      <c r="A35" s="2903" t="s">
        <v>3405</v>
      </c>
      <c r="B35" s="2904">
        <v>2025</v>
      </c>
      <c r="C35" s="2905">
        <v>2</v>
      </c>
      <c r="D35" s="2906"/>
      <c r="E35" s="2906">
        <v>0</v>
      </c>
      <c r="F35" s="2906">
        <v>0</v>
      </c>
      <c r="G35" s="2906">
        <v>0</v>
      </c>
      <c r="H35" s="2907"/>
      <c r="I35" s="2908">
        <f t="shared" ref="I35" si="141">F35</f>
        <v>0</v>
      </c>
      <c r="J35" s="2909"/>
      <c r="K35" s="2910"/>
      <c r="L35" s="2911">
        <f t="shared" ref="L35" si="142">E35/100</f>
        <v>0</v>
      </c>
      <c r="M35" s="2911">
        <f t="shared" ref="M35" si="143">F35/100</f>
        <v>0</v>
      </c>
      <c r="N35" s="2911">
        <f t="shared" ref="N35" si="144">G35/100</f>
        <v>0</v>
      </c>
      <c r="O35" s="2911"/>
      <c r="P35" s="2911">
        <f t="shared" si="123"/>
        <v>0</v>
      </c>
      <c r="Q35" s="2909"/>
      <c r="R35" s="2909"/>
      <c r="S35" s="2909">
        <f>ROUND(IF(项目基本情况!$B$8="出让",SUMPRODUCT(PRODUCT(1+L35:L$52)),SUMPRODUCT(PRODUCT(1+L35:L$51))),4)</f>
        <v>1.0148999999999999</v>
      </c>
      <c r="T35" s="2909">
        <f>ROUND(IF(项目基本情况!$B$8="出让",SUMPRODUCT(PRODUCT(1+M35:M$52)),SUMPRODUCT(PRODUCT(1+M35:M$51))),4)</f>
        <v>1.0072000000000001</v>
      </c>
      <c r="U35" s="2909">
        <f>ROUND(IF(项目基本情况!$B$8="出让",SUMPRODUCT(PRODUCT(1+N35:N$52)),SUMPRODUCT(PRODUCT(1+N35:N$51))),4)</f>
        <v>1.0335000000000001</v>
      </c>
      <c r="V35" s="2909"/>
      <c r="W35" s="2909">
        <f t="shared" si="124"/>
        <v>1.0072000000000001</v>
      </c>
      <c r="X35" s="2909"/>
      <c r="Y35" s="2911"/>
      <c r="Z35" s="2927">
        <f t="shared" ref="Z35" si="145">IF(E35=0,0,ROUND(AVERAGE(E35:E48)/100,4))</f>
        <v>0</v>
      </c>
      <c r="AA35" s="2928">
        <f t="shared" ref="AA35" si="146">IF(F35=0,0,ROUND(AVERAGE(F35:F48)/100,4))</f>
        <v>0</v>
      </c>
      <c r="AB35" s="2911">
        <f t="shared" ref="AB35" si="147">IF(G35=0,0,ROUND(AVERAGE(G35:G48)/100,4))</f>
        <v>0</v>
      </c>
      <c r="AC35" s="2929"/>
      <c r="AD35" s="2911">
        <f t="shared" si="128"/>
        <v>0</v>
      </c>
      <c r="AG35" s="3150">
        <f t="shared" si="129"/>
        <v>101.49</v>
      </c>
      <c r="AH35" s="3150">
        <f t="shared" si="130"/>
        <v>100.72000000000001</v>
      </c>
      <c r="AI35" s="3150">
        <f t="shared" si="131"/>
        <v>103.35000000000001</v>
      </c>
      <c r="AJ35" s="3152"/>
      <c r="AK35" s="3150">
        <f t="shared" si="132"/>
        <v>100.72000000000001</v>
      </c>
      <c r="AN35" s="3150">
        <f t="shared" ref="AN35:AN52" si="148">AN34/(1+E34/100)</f>
        <v>100</v>
      </c>
      <c r="AO35" s="3150">
        <f t="shared" ref="AO35" si="149">AO34/(1+F34/100)</f>
        <v>100</v>
      </c>
      <c r="AP35" s="3150">
        <f t="shared" ref="AP35" si="150">AP34/(1+G34/100)</f>
        <v>100</v>
      </c>
      <c r="AQ35" s="3150"/>
      <c r="AR35" s="3150">
        <f t="shared" ref="AR35" si="151">AR34/(1+I34/100)</f>
        <v>100</v>
      </c>
    </row>
    <row r="36" spans="1:44" s="2042" customFormat="1" ht="13.2">
      <c r="A36" s="2037" t="s">
        <v>3402</v>
      </c>
      <c r="B36" s="2028">
        <v>2025</v>
      </c>
      <c r="C36" s="2039">
        <v>1</v>
      </c>
      <c r="D36" s="2004"/>
      <c r="E36" s="2004">
        <v>-1.47</v>
      </c>
      <c r="F36" s="2004">
        <v>-0.98</v>
      </c>
      <c r="G36" s="2004">
        <v>-0.51</v>
      </c>
      <c r="H36" s="2004"/>
      <c r="I36" s="2005">
        <f t="shared" ref="I36" si="152">F36</f>
        <v>-0.98</v>
      </c>
      <c r="J36" s="2902"/>
      <c r="K36" s="2040"/>
      <c r="L36" s="2025">
        <f t="shared" ref="L36" si="153">E36/100</f>
        <v>-1.47E-2</v>
      </c>
      <c r="M36" s="2025">
        <f t="shared" ref="M36" si="154">F36/100</f>
        <v>-9.7999999999999997E-3</v>
      </c>
      <c r="N36" s="2025">
        <f t="shared" ref="N36" si="155">G36/100</f>
        <v>-5.1000000000000004E-3</v>
      </c>
      <c r="O36" s="2025"/>
      <c r="P36" s="2025">
        <f t="shared" si="123"/>
        <v>-9.7999999999999997E-3</v>
      </c>
      <c r="Q36" s="2902"/>
      <c r="R36" s="2024"/>
      <c r="S36" s="2024">
        <f>ROUND(IF(项目基本情况!$B$8="出让",SUMPRODUCT(PRODUCT(1+L36:L$52)),SUMPRODUCT(PRODUCT(1+L36:L$51))),4)</f>
        <v>1.0148999999999999</v>
      </c>
      <c r="T36" s="2024">
        <f>ROUND(IF(项目基本情况!$B$8="出让",SUMPRODUCT(PRODUCT(1+M36:M$52)),SUMPRODUCT(PRODUCT(1+M36:M$51))),4)</f>
        <v>1.0072000000000001</v>
      </c>
      <c r="U36" s="2024">
        <f>ROUND(IF(项目基本情况!$B$8="出让",SUMPRODUCT(PRODUCT(1+N36:N$52)),SUMPRODUCT(PRODUCT(1+N36:N$51))),4)</f>
        <v>1.0335000000000001</v>
      </c>
      <c r="V36" s="2024"/>
      <c r="W36" s="2024">
        <f t="shared" si="124"/>
        <v>1.0072000000000001</v>
      </c>
      <c r="X36" s="2902"/>
      <c r="Y36" s="2025"/>
      <c r="Z36" s="2898">
        <f t="shared" ref="Z36" si="156">IF(E36=0,0,ROUND(AVERAGE(E36:E49)/100,4))</f>
        <v>4.0000000000000002E-4</v>
      </c>
      <c r="AA36" s="2898">
        <f t="shared" ref="AA36" si="157">IF(F36=0,0,ROUND(AVERAGE(F36:F49)/100,4))</f>
        <v>0</v>
      </c>
      <c r="AB36" s="2898">
        <f t="shared" ref="AB36" si="158">IF(G36=0,0,ROUND(AVERAGE(G36:G49)/100,4))</f>
        <v>1E-3</v>
      </c>
      <c r="AC36" s="2900"/>
      <c r="AD36" s="2025">
        <f t="shared" si="128"/>
        <v>0</v>
      </c>
      <c r="AG36" s="3149">
        <f t="shared" si="129"/>
        <v>101.49</v>
      </c>
      <c r="AH36" s="3149">
        <f t="shared" si="130"/>
        <v>100.72000000000001</v>
      </c>
      <c r="AI36" s="3149">
        <f t="shared" si="131"/>
        <v>103.35000000000001</v>
      </c>
      <c r="AJ36" s="3151"/>
      <c r="AK36" s="3149">
        <f t="shared" si="132"/>
        <v>100.72000000000001</v>
      </c>
      <c r="AN36" s="3149">
        <f t="shared" si="148"/>
        <v>100</v>
      </c>
      <c r="AO36" s="3149">
        <f t="shared" ref="AO36:AO52" si="159">AO35/(1+F35/100)</f>
        <v>100</v>
      </c>
      <c r="AP36" s="3149">
        <f t="shared" ref="AP36:AP52" si="160">AP35/(1+G35/100)</f>
        <v>100</v>
      </c>
      <c r="AQ36" s="3149"/>
      <c r="AR36" s="3149">
        <f t="shared" ref="AR36:AR52" si="161">AR35/(1+I35/100)</f>
        <v>100</v>
      </c>
    </row>
    <row r="37" spans="1:44" s="2042" customFormat="1" ht="13.2">
      <c r="A37" s="2037" t="s">
        <v>3403</v>
      </c>
      <c r="B37" s="2028">
        <v>2024</v>
      </c>
      <c r="C37" s="2039">
        <v>4</v>
      </c>
      <c r="D37" s="2004"/>
      <c r="E37" s="2004">
        <v>-0.61</v>
      </c>
      <c r="F37" s="2004">
        <v>-0.71</v>
      </c>
      <c r="G37" s="2004">
        <v>-0.88</v>
      </c>
      <c r="H37" s="2004"/>
      <c r="I37" s="2005">
        <f t="shared" ref="I37" si="162">F37</f>
        <v>-0.71</v>
      </c>
      <c r="J37" s="2902"/>
      <c r="K37" s="2040"/>
      <c r="L37" s="2025">
        <f t="shared" ref="L37" si="163">E37/100</f>
        <v>-6.0999999999999995E-3</v>
      </c>
      <c r="M37" s="2025">
        <f t="shared" ref="M37" si="164">F37/100</f>
        <v>-7.0999999999999995E-3</v>
      </c>
      <c r="N37" s="2025">
        <f t="shared" ref="N37" si="165">G37/100</f>
        <v>-8.8000000000000005E-3</v>
      </c>
      <c r="O37" s="2025"/>
      <c r="P37" s="2025">
        <f t="shared" si="123"/>
        <v>-7.0999999999999995E-3</v>
      </c>
      <c r="Q37" s="2902"/>
      <c r="R37" s="2024"/>
      <c r="S37" s="2024">
        <f>ROUND(IF(项目基本情况!$B$8="出让",SUMPRODUCT(PRODUCT(1+L37:L$52)),SUMPRODUCT(PRODUCT(1+L37:L$51))),4)</f>
        <v>1.0301</v>
      </c>
      <c r="T37" s="2024">
        <f>ROUND(IF(项目基本情况!$B$8="出让",SUMPRODUCT(PRODUCT(1+M37:M$52)),SUMPRODUCT(PRODUCT(1+M37:M$51))),4)</f>
        <v>1.0170999999999999</v>
      </c>
      <c r="U37" s="2024">
        <f>ROUND(IF(项目基本情况!$B$8="出让",SUMPRODUCT(PRODUCT(1+N37:N$52)),SUMPRODUCT(PRODUCT(1+N37:N$51))),4)</f>
        <v>1.0387999999999999</v>
      </c>
      <c r="V37" s="2024"/>
      <c r="W37" s="2024">
        <f t="shared" si="124"/>
        <v>1.0170999999999999</v>
      </c>
      <c r="X37" s="2902"/>
      <c r="Y37" s="2025"/>
      <c r="Z37" s="2898">
        <f t="shared" ref="Z37" si="166">IF(E37=0,0,ROUND(AVERAGE(E37:E50)/100,4))</f>
        <v>1.6999999999999999E-3</v>
      </c>
      <c r="AA37" s="2898">
        <f t="shared" ref="AA37" si="167">IF(F37=0,0,ROUND(AVERAGE(F37:F50)/100,4))</f>
        <v>8.9999999999999998E-4</v>
      </c>
      <c r="AB37" s="2898">
        <f t="shared" ref="AB37" si="168">IF(G37=0,0,ROUND(AVERAGE(G37:G50)/100,4))</f>
        <v>2E-3</v>
      </c>
      <c r="AC37" s="2900"/>
      <c r="AD37" s="2025">
        <f t="shared" si="128"/>
        <v>8.9999999999999998E-4</v>
      </c>
      <c r="AG37" s="3149">
        <f t="shared" si="129"/>
        <v>103.01</v>
      </c>
      <c r="AH37" s="3149">
        <f t="shared" si="130"/>
        <v>101.71</v>
      </c>
      <c r="AI37" s="3149">
        <f t="shared" si="131"/>
        <v>103.88</v>
      </c>
      <c r="AJ37" s="3151"/>
      <c r="AK37" s="3149">
        <f t="shared" si="132"/>
        <v>101.71</v>
      </c>
      <c r="AN37" s="3149">
        <f t="shared" si="148"/>
        <v>101.49193139145439</v>
      </c>
      <c r="AO37" s="3149">
        <f t="shared" si="159"/>
        <v>100.98969905069683</v>
      </c>
      <c r="AP37" s="3149">
        <f t="shared" si="160"/>
        <v>100.51261433309881</v>
      </c>
      <c r="AQ37" s="3149"/>
      <c r="AR37" s="3149">
        <f t="shared" si="161"/>
        <v>100.98969905069683</v>
      </c>
    </row>
    <row r="38" spans="1:44" s="2042" customFormat="1" ht="13.2">
      <c r="A38" s="2037" t="s">
        <v>3367</v>
      </c>
      <c r="B38" s="2028">
        <v>2024</v>
      </c>
      <c r="C38" s="2039">
        <v>3</v>
      </c>
      <c r="D38" s="2004"/>
      <c r="E38" s="2004">
        <v>-0.66</v>
      </c>
      <c r="F38" s="2004">
        <v>-0.52</v>
      </c>
      <c r="G38" s="2004">
        <v>-2.87</v>
      </c>
      <c r="H38" s="2004"/>
      <c r="I38" s="2005">
        <f t="shared" ref="I38" si="169">F38</f>
        <v>-0.52</v>
      </c>
      <c r="J38" s="2902"/>
      <c r="K38" s="2040"/>
      <c r="L38" s="2025">
        <f t="shared" ref="L38" si="170">E38/100</f>
        <v>-6.6E-3</v>
      </c>
      <c r="M38" s="2025">
        <f t="shared" ref="M38" si="171">F38/100</f>
        <v>-5.1999999999999998E-3</v>
      </c>
      <c r="N38" s="2025">
        <f t="shared" ref="N38" si="172">G38/100</f>
        <v>-2.87E-2</v>
      </c>
      <c r="O38" s="2025"/>
      <c r="P38" s="2025">
        <f t="shared" si="123"/>
        <v>-5.1999999999999998E-3</v>
      </c>
      <c r="Q38" s="2902"/>
      <c r="R38" s="2024"/>
      <c r="S38" s="2024">
        <f>ROUND(IF(项目基本情况!$B$8="出让",SUMPRODUCT(PRODUCT(1+L38:L$52)),SUMPRODUCT(PRODUCT(1+L38:L$51))),4)</f>
        <v>1.0364</v>
      </c>
      <c r="T38" s="2024">
        <f>ROUND(IF(项目基本情况!$B$8="出让",SUMPRODUCT(PRODUCT(1+M38:M$52)),SUMPRODUCT(PRODUCT(1+M38:M$51))),4)</f>
        <v>1.0244</v>
      </c>
      <c r="U38" s="2024">
        <f>ROUND(IF(项目基本情况!$B$8="出让",SUMPRODUCT(PRODUCT(1+N38:N$52)),SUMPRODUCT(PRODUCT(1+N38:N$51))),4)</f>
        <v>1.048</v>
      </c>
      <c r="V38" s="2024"/>
      <c r="W38" s="2024">
        <f t="shared" si="124"/>
        <v>1.0244</v>
      </c>
      <c r="X38" s="2902"/>
      <c r="Y38" s="2025"/>
      <c r="Z38" s="2898">
        <f t="shared" ref="Z38:AB39" si="173">IF(E38=0,0,ROUND(AVERAGE(E38:E51)/100,4))</f>
        <v>2.5999999999999999E-3</v>
      </c>
      <c r="AA38" s="2898">
        <f t="shared" si="173"/>
        <v>1.6999999999999999E-3</v>
      </c>
      <c r="AB38" s="2898">
        <f t="shared" si="173"/>
        <v>3.3999999999999998E-3</v>
      </c>
      <c r="AC38" s="2900"/>
      <c r="AD38" s="2025">
        <f t="shared" si="128"/>
        <v>1.6999999999999999E-3</v>
      </c>
      <c r="AG38" s="3149">
        <f t="shared" si="129"/>
        <v>103.64</v>
      </c>
      <c r="AH38" s="3149">
        <f t="shared" si="130"/>
        <v>102.44</v>
      </c>
      <c r="AI38" s="3149">
        <f t="shared" si="131"/>
        <v>104.80000000000001</v>
      </c>
      <c r="AJ38" s="3151"/>
      <c r="AK38" s="3149">
        <f t="shared" si="132"/>
        <v>102.44</v>
      </c>
      <c r="AN38" s="3149">
        <f t="shared" si="148"/>
        <v>102.11483186583598</v>
      </c>
      <c r="AO38" s="3149">
        <f t="shared" si="159"/>
        <v>101.71185320847701</v>
      </c>
      <c r="AP38" s="3149">
        <f t="shared" si="160"/>
        <v>101.4049781407373</v>
      </c>
      <c r="AQ38" s="3149"/>
      <c r="AR38" s="3149">
        <f t="shared" si="161"/>
        <v>101.71185320847701</v>
      </c>
    </row>
    <row r="39" spans="1:44" s="2042" customFormat="1" ht="13.2">
      <c r="A39" s="2901" t="s">
        <v>3371</v>
      </c>
      <c r="B39" s="2028">
        <v>2024</v>
      </c>
      <c r="C39" s="2039">
        <v>2</v>
      </c>
      <c r="D39" s="2004"/>
      <c r="E39" s="2004">
        <v>-0.31</v>
      </c>
      <c r="F39" s="2004">
        <v>-0.39</v>
      </c>
      <c r="G39" s="2004">
        <v>1.23</v>
      </c>
      <c r="H39" s="2913"/>
      <c r="I39" s="2005">
        <f t="shared" ref="I39:I52" si="174">F39</f>
        <v>-0.39</v>
      </c>
      <c r="J39" s="2902"/>
      <c r="K39" s="2040"/>
      <c r="L39" s="2025">
        <f t="shared" ref="L39:N52" si="175">E39/100</f>
        <v>-3.0999999999999999E-3</v>
      </c>
      <c r="M39" s="2025">
        <f t="shared" si="175"/>
        <v>-3.9000000000000003E-3</v>
      </c>
      <c r="N39" s="2025">
        <f t="shared" si="175"/>
        <v>1.23E-2</v>
      </c>
      <c r="O39" s="2025"/>
      <c r="P39" s="2025">
        <f t="shared" si="123"/>
        <v>-3.9000000000000003E-3</v>
      </c>
      <c r="Q39" s="2902"/>
      <c r="R39" s="2024"/>
      <c r="S39" s="2024">
        <f>ROUND(IF(项目基本情况!$B$8="出让",SUMPRODUCT(PRODUCT(1+L39:L$52)),SUMPRODUCT(PRODUCT(1+L39:L$51))),4)</f>
        <v>1.0432999999999999</v>
      </c>
      <c r="T39" s="2024">
        <f>ROUND(IF(项目基本情况!$B$8="出让",SUMPRODUCT(PRODUCT(1+M39:M$52)),SUMPRODUCT(PRODUCT(1+M39:M$51))),4)</f>
        <v>1.0298</v>
      </c>
      <c r="U39" s="2024">
        <f>ROUND(IF(项目基本情况!$B$8="出让",SUMPRODUCT(PRODUCT(1+N39:N$52)),SUMPRODUCT(PRODUCT(1+N39:N$51))),4)</f>
        <v>1.079</v>
      </c>
      <c r="V39" s="2024"/>
      <c r="W39" s="2024">
        <f t="shared" si="124"/>
        <v>1.0298</v>
      </c>
      <c r="X39" s="2902"/>
      <c r="Y39" s="2025"/>
      <c r="Z39" s="2898">
        <f t="shared" si="173"/>
        <v>3.3E-3</v>
      </c>
      <c r="AA39" s="2899">
        <f t="shared" si="173"/>
        <v>2.3999999999999998E-3</v>
      </c>
      <c r="AB39" s="2025">
        <f t="shared" si="173"/>
        <v>6.1999999999999998E-3</v>
      </c>
      <c r="AC39" s="2900"/>
      <c r="AD39" s="2025">
        <f t="shared" si="128"/>
        <v>2.3999999999999998E-3</v>
      </c>
      <c r="AG39" s="3149">
        <f t="shared" si="129"/>
        <v>104.32999999999998</v>
      </c>
      <c r="AH39" s="3149">
        <f t="shared" si="130"/>
        <v>102.98</v>
      </c>
      <c r="AI39" s="3149">
        <f t="shared" si="131"/>
        <v>107.89999999999999</v>
      </c>
      <c r="AJ39" s="3151"/>
      <c r="AK39" s="3149">
        <f t="shared" si="132"/>
        <v>102.98</v>
      </c>
      <c r="AN39" s="3149">
        <f t="shared" si="148"/>
        <v>102.79326743087979</v>
      </c>
      <c r="AO39" s="3149">
        <f t="shared" si="159"/>
        <v>102.24351950992863</v>
      </c>
      <c r="AP39" s="3149">
        <f t="shared" si="160"/>
        <v>104.40129531631555</v>
      </c>
      <c r="AQ39" s="3149"/>
      <c r="AR39" s="3149">
        <f t="shared" si="161"/>
        <v>102.24351950992863</v>
      </c>
    </row>
    <row r="40" spans="1:44" s="2042" customFormat="1" ht="13.2">
      <c r="A40" s="2901" t="s">
        <v>3368</v>
      </c>
      <c r="B40" s="2028">
        <v>2024</v>
      </c>
      <c r="C40" s="2039">
        <v>1</v>
      </c>
      <c r="D40" s="2004"/>
      <c r="E40" s="2004">
        <v>0.25</v>
      </c>
      <c r="F40" s="2004">
        <v>0.4</v>
      </c>
      <c r="G40" s="2004">
        <v>-0.63</v>
      </c>
      <c r="H40" s="2913"/>
      <c r="I40" s="2005">
        <f t="shared" ref="I40:I41" si="176">F40</f>
        <v>0.4</v>
      </c>
      <c r="J40" s="2902"/>
      <c r="K40" s="2040"/>
      <c r="L40" s="2025">
        <f t="shared" ref="L40" si="177">E40/100</f>
        <v>2.5000000000000001E-3</v>
      </c>
      <c r="M40" s="2025">
        <f t="shared" ref="M40" si="178">F40/100</f>
        <v>4.0000000000000001E-3</v>
      </c>
      <c r="N40" s="2025">
        <f t="shared" ref="N40" si="179">G40/100</f>
        <v>-6.3E-3</v>
      </c>
      <c r="O40" s="2025"/>
      <c r="P40" s="2025">
        <f t="shared" ref="P40" si="180">M40</f>
        <v>4.0000000000000001E-3</v>
      </c>
      <c r="Q40" s="2902"/>
      <c r="R40" s="2024"/>
      <c r="S40" s="2024">
        <f>ROUND(IF(项目基本情况!$B$8="出让",SUMPRODUCT(PRODUCT(1+L40:L$52)),SUMPRODUCT(PRODUCT(1+L40:L$51))),4)</f>
        <v>1.0465</v>
      </c>
      <c r="T40" s="2024">
        <f>ROUND(IF(项目基本情况!$B$8="出让",SUMPRODUCT(PRODUCT(1+M40:M$52)),SUMPRODUCT(PRODUCT(1+M40:M$51))),4)</f>
        <v>1.0338000000000001</v>
      </c>
      <c r="U40" s="2024">
        <f>ROUND(IF(项目基本情况!$B$8="出让",SUMPRODUCT(PRODUCT(1+N40:N$52)),SUMPRODUCT(PRODUCT(1+N40:N$51))),4)</f>
        <v>1.0659000000000001</v>
      </c>
      <c r="V40" s="2024"/>
      <c r="W40" s="2024">
        <f t="shared" ref="W40" si="181">T40</f>
        <v>1.0338000000000001</v>
      </c>
      <c r="X40" s="2902"/>
      <c r="Y40" s="2025"/>
      <c r="Z40" s="2898"/>
      <c r="AA40" s="2899"/>
      <c r="AB40" s="2025"/>
      <c r="AC40" s="2900"/>
      <c r="AD40" s="2025"/>
      <c r="AG40" s="3149">
        <f t="shared" si="129"/>
        <v>104.65</v>
      </c>
      <c r="AH40" s="3149">
        <f t="shared" si="130"/>
        <v>103.38000000000001</v>
      </c>
      <c r="AI40" s="3149">
        <f t="shared" si="131"/>
        <v>106.59</v>
      </c>
      <c r="AJ40" s="3151"/>
      <c r="AK40" s="3149">
        <f t="shared" si="132"/>
        <v>103.38000000000001</v>
      </c>
      <c r="AN40" s="3149">
        <f t="shared" si="148"/>
        <v>103.11291747505246</v>
      </c>
      <c r="AO40" s="3149">
        <f t="shared" si="159"/>
        <v>102.64383044867849</v>
      </c>
      <c r="AP40" s="3149">
        <f t="shared" si="160"/>
        <v>103.13276233953923</v>
      </c>
      <c r="AQ40" s="3149"/>
      <c r="AR40" s="3149">
        <f t="shared" si="161"/>
        <v>102.64383044867849</v>
      </c>
    </row>
    <row r="41" spans="1:44" s="2042" customFormat="1" ht="13.2">
      <c r="A41" s="2901" t="s">
        <v>3366</v>
      </c>
      <c r="B41" s="2028">
        <v>2023</v>
      </c>
      <c r="C41" s="2039">
        <v>4</v>
      </c>
      <c r="D41" s="2004"/>
      <c r="E41" s="2004">
        <v>7.0000000000000007E-2</v>
      </c>
      <c r="F41" s="2004">
        <v>0.09</v>
      </c>
      <c r="G41" s="2004">
        <v>0.03</v>
      </c>
      <c r="H41" s="2913"/>
      <c r="I41" s="2005">
        <f t="shared" si="176"/>
        <v>0.09</v>
      </c>
      <c r="J41" s="2902"/>
      <c r="K41" s="2040"/>
      <c r="L41" s="2025">
        <f t="shared" si="175"/>
        <v>7.000000000000001E-4</v>
      </c>
      <c r="M41" s="2025">
        <f t="shared" si="175"/>
        <v>8.9999999999999998E-4</v>
      </c>
      <c r="N41" s="2025">
        <f t="shared" si="175"/>
        <v>2.9999999999999997E-4</v>
      </c>
      <c r="O41" s="2025"/>
      <c r="P41" s="2025">
        <f t="shared" ref="P41" si="182">M41</f>
        <v>8.9999999999999998E-4</v>
      </c>
      <c r="Q41" s="2902"/>
      <c r="R41" s="2024"/>
      <c r="S41" s="2024">
        <f>ROUND(IF(项目基本情况!$B$8="出让",SUMPRODUCT(PRODUCT(1+L41:L$52)),SUMPRODUCT(PRODUCT(1+L41:L$51))),4)</f>
        <v>1.0439000000000001</v>
      </c>
      <c r="T41" s="2024">
        <f>ROUND(IF(项目基本情况!$B$8="出让",SUMPRODUCT(PRODUCT(1+M41:M$52)),SUMPRODUCT(PRODUCT(1+M41:M$51))),4)</f>
        <v>1.0297000000000001</v>
      </c>
      <c r="U41" s="2024">
        <f>ROUND(IF(项目基本情况!$B$8="出让",SUMPRODUCT(PRODUCT(1+N41:N$52)),SUMPRODUCT(PRODUCT(1+N41:N$51))),4)</f>
        <v>1.0727</v>
      </c>
      <c r="V41" s="2024"/>
      <c r="W41" s="2024">
        <f t="shared" ref="W41" si="183">T41</f>
        <v>1.0297000000000001</v>
      </c>
      <c r="X41" s="2902"/>
      <c r="Y41" s="2025"/>
      <c r="Z41" s="2898"/>
      <c r="AA41" s="2899"/>
      <c r="AB41" s="2025"/>
      <c r="AC41" s="2900"/>
      <c r="AD41" s="2025"/>
      <c r="AG41" s="3149">
        <f t="shared" si="129"/>
        <v>104.39</v>
      </c>
      <c r="AH41" s="3149">
        <f t="shared" si="130"/>
        <v>102.97</v>
      </c>
      <c r="AI41" s="3149">
        <f t="shared" si="131"/>
        <v>107.27</v>
      </c>
      <c r="AJ41" s="3151"/>
      <c r="AK41" s="3149">
        <f t="shared" si="132"/>
        <v>102.97</v>
      </c>
      <c r="AN41" s="3149">
        <f t="shared" si="148"/>
        <v>102.85577802997751</v>
      </c>
      <c r="AO41" s="3149">
        <f t="shared" si="159"/>
        <v>102.23489088513793</v>
      </c>
      <c r="AP41" s="3149">
        <f t="shared" si="160"/>
        <v>103.78661803314806</v>
      </c>
      <c r="AQ41" s="3149"/>
      <c r="AR41" s="3149">
        <f t="shared" si="161"/>
        <v>102.23489088513793</v>
      </c>
    </row>
    <row r="42" spans="1:44" s="2042" customFormat="1" ht="13.2">
      <c r="A42" s="2901" t="s">
        <v>3364</v>
      </c>
      <c r="B42" s="2028">
        <v>2023</v>
      </c>
      <c r="C42" s="2039">
        <v>3</v>
      </c>
      <c r="D42" s="2004"/>
      <c r="E42" s="2004">
        <v>0.35</v>
      </c>
      <c r="F42" s="2004">
        <v>0.17</v>
      </c>
      <c r="G42" s="2004">
        <v>0.52</v>
      </c>
      <c r="H42" s="2913"/>
      <c r="I42" s="2005">
        <f t="shared" si="174"/>
        <v>0.17</v>
      </c>
      <c r="J42" s="2902"/>
      <c r="K42" s="2040"/>
      <c r="L42" s="2025">
        <f t="shared" ref="L42:L44" si="184">E42/100</f>
        <v>3.4999999999999996E-3</v>
      </c>
      <c r="M42" s="2025">
        <f t="shared" ref="M42:M44" si="185">F42/100</f>
        <v>1.7000000000000001E-3</v>
      </c>
      <c r="N42" s="2025">
        <f t="shared" ref="N42:N44" si="186">G42/100</f>
        <v>5.1999999999999998E-3</v>
      </c>
      <c r="O42" s="2025"/>
      <c r="P42" s="2025">
        <f t="shared" ref="P42:P44" si="187">M42</f>
        <v>1.7000000000000001E-3</v>
      </c>
      <c r="Q42" s="2902"/>
      <c r="R42" s="2024"/>
      <c r="S42" s="2024">
        <f>ROUND(IF(项目基本情况!$B$8="出让",SUMPRODUCT(PRODUCT(1+L42:L$52)),SUMPRODUCT(PRODUCT(1+L42:L$51))),4)</f>
        <v>1.0431999999999999</v>
      </c>
      <c r="T42" s="2024">
        <f>ROUND(IF(项目基本情况!$B$8="出让",SUMPRODUCT(PRODUCT(1+M42:M$52)),SUMPRODUCT(PRODUCT(1+M42:M$51))),4)</f>
        <v>1.0286999999999999</v>
      </c>
      <c r="U42" s="2024">
        <f>ROUND(IF(项目基本情况!$B$8="出让",SUMPRODUCT(PRODUCT(1+N42:N$52)),SUMPRODUCT(PRODUCT(1+N42:N$51))),4)</f>
        <v>1.0723</v>
      </c>
      <c r="V42" s="2024"/>
      <c r="W42" s="2024">
        <f t="shared" ref="W42:W44" si="188">T42</f>
        <v>1.0286999999999999</v>
      </c>
      <c r="X42" s="2902"/>
      <c r="Y42" s="2025"/>
      <c r="Z42" s="2898"/>
      <c r="AA42" s="2899"/>
      <c r="AB42" s="2025"/>
      <c r="AC42" s="2900"/>
      <c r="AD42" s="2025"/>
      <c r="AG42" s="3149">
        <f t="shared" si="129"/>
        <v>104.32</v>
      </c>
      <c r="AH42" s="3149">
        <f t="shared" si="130"/>
        <v>102.86999999999999</v>
      </c>
      <c r="AI42" s="3149">
        <f t="shared" si="131"/>
        <v>107.23</v>
      </c>
      <c r="AJ42" s="3151"/>
      <c r="AK42" s="3149">
        <f t="shared" si="132"/>
        <v>102.86999999999999</v>
      </c>
      <c r="AN42" s="3149">
        <f t="shared" si="148"/>
        <v>102.78382934943292</v>
      </c>
      <c r="AO42" s="3149">
        <f t="shared" si="159"/>
        <v>102.14296221914071</v>
      </c>
      <c r="AP42" s="3149">
        <f t="shared" si="160"/>
        <v>103.75549138573234</v>
      </c>
      <c r="AQ42" s="3149"/>
      <c r="AR42" s="3149">
        <f t="shared" si="161"/>
        <v>102.14296221914071</v>
      </c>
    </row>
    <row r="43" spans="1:44" s="2042" customFormat="1" ht="13.2">
      <c r="A43" s="2901" t="s">
        <v>3363</v>
      </c>
      <c r="B43" s="2028">
        <v>2023</v>
      </c>
      <c r="C43" s="2039">
        <v>2</v>
      </c>
      <c r="D43" s="2004"/>
      <c r="E43" s="2004">
        <v>0.5</v>
      </c>
      <c r="F43" s="2004">
        <v>0.45</v>
      </c>
      <c r="G43" s="2004">
        <v>0.89</v>
      </c>
      <c r="H43" s="2913"/>
      <c r="I43" s="2005">
        <f t="shared" si="174"/>
        <v>0.45</v>
      </c>
      <c r="J43" s="2902"/>
      <c r="K43" s="2040"/>
      <c r="L43" s="2025">
        <f t="shared" si="184"/>
        <v>5.0000000000000001E-3</v>
      </c>
      <c r="M43" s="2025">
        <f t="shared" si="185"/>
        <v>4.5000000000000005E-3</v>
      </c>
      <c r="N43" s="2025">
        <f t="shared" si="186"/>
        <v>8.8999999999999999E-3</v>
      </c>
      <c r="O43" s="2025"/>
      <c r="P43" s="2025">
        <f t="shared" si="187"/>
        <v>4.5000000000000005E-3</v>
      </c>
      <c r="Q43" s="2902"/>
      <c r="R43" s="2024"/>
      <c r="S43" s="2024">
        <f>ROUND(IF(项目基本情况!$B$8="出让",SUMPRODUCT(PRODUCT(1+L43:L$52)),SUMPRODUCT(PRODUCT(1+L43:L$51))),4)</f>
        <v>1.0396000000000001</v>
      </c>
      <c r="T43" s="2024">
        <f>ROUND(IF(项目基本情况!$B$8="出让",SUMPRODUCT(PRODUCT(1+M43:M$52)),SUMPRODUCT(PRODUCT(1+M43:M$51))),4)</f>
        <v>1.0269999999999999</v>
      </c>
      <c r="U43" s="2024">
        <f>ROUND(IF(项目基本情况!$B$8="出让",SUMPRODUCT(PRODUCT(1+N43:N$52)),SUMPRODUCT(PRODUCT(1+N43:N$51))),4)</f>
        <v>1.0668</v>
      </c>
      <c r="V43" s="2024"/>
      <c r="W43" s="2024">
        <f t="shared" si="188"/>
        <v>1.0269999999999999</v>
      </c>
      <c r="X43" s="2902"/>
      <c r="Y43" s="2025"/>
      <c r="Z43" s="2898"/>
      <c r="AA43" s="2899"/>
      <c r="AB43" s="2025"/>
      <c r="AC43" s="2900"/>
      <c r="AD43" s="2025"/>
      <c r="AG43" s="3149">
        <f t="shared" si="129"/>
        <v>103.96000000000001</v>
      </c>
      <c r="AH43" s="3149">
        <f t="shared" si="130"/>
        <v>102.69999999999999</v>
      </c>
      <c r="AI43" s="3149">
        <f t="shared" si="131"/>
        <v>106.67999999999999</v>
      </c>
      <c r="AJ43" s="3151"/>
      <c r="AK43" s="3149">
        <f t="shared" si="132"/>
        <v>102.69999999999999</v>
      </c>
      <c r="AN43" s="3149">
        <f t="shared" si="148"/>
        <v>102.42534065713295</v>
      </c>
      <c r="AO43" s="3149">
        <f t="shared" si="159"/>
        <v>101.96961387555227</v>
      </c>
      <c r="AP43" s="3149">
        <f t="shared" si="160"/>
        <v>103.21875386563104</v>
      </c>
      <c r="AQ43" s="3149"/>
      <c r="AR43" s="3149">
        <f t="shared" si="161"/>
        <v>101.96961387555227</v>
      </c>
    </row>
    <row r="44" spans="1:44" s="2042" customFormat="1" ht="13.2">
      <c r="A44" s="2901" t="s">
        <v>3361</v>
      </c>
      <c r="B44" s="2028">
        <v>2023</v>
      </c>
      <c r="C44" s="2039">
        <v>1</v>
      </c>
      <c r="D44" s="2004"/>
      <c r="E44" s="2004">
        <v>0.55000000000000004</v>
      </c>
      <c r="F44" s="2004">
        <v>0.59</v>
      </c>
      <c r="G44" s="2004">
        <v>0.64</v>
      </c>
      <c r="H44" s="2913"/>
      <c r="I44" s="2005">
        <f t="shared" si="174"/>
        <v>0.59</v>
      </c>
      <c r="J44" s="2902"/>
      <c r="K44" s="2040"/>
      <c r="L44" s="2025">
        <f t="shared" si="184"/>
        <v>5.5000000000000005E-3</v>
      </c>
      <c r="M44" s="2025">
        <f t="shared" si="185"/>
        <v>5.8999999999999999E-3</v>
      </c>
      <c r="N44" s="2025">
        <f t="shared" si="186"/>
        <v>6.4000000000000003E-3</v>
      </c>
      <c r="O44" s="2025"/>
      <c r="P44" s="2025">
        <f t="shared" si="187"/>
        <v>5.8999999999999999E-3</v>
      </c>
      <c r="Q44" s="2902"/>
      <c r="R44" s="2024"/>
      <c r="S44" s="2024">
        <f>ROUND(IF(项目基本情况!$B$8="出让",SUMPRODUCT(PRODUCT(1+L44:L$52)),SUMPRODUCT(PRODUCT(1+L44:L$51))),4)</f>
        <v>1.0344</v>
      </c>
      <c r="T44" s="2024">
        <f>ROUND(IF(项目基本情况!$B$8="出让",SUMPRODUCT(PRODUCT(1+M44:M$52)),SUMPRODUCT(PRODUCT(1+M44:M$51))),4)</f>
        <v>1.0224</v>
      </c>
      <c r="U44" s="2024">
        <f>ROUND(IF(项目基本情况!$B$8="出让",SUMPRODUCT(PRODUCT(1+N44:N$52)),SUMPRODUCT(PRODUCT(1+N44:N$51))),4)</f>
        <v>1.0573999999999999</v>
      </c>
      <c r="V44" s="2024"/>
      <c r="W44" s="2024">
        <f t="shared" si="188"/>
        <v>1.0224</v>
      </c>
      <c r="X44" s="2902"/>
      <c r="Y44" s="2025"/>
      <c r="Z44" s="2898"/>
      <c r="AA44" s="2899"/>
      <c r="AB44" s="2025"/>
      <c r="AC44" s="2900"/>
      <c r="AD44" s="2025"/>
      <c r="AG44" s="3149">
        <f t="shared" si="129"/>
        <v>103.44</v>
      </c>
      <c r="AH44" s="3149">
        <f t="shared" si="130"/>
        <v>102.24</v>
      </c>
      <c r="AI44" s="3149">
        <f t="shared" si="131"/>
        <v>105.74</v>
      </c>
      <c r="AJ44" s="3151"/>
      <c r="AK44" s="3149">
        <f t="shared" si="132"/>
        <v>102.24</v>
      </c>
      <c r="AN44" s="3149">
        <f t="shared" si="148"/>
        <v>101.91576184789349</v>
      </c>
      <c r="AO44" s="3149">
        <f t="shared" si="159"/>
        <v>101.5128062474388</v>
      </c>
      <c r="AP44" s="3149">
        <f t="shared" si="160"/>
        <v>102.30821078960358</v>
      </c>
      <c r="AQ44" s="3149"/>
      <c r="AR44" s="3149">
        <f t="shared" si="161"/>
        <v>101.5128062474388</v>
      </c>
    </row>
    <row r="45" spans="1:44" s="2042" customFormat="1" ht="13.2">
      <c r="A45" s="2901" t="s">
        <v>3360</v>
      </c>
      <c r="B45" s="2028">
        <v>2022</v>
      </c>
      <c r="C45" s="2039">
        <v>4</v>
      </c>
      <c r="D45" s="2004"/>
      <c r="E45" s="2004">
        <v>0.45</v>
      </c>
      <c r="F45" s="2004">
        <v>0.2</v>
      </c>
      <c r="G45" s="2004">
        <v>0.38</v>
      </c>
      <c r="H45" s="2913"/>
      <c r="I45" s="2005">
        <f t="shared" si="174"/>
        <v>0.2</v>
      </c>
      <c r="J45" s="2902"/>
      <c r="K45" s="2040"/>
      <c r="L45" s="2025">
        <f t="shared" si="175"/>
        <v>4.5000000000000005E-3</v>
      </c>
      <c r="M45" s="2025">
        <f t="shared" si="175"/>
        <v>2E-3</v>
      </c>
      <c r="N45" s="2025">
        <f t="shared" si="175"/>
        <v>3.8E-3</v>
      </c>
      <c r="O45" s="2025"/>
      <c r="P45" s="2025">
        <f t="shared" ref="P45:P52" si="189">M45</f>
        <v>2E-3</v>
      </c>
      <c r="Q45" s="2902"/>
      <c r="R45" s="2024"/>
      <c r="S45" s="2024">
        <f>ROUND(IF(项目基本情况!$B$8="出让",SUMPRODUCT(PRODUCT(1+L45:L$52)),SUMPRODUCT(PRODUCT(1+L45:L$51))),4)</f>
        <v>1.0286999999999999</v>
      </c>
      <c r="T45" s="2024">
        <f>ROUND(IF(项目基本情况!$B$8="出让",SUMPRODUCT(PRODUCT(1+M45:M$52)),SUMPRODUCT(PRODUCT(1+M45:M$51))),4)</f>
        <v>1.0164</v>
      </c>
      <c r="U45" s="2024">
        <f>ROUND(IF(项目基本情况!$B$8="出让",SUMPRODUCT(PRODUCT(1+N45:N$52)),SUMPRODUCT(PRODUCT(1+N45:N$51))),4)</f>
        <v>1.0506</v>
      </c>
      <c r="V45" s="2024"/>
      <c r="W45" s="2024">
        <f t="shared" ref="W45:W52" si="190">T45</f>
        <v>1.0164</v>
      </c>
      <c r="X45" s="2902"/>
      <c r="Y45" s="2025"/>
      <c r="Z45" s="2898">
        <f t="shared" ref="Z45:AD52" si="191">IF(E45=0,0,ROUND(AVERAGE(E45:E53)/100,4))</f>
        <v>4.0000000000000001E-3</v>
      </c>
      <c r="AA45" s="2899">
        <f t="shared" si="191"/>
        <v>2.5999999999999999E-3</v>
      </c>
      <c r="AB45" s="2025">
        <f t="shared" si="191"/>
        <v>7.4000000000000003E-3</v>
      </c>
      <c r="AC45" s="2900"/>
      <c r="AD45" s="2025">
        <f t="shared" si="191"/>
        <v>2.5999999999999999E-3</v>
      </c>
      <c r="AG45" s="3149">
        <f t="shared" si="129"/>
        <v>102.86999999999999</v>
      </c>
      <c r="AH45" s="3149">
        <f t="shared" si="130"/>
        <v>101.64</v>
      </c>
      <c r="AI45" s="3149">
        <f t="shared" si="131"/>
        <v>105.06</v>
      </c>
      <c r="AJ45" s="3151"/>
      <c r="AK45" s="3149">
        <f t="shared" si="132"/>
        <v>101.64</v>
      </c>
      <c r="AN45" s="3149">
        <f t="shared" si="148"/>
        <v>101.35829124604027</v>
      </c>
      <c r="AO45" s="3149">
        <f t="shared" si="159"/>
        <v>100.91739362505101</v>
      </c>
      <c r="AP45" s="3149">
        <f t="shared" si="160"/>
        <v>101.6576021359336</v>
      </c>
      <c r="AQ45" s="3149"/>
      <c r="AR45" s="3149">
        <f t="shared" si="161"/>
        <v>100.91739362505101</v>
      </c>
    </row>
    <row r="46" spans="1:44" s="2042" customFormat="1" ht="13.2">
      <c r="A46" s="2901" t="s">
        <v>3359</v>
      </c>
      <c r="B46" s="2028">
        <v>2022</v>
      </c>
      <c r="C46" s="2039">
        <v>3</v>
      </c>
      <c r="D46" s="2004"/>
      <c r="E46" s="2004">
        <v>0.3</v>
      </c>
      <c r="F46" s="2004">
        <v>0.28999999999999998</v>
      </c>
      <c r="G46" s="2004">
        <v>0.83</v>
      </c>
      <c r="H46" s="2913"/>
      <c r="I46" s="2005">
        <f t="shared" si="174"/>
        <v>0.28999999999999998</v>
      </c>
      <c r="J46" s="2902"/>
      <c r="K46" s="2040"/>
      <c r="L46" s="2025">
        <f t="shared" si="175"/>
        <v>3.0000000000000001E-3</v>
      </c>
      <c r="M46" s="2025">
        <f t="shared" si="175"/>
        <v>2.8999999999999998E-3</v>
      </c>
      <c r="N46" s="2025">
        <f t="shared" si="175"/>
        <v>8.3000000000000001E-3</v>
      </c>
      <c r="O46" s="2025"/>
      <c r="P46" s="2025">
        <f t="shared" si="189"/>
        <v>2.8999999999999998E-3</v>
      </c>
      <c r="Q46" s="2902"/>
      <c r="R46" s="2024"/>
      <c r="S46" s="2024">
        <f>ROUND(IF(项目基本情况!$B$8="出让",SUMPRODUCT(PRODUCT(1+L46:L$52)),SUMPRODUCT(PRODUCT(1+L46:L$51))),4)</f>
        <v>1.0241</v>
      </c>
      <c r="T46" s="2024">
        <f>ROUND(IF(项目基本情况!$B$8="出让",SUMPRODUCT(PRODUCT(1+M46:M$52)),SUMPRODUCT(PRODUCT(1+M46:M$51))),4)</f>
        <v>1.0144</v>
      </c>
      <c r="U46" s="2024">
        <f>ROUND(IF(项目基本情况!$B$8="出让",SUMPRODUCT(PRODUCT(1+N46:N$52)),SUMPRODUCT(PRODUCT(1+N46:N$51))),4)</f>
        <v>1.0467</v>
      </c>
      <c r="V46" s="2024"/>
      <c r="W46" s="2024">
        <f t="shared" si="190"/>
        <v>1.0144</v>
      </c>
      <c r="X46" s="2902"/>
      <c r="Y46" s="2025"/>
      <c r="Z46" s="2898">
        <f t="shared" si="191"/>
        <v>3.8999999999999998E-3</v>
      </c>
      <c r="AA46" s="2899">
        <f t="shared" si="191"/>
        <v>2.7000000000000001E-3</v>
      </c>
      <c r="AB46" s="2025">
        <f t="shared" si="191"/>
        <v>7.9000000000000008E-3</v>
      </c>
      <c r="AC46" s="2900"/>
      <c r="AD46" s="2025">
        <f t="shared" si="191"/>
        <v>2.7000000000000001E-3</v>
      </c>
      <c r="AG46" s="3149">
        <f t="shared" si="129"/>
        <v>102.41</v>
      </c>
      <c r="AH46" s="3149">
        <f t="shared" si="130"/>
        <v>101.44</v>
      </c>
      <c r="AI46" s="3149">
        <f t="shared" si="131"/>
        <v>104.67</v>
      </c>
      <c r="AJ46" s="3151"/>
      <c r="AK46" s="3149">
        <f t="shared" si="132"/>
        <v>101.44</v>
      </c>
      <c r="AN46" s="3149">
        <f t="shared" si="148"/>
        <v>100.90422224593357</v>
      </c>
      <c r="AO46" s="3149">
        <f t="shared" si="159"/>
        <v>100.71596170164771</v>
      </c>
      <c r="AP46" s="3149">
        <f t="shared" si="160"/>
        <v>101.2727656265527</v>
      </c>
      <c r="AQ46" s="3149"/>
      <c r="AR46" s="3149">
        <f t="shared" si="161"/>
        <v>100.71596170164771</v>
      </c>
    </row>
    <row r="47" spans="1:44" s="2042" customFormat="1" ht="13.2">
      <c r="A47" s="2901" t="s">
        <v>3349</v>
      </c>
      <c r="B47" s="2028">
        <v>2022</v>
      </c>
      <c r="C47" s="2039">
        <v>2</v>
      </c>
      <c r="D47" s="2004"/>
      <c r="E47" s="2004">
        <v>-0.11</v>
      </c>
      <c r="F47" s="2004">
        <v>-0.13</v>
      </c>
      <c r="G47" s="2004">
        <v>0.53</v>
      </c>
      <c r="H47" s="2913"/>
      <c r="I47" s="2005">
        <f t="shared" si="174"/>
        <v>-0.13</v>
      </c>
      <c r="J47" s="2902"/>
      <c r="K47" s="2040"/>
      <c r="L47" s="2025">
        <f t="shared" si="175"/>
        <v>-1.1000000000000001E-3</v>
      </c>
      <c r="M47" s="2025">
        <f t="shared" si="175"/>
        <v>-1.2999999999999999E-3</v>
      </c>
      <c r="N47" s="2025">
        <f t="shared" si="175"/>
        <v>5.3E-3</v>
      </c>
      <c r="O47" s="2025"/>
      <c r="P47" s="2025">
        <f t="shared" si="189"/>
        <v>-1.2999999999999999E-3</v>
      </c>
      <c r="Q47" s="2902"/>
      <c r="R47" s="2024"/>
      <c r="S47" s="2024">
        <f>ROUND(IF(项目基本情况!$B$8="出让",SUMPRODUCT(PRODUCT(1+L47:L$52)),SUMPRODUCT(PRODUCT(1+L47:L$51))),4)</f>
        <v>1.0210999999999999</v>
      </c>
      <c r="T47" s="2024">
        <f>ROUND(IF(项目基本情况!$B$8="出让",SUMPRODUCT(PRODUCT(1+M47:M$52)),SUMPRODUCT(PRODUCT(1+M47:M$51))),4)</f>
        <v>1.0114000000000001</v>
      </c>
      <c r="U47" s="2024">
        <f>ROUND(IF(项目基本情况!$B$8="出让",SUMPRODUCT(PRODUCT(1+N47:N$52)),SUMPRODUCT(PRODUCT(1+N47:N$51))),4)</f>
        <v>1.0381</v>
      </c>
      <c r="V47" s="2024"/>
      <c r="W47" s="2024">
        <f t="shared" si="190"/>
        <v>1.0114000000000001</v>
      </c>
      <c r="X47" s="2902"/>
      <c r="Y47" s="2025"/>
      <c r="Z47" s="2898">
        <f t="shared" si="191"/>
        <v>4.1000000000000003E-3</v>
      </c>
      <c r="AA47" s="2899">
        <f t="shared" si="191"/>
        <v>2.7000000000000001E-3</v>
      </c>
      <c r="AB47" s="2025">
        <f t="shared" si="191"/>
        <v>7.9000000000000008E-3</v>
      </c>
      <c r="AC47" s="2900"/>
      <c r="AD47" s="2025">
        <f t="shared" si="191"/>
        <v>2.7000000000000001E-3</v>
      </c>
      <c r="AG47" s="3149">
        <f t="shared" si="129"/>
        <v>102.10999999999999</v>
      </c>
      <c r="AH47" s="3149">
        <f t="shared" si="130"/>
        <v>101.14000000000001</v>
      </c>
      <c r="AI47" s="3149">
        <f t="shared" si="131"/>
        <v>103.81</v>
      </c>
      <c r="AJ47" s="3151"/>
      <c r="AK47" s="3149">
        <f t="shared" si="132"/>
        <v>101.14000000000001</v>
      </c>
      <c r="AN47" s="3149">
        <f t="shared" si="148"/>
        <v>100.60241500093079</v>
      </c>
      <c r="AO47" s="3149">
        <f t="shared" si="159"/>
        <v>100.42472998469212</v>
      </c>
      <c r="AP47" s="3149">
        <f t="shared" si="160"/>
        <v>100.43912092289268</v>
      </c>
      <c r="AQ47" s="3149"/>
      <c r="AR47" s="3149">
        <f t="shared" si="161"/>
        <v>100.42472998469212</v>
      </c>
    </row>
    <row r="48" spans="1:44" s="2042" customFormat="1" ht="13.2">
      <c r="A48" s="2901" t="s">
        <v>2830</v>
      </c>
      <c r="B48" s="2028">
        <v>2022</v>
      </c>
      <c r="C48" s="2039">
        <v>1</v>
      </c>
      <c r="D48" s="2004"/>
      <c r="E48" s="2004">
        <v>0.6</v>
      </c>
      <c r="F48" s="2004">
        <v>0.45</v>
      </c>
      <c r="G48" s="2004">
        <v>0.53</v>
      </c>
      <c r="H48" s="2913"/>
      <c r="I48" s="2005">
        <f t="shared" si="174"/>
        <v>0.45</v>
      </c>
      <c r="J48" s="2902"/>
      <c r="K48" s="2040"/>
      <c r="L48" s="2025">
        <f t="shared" si="175"/>
        <v>6.0000000000000001E-3</v>
      </c>
      <c r="M48" s="2025">
        <f t="shared" si="175"/>
        <v>4.5000000000000005E-3</v>
      </c>
      <c r="N48" s="2025">
        <f t="shared" si="175"/>
        <v>5.3E-3</v>
      </c>
      <c r="O48" s="2025"/>
      <c r="P48" s="2025">
        <f t="shared" si="189"/>
        <v>4.5000000000000005E-3</v>
      </c>
      <c r="Q48" s="2902"/>
      <c r="R48" s="2024"/>
      <c r="S48" s="2024">
        <f>ROUND(IF(项目基本情况!$B$8="出让",SUMPRODUCT(PRODUCT(1+L48:L$52)),SUMPRODUCT(PRODUCT(1+L48:L$51))),4)</f>
        <v>1.0222</v>
      </c>
      <c r="T48" s="2024">
        <f>ROUND(IF(项目基本情况!$B$8="出让",SUMPRODUCT(PRODUCT(1+M48:M$52)),SUMPRODUCT(PRODUCT(1+M48:M$51))),4)</f>
        <v>1.0127999999999999</v>
      </c>
      <c r="U48" s="2024">
        <f>ROUND(IF(项目基本情况!$B$8="出让",SUMPRODUCT(PRODUCT(1+N48:N$52)),SUMPRODUCT(PRODUCT(1+N48:N$51))),4)</f>
        <v>1.0326</v>
      </c>
      <c r="V48" s="2024"/>
      <c r="W48" s="2024">
        <f t="shared" si="190"/>
        <v>1.0127999999999999</v>
      </c>
      <c r="X48" s="2902"/>
      <c r="Y48" s="2025"/>
      <c r="Z48" s="2898">
        <f t="shared" si="191"/>
        <v>5.1000000000000004E-3</v>
      </c>
      <c r="AA48" s="2899">
        <f t="shared" si="191"/>
        <v>3.5000000000000001E-3</v>
      </c>
      <c r="AB48" s="2025">
        <f t="shared" si="191"/>
        <v>8.3999999999999995E-3</v>
      </c>
      <c r="AC48" s="2900"/>
      <c r="AD48" s="2025">
        <f t="shared" si="191"/>
        <v>3.5000000000000001E-3</v>
      </c>
      <c r="AG48" s="3149">
        <f t="shared" si="129"/>
        <v>102.22</v>
      </c>
      <c r="AH48" s="3149">
        <f t="shared" si="130"/>
        <v>101.27999999999999</v>
      </c>
      <c r="AI48" s="3149">
        <f t="shared" si="131"/>
        <v>103.25999999999999</v>
      </c>
      <c r="AJ48" s="3151"/>
      <c r="AK48" s="3149">
        <f t="shared" si="132"/>
        <v>101.27999999999999</v>
      </c>
      <c r="AN48" s="3149">
        <f t="shared" si="148"/>
        <v>100.71319952040324</v>
      </c>
      <c r="AO48" s="3149">
        <f t="shared" si="159"/>
        <v>100.55545207238622</v>
      </c>
      <c r="AP48" s="3149">
        <f t="shared" si="160"/>
        <v>99.90960004266654</v>
      </c>
      <c r="AQ48" s="3149"/>
      <c r="AR48" s="3149">
        <f t="shared" si="161"/>
        <v>100.55545207238622</v>
      </c>
    </row>
    <row r="49" spans="1:44" s="2042" customFormat="1" ht="13.2">
      <c r="A49" s="2901" t="s">
        <v>2831</v>
      </c>
      <c r="B49" s="2028">
        <v>2021</v>
      </c>
      <c r="C49" s="2039">
        <v>4</v>
      </c>
      <c r="D49" s="2004"/>
      <c r="E49" s="2004">
        <v>0.57999999999999996</v>
      </c>
      <c r="F49" s="2004">
        <v>0.08</v>
      </c>
      <c r="G49" s="2004">
        <v>0.68</v>
      </c>
      <c r="H49" s="2913"/>
      <c r="I49" s="2005">
        <f t="shared" si="174"/>
        <v>0.08</v>
      </c>
      <c r="J49" s="2902"/>
      <c r="K49" s="2040"/>
      <c r="L49" s="2025">
        <f t="shared" si="175"/>
        <v>5.7999999999999996E-3</v>
      </c>
      <c r="M49" s="2025">
        <f t="shared" si="175"/>
        <v>8.0000000000000004E-4</v>
      </c>
      <c r="N49" s="2025">
        <f t="shared" si="175"/>
        <v>6.8000000000000005E-3</v>
      </c>
      <c r="O49" s="2025"/>
      <c r="P49" s="2025">
        <f t="shared" si="189"/>
        <v>8.0000000000000004E-4</v>
      </c>
      <c r="Q49" s="2902"/>
      <c r="R49" s="2024"/>
      <c r="S49" s="2024">
        <f>ROUND(IF(项目基本情况!$B$8="出让",SUMPRODUCT(PRODUCT(1+L49:L$52)),SUMPRODUCT(PRODUCT(1+L49:L$51))),4)</f>
        <v>1.0161</v>
      </c>
      <c r="T49" s="2024">
        <f>ROUND(IF(项目基本情况!$B$8="出让",SUMPRODUCT(PRODUCT(1+M49:M$52)),SUMPRODUCT(PRODUCT(1+M49:M$51))),4)</f>
        <v>1.0082</v>
      </c>
      <c r="U49" s="2024">
        <f>ROUND(IF(项目基本情况!$B$8="出让",SUMPRODUCT(PRODUCT(1+N49:N$52)),SUMPRODUCT(PRODUCT(1+N49:N$51))),4)</f>
        <v>1.0270999999999999</v>
      </c>
      <c r="V49" s="2024"/>
      <c r="W49" s="2024">
        <f t="shared" si="190"/>
        <v>1.0082</v>
      </c>
      <c r="X49" s="2902"/>
      <c r="Y49" s="2025"/>
      <c r="Z49" s="2898">
        <f t="shared" si="191"/>
        <v>4.8999999999999998E-3</v>
      </c>
      <c r="AA49" s="2899">
        <f t="shared" si="191"/>
        <v>3.3E-3</v>
      </c>
      <c r="AB49" s="2025">
        <f t="shared" si="191"/>
        <v>9.1999999999999998E-3</v>
      </c>
      <c r="AC49" s="2900"/>
      <c r="AD49" s="2025">
        <f t="shared" si="191"/>
        <v>3.3E-3</v>
      </c>
      <c r="AG49" s="3149">
        <f t="shared" si="129"/>
        <v>101.61</v>
      </c>
      <c r="AH49" s="3149">
        <f t="shared" si="130"/>
        <v>100.82</v>
      </c>
      <c r="AI49" s="3149">
        <f t="shared" si="131"/>
        <v>102.71</v>
      </c>
      <c r="AJ49" s="3151"/>
      <c r="AK49" s="3149">
        <f t="shared" si="132"/>
        <v>100.82</v>
      </c>
      <c r="AN49" s="3149">
        <f t="shared" si="148"/>
        <v>100.11252437415828</v>
      </c>
      <c r="AO49" s="3149">
        <f t="shared" si="159"/>
        <v>100.10497966389867</v>
      </c>
      <c r="AP49" s="3149">
        <f t="shared" si="160"/>
        <v>99.382870827281934</v>
      </c>
      <c r="AQ49" s="3149"/>
      <c r="AR49" s="3149">
        <f t="shared" si="161"/>
        <v>100.10497966389867</v>
      </c>
    </row>
    <row r="50" spans="1:44" s="2042" customFormat="1" ht="13.2">
      <c r="A50" s="2901" t="s">
        <v>2832</v>
      </c>
      <c r="B50" s="2028">
        <v>2021</v>
      </c>
      <c r="C50" s="2039">
        <v>3</v>
      </c>
      <c r="D50" s="2004"/>
      <c r="E50" s="2004">
        <v>0.47</v>
      </c>
      <c r="F50" s="2004">
        <v>0.28000000000000003</v>
      </c>
      <c r="G50" s="2004">
        <v>0.91</v>
      </c>
      <c r="H50" s="2913"/>
      <c r="I50" s="2005">
        <f t="shared" si="174"/>
        <v>0.28000000000000003</v>
      </c>
      <c r="J50" s="2902"/>
      <c r="K50" s="2040"/>
      <c r="L50" s="2025">
        <f t="shared" si="175"/>
        <v>4.6999999999999993E-3</v>
      </c>
      <c r="M50" s="2025">
        <f t="shared" si="175"/>
        <v>2.8000000000000004E-3</v>
      </c>
      <c r="N50" s="2025">
        <f t="shared" si="175"/>
        <v>9.1000000000000004E-3</v>
      </c>
      <c r="O50" s="2025"/>
      <c r="P50" s="2025">
        <f t="shared" si="189"/>
        <v>2.8000000000000004E-3</v>
      </c>
      <c r="Q50" s="2902"/>
      <c r="R50" s="2024"/>
      <c r="S50" s="2024">
        <f>ROUND(IF(项目基本情况!$B$8="出让",SUMPRODUCT(PRODUCT(1+L50:L$52)),SUMPRODUCT(PRODUCT(1+L50:L$51))),4)</f>
        <v>1.0102</v>
      </c>
      <c r="T50" s="2024">
        <f>ROUND(IF(项目基本情况!$B$8="出让",SUMPRODUCT(PRODUCT(1+M50:M$52)),SUMPRODUCT(PRODUCT(1+M50:M$51))),4)</f>
        <v>1.0074000000000001</v>
      </c>
      <c r="U50" s="2024">
        <f>ROUND(IF(项目基本情况!$B$8="出让",SUMPRODUCT(PRODUCT(1+N50:N$52)),SUMPRODUCT(PRODUCT(1+N50:N$51))),4)</f>
        <v>1.0202</v>
      </c>
      <c r="V50" s="2024"/>
      <c r="W50" s="2024">
        <f t="shared" si="190"/>
        <v>1.0074000000000001</v>
      </c>
      <c r="X50" s="2902"/>
      <c r="Y50" s="2025"/>
      <c r="Z50" s="2898">
        <f t="shared" si="191"/>
        <v>4.5999999999999999E-3</v>
      </c>
      <c r="AA50" s="2899">
        <f t="shared" si="191"/>
        <v>4.1000000000000003E-3</v>
      </c>
      <c r="AB50" s="2025">
        <f t="shared" si="191"/>
        <v>0.01</v>
      </c>
      <c r="AC50" s="2900"/>
      <c r="AD50" s="2025">
        <f t="shared" si="191"/>
        <v>4.1000000000000003E-3</v>
      </c>
      <c r="AG50" s="3149">
        <f t="shared" si="129"/>
        <v>101.02</v>
      </c>
      <c r="AH50" s="3149">
        <f t="shared" si="130"/>
        <v>100.74000000000001</v>
      </c>
      <c r="AI50" s="3149">
        <f t="shared" si="131"/>
        <v>102.02</v>
      </c>
      <c r="AJ50" s="3151"/>
      <c r="AK50" s="3149">
        <f t="shared" si="132"/>
        <v>100.74000000000001</v>
      </c>
      <c r="AN50" s="3149">
        <f t="shared" si="148"/>
        <v>99.535220097592244</v>
      </c>
      <c r="AO50" s="3149">
        <f t="shared" si="159"/>
        <v>100.02495969614176</v>
      </c>
      <c r="AP50" s="3149">
        <f t="shared" si="160"/>
        <v>98.711631731507694</v>
      </c>
      <c r="AQ50" s="3149"/>
      <c r="AR50" s="3149">
        <f t="shared" si="161"/>
        <v>100.02495969614176</v>
      </c>
    </row>
    <row r="51" spans="1:44" s="2042" customFormat="1" ht="13.2">
      <c r="A51" s="2901" t="s">
        <v>2833</v>
      </c>
      <c r="B51" s="2028">
        <v>2021</v>
      </c>
      <c r="C51" s="2039">
        <v>2</v>
      </c>
      <c r="D51" s="2004"/>
      <c r="E51" s="2004">
        <v>0.55000000000000004</v>
      </c>
      <c r="F51" s="2004">
        <v>0.46</v>
      </c>
      <c r="G51" s="2004">
        <v>1.1000000000000001</v>
      </c>
      <c r="H51" s="2913"/>
      <c r="I51" s="2005">
        <f t="shared" si="174"/>
        <v>0.46</v>
      </c>
      <c r="J51" s="2902"/>
      <c r="K51" s="2040"/>
      <c r="L51" s="2025">
        <f t="shared" si="175"/>
        <v>5.5000000000000005E-3</v>
      </c>
      <c r="M51" s="2025">
        <f t="shared" si="175"/>
        <v>4.5999999999999999E-3</v>
      </c>
      <c r="N51" s="2025">
        <f t="shared" si="175"/>
        <v>1.1000000000000001E-2</v>
      </c>
      <c r="O51" s="2025"/>
      <c r="P51" s="2025">
        <f t="shared" si="189"/>
        <v>4.5999999999999999E-3</v>
      </c>
      <c r="Q51" s="2902"/>
      <c r="R51" s="2024"/>
      <c r="S51" s="2024">
        <f>ROUND(IF(项目基本情况!$B$8="出让",SUMPRODUCT(PRODUCT(1+L51:L$52)),SUMPRODUCT(PRODUCT(1+L51:L$51))),4)</f>
        <v>1.0055000000000001</v>
      </c>
      <c r="T51" s="2024">
        <f>ROUND(IF(项目基本情况!$B$8="出让",SUMPRODUCT(PRODUCT(1+M51:M$52)),SUMPRODUCT(PRODUCT(1+M51:M$51))),4)</f>
        <v>1.0045999999999999</v>
      </c>
      <c r="U51" s="2024">
        <f>ROUND(IF(项目基本情况!$B$8="出让",SUMPRODUCT(PRODUCT(1+N51:N$52)),SUMPRODUCT(PRODUCT(1+N51:N$51))),4)</f>
        <v>1.0109999999999999</v>
      </c>
      <c r="V51" s="2024"/>
      <c r="W51" s="2024">
        <f t="shared" si="190"/>
        <v>1.0045999999999999</v>
      </c>
      <c r="X51" s="2902"/>
      <c r="Y51" s="2025"/>
      <c r="Z51" s="2898">
        <f t="shared" si="191"/>
        <v>4.4999999999999997E-3</v>
      </c>
      <c r="AA51" s="2899">
        <f t="shared" si="191"/>
        <v>4.7000000000000002E-3</v>
      </c>
      <c r="AB51" s="2025">
        <f t="shared" si="191"/>
        <v>1.04E-2</v>
      </c>
      <c r="AC51" s="2900"/>
      <c r="AD51" s="2025">
        <f t="shared" si="191"/>
        <v>4.7000000000000002E-3</v>
      </c>
      <c r="AG51" s="3149">
        <f>$AG$52*S51</f>
        <v>100.55000000000001</v>
      </c>
      <c r="AH51" s="3149">
        <f t="shared" ref="AH51:AK51" si="192">$AG$52*T51</f>
        <v>100.46</v>
      </c>
      <c r="AI51" s="3149">
        <f t="shared" si="192"/>
        <v>101.1</v>
      </c>
      <c r="AJ51" s="3151"/>
      <c r="AK51" s="3149">
        <f t="shared" si="192"/>
        <v>100.46</v>
      </c>
      <c r="AN51" s="3149">
        <f t="shared" si="148"/>
        <v>99.069593010443171</v>
      </c>
      <c r="AO51" s="3149">
        <f t="shared" si="159"/>
        <v>99.745671815059609</v>
      </c>
      <c r="AP51" s="3149">
        <f t="shared" si="160"/>
        <v>97.821456477561867</v>
      </c>
      <c r="AQ51" s="3149"/>
      <c r="AR51" s="3149">
        <f t="shared" si="161"/>
        <v>99.745671815059609</v>
      </c>
    </row>
    <row r="52" spans="1:44" s="2924" customFormat="1" ht="15" thickBot="1">
      <c r="A52" s="2914" t="s">
        <v>2819</v>
      </c>
      <c r="B52" s="2915">
        <v>2021</v>
      </c>
      <c r="C52" s="2916">
        <v>1</v>
      </c>
      <c r="D52" s="2917"/>
      <c r="E52" s="2917">
        <v>0.35</v>
      </c>
      <c r="F52" s="2917">
        <v>0.48</v>
      </c>
      <c r="G52" s="2917">
        <v>0.98</v>
      </c>
      <c r="H52" s="2918"/>
      <c r="I52" s="2919">
        <f t="shared" si="174"/>
        <v>0.48</v>
      </c>
      <c r="J52" s="2920"/>
      <c r="K52" s="2921"/>
      <c r="L52" s="2922">
        <f t="shared" si="175"/>
        <v>3.4999999999999996E-3</v>
      </c>
      <c r="M52" s="2922">
        <f>F52/100</f>
        <v>4.7999999999999996E-3</v>
      </c>
      <c r="N52" s="2922">
        <f t="shared" si="175"/>
        <v>9.7999999999999997E-3</v>
      </c>
      <c r="O52" s="2922"/>
      <c r="P52" s="2922">
        <f t="shared" si="189"/>
        <v>4.7999999999999996E-3</v>
      </c>
      <c r="Q52" s="2920"/>
      <c r="R52" s="2923"/>
      <c r="S52" s="2923">
        <v>1</v>
      </c>
      <c r="T52" s="2923">
        <v>1</v>
      </c>
      <c r="U52" s="2923">
        <v>1</v>
      </c>
      <c r="V52" s="2923"/>
      <c r="W52" s="2923">
        <f t="shared" si="190"/>
        <v>1</v>
      </c>
      <c r="X52" s="2920"/>
      <c r="Y52" s="2922"/>
      <c r="Z52" s="2930">
        <f t="shared" si="191"/>
        <v>3.5000000000000001E-3</v>
      </c>
      <c r="AA52" s="2931">
        <f t="shared" si="191"/>
        <v>4.7999999999999996E-3</v>
      </c>
      <c r="AB52" s="2922">
        <f t="shared" si="191"/>
        <v>9.7999999999999997E-3</v>
      </c>
      <c r="AC52" s="2932"/>
      <c r="AD52" s="2922">
        <f t="shared" si="191"/>
        <v>4.7999999999999996E-3</v>
      </c>
      <c r="AG52" s="3153">
        <v>100</v>
      </c>
      <c r="AH52" s="3153">
        <v>100</v>
      </c>
      <c r="AI52" s="3153">
        <v>100</v>
      </c>
      <c r="AJ52" s="3153"/>
      <c r="AK52" s="3153">
        <v>100</v>
      </c>
      <c r="AN52" s="3156">
        <f t="shared" si="148"/>
        <v>98.527690711529758</v>
      </c>
      <c r="AO52" s="3156">
        <f t="shared" si="159"/>
        <v>99.288942678737428</v>
      </c>
      <c r="AP52" s="3156">
        <f t="shared" si="160"/>
        <v>96.757128068805017</v>
      </c>
      <c r="AQ52" s="3156"/>
      <c r="AR52" s="3156">
        <f t="shared" si="161"/>
        <v>99.288942678737428</v>
      </c>
    </row>
    <row r="53" spans="1:44" ht="15" thickTop="1"/>
    <row r="54" spans="1:44">
      <c r="A54" s="3139" t="s">
        <v>3374</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509" t="s">
        <v>452</v>
      </c>
      <c r="C1" s="3509"/>
      <c r="D1" s="3509"/>
      <c r="E1" s="3509"/>
      <c r="F1" s="3509"/>
      <c r="G1" s="3505" t="s">
        <v>453</v>
      </c>
      <c r="H1" s="3505"/>
      <c r="I1" s="3505"/>
      <c r="J1" s="3505"/>
      <c r="K1" s="3505"/>
      <c r="L1" s="3505"/>
      <c r="N1" s="3505" t="s">
        <v>454</v>
      </c>
      <c r="O1" s="3505"/>
      <c r="P1" s="3505"/>
      <c r="Q1" s="3505"/>
      <c r="S1" s="3505" t="s">
        <v>455</v>
      </c>
      <c r="T1" s="3505"/>
      <c r="U1" s="3505"/>
      <c r="V1" s="3505"/>
      <c r="X1" s="3504" t="s">
        <v>456</v>
      </c>
      <c r="Y1" s="3505"/>
      <c r="Z1" s="3505"/>
      <c r="AA1" s="3505"/>
      <c r="AB1" s="3505"/>
      <c r="AD1" s="3504" t="s">
        <v>457</v>
      </c>
      <c r="AE1" s="3505"/>
      <c r="AF1" s="3505"/>
      <c r="AG1" s="3505"/>
      <c r="AH1" s="3505"/>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2109</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3357</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3354</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2110</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3355</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3356</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2431</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2308</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2307</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2306</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2303</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2302</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2125</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2123</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2122</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2121</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2119</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2118</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2120</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07">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2116</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07"/>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2115</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07"/>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2108</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14"/>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2106</v>
      </c>
      <c r="B25" s="2046">
        <v>439</v>
      </c>
      <c r="C25" s="2046">
        <v>327</v>
      </c>
      <c r="D25" s="2046">
        <f>C25</f>
        <v>327</v>
      </c>
      <c r="E25" s="2046">
        <v>627</v>
      </c>
      <c r="F25" s="2047">
        <v>283</v>
      </c>
      <c r="G25" s="3510">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2107</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07"/>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07"/>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14"/>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10">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07"/>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07"/>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08"/>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506">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07"/>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07"/>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08"/>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506">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07"/>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07"/>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08"/>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511">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12"/>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12"/>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13"/>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506">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07"/>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07"/>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508"/>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506">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07">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07">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08">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506">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07">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07">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08">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506">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07">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07">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08">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506">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07">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07">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08">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506">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07">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07">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08">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506">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07">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07">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08">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506">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07">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07">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08">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506">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07">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07">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08">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506">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07">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07">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508">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506">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07">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07">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508">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78" customWidth="1"/>
    <col min="2" max="2" width="18.6640625" style="2778" customWidth="1"/>
    <col min="3" max="6" width="10.21875" style="2778" customWidth="1"/>
    <col min="7" max="7" width="10.44140625" style="2778" bestFit="1" customWidth="1"/>
    <col min="8" max="8" width="8.88671875" style="2777"/>
    <col min="9" max="9" width="13.33203125" style="2777" customWidth="1"/>
    <col min="10" max="13" width="13.33203125" style="2778" customWidth="1"/>
    <col min="14" max="14" width="18.21875" style="2778" customWidth="1"/>
    <col min="15" max="17" width="15.109375" style="2778" customWidth="1"/>
    <col min="18" max="20" width="11.44140625" style="2778" customWidth="1"/>
    <col min="21" max="16384" width="8.88671875" style="2778"/>
  </cols>
  <sheetData>
    <row r="1" spans="1:20" ht="11.4" thickBot="1">
      <c r="A1" s="3517" t="s">
        <v>2834</v>
      </c>
      <c r="B1" s="3517"/>
      <c r="C1" s="3517"/>
      <c r="D1" s="3517"/>
      <c r="E1" s="3517"/>
      <c r="F1" s="3517"/>
      <c r="G1" s="3518"/>
      <c r="I1" s="2934" t="s">
        <v>2835</v>
      </c>
      <c r="J1" s="2935" t="s">
        <v>2836</v>
      </c>
      <c r="K1" s="2935" t="s">
        <v>2837</v>
      </c>
      <c r="L1" s="2935" t="s">
        <v>2838</v>
      </c>
      <c r="M1" s="2935" t="s">
        <v>2839</v>
      </c>
      <c r="N1" s="2935" t="s">
        <v>2840</v>
      </c>
      <c r="O1" s="2935" t="s">
        <v>2841</v>
      </c>
      <c r="P1" s="2935" t="s">
        <v>2842</v>
      </c>
      <c r="Q1" s="2935" t="s">
        <v>2843</v>
      </c>
      <c r="R1" s="2935" t="s">
        <v>2844</v>
      </c>
      <c r="S1" s="2935" t="s">
        <v>2845</v>
      </c>
      <c r="T1" s="2936" t="s">
        <v>2846</v>
      </c>
    </row>
    <row r="2" spans="1:20" ht="11.4" thickBot="1">
      <c r="A2" s="2937" t="s">
        <v>2847</v>
      </c>
      <c r="B2" s="2937"/>
      <c r="C2" s="2937"/>
      <c r="D2" s="2937"/>
      <c r="E2" s="2937"/>
      <c r="F2" s="2937"/>
      <c r="G2" s="2938" t="s">
        <v>2848</v>
      </c>
      <c r="I2" s="2939" t="s">
        <v>2849</v>
      </c>
      <c r="J2" s="2939" t="s">
        <v>2850</v>
      </c>
      <c r="K2" s="2939" t="s">
        <v>2851</v>
      </c>
      <c r="L2" s="2939" t="s">
        <v>2852</v>
      </c>
      <c r="M2" s="2939" t="s">
        <v>2853</v>
      </c>
      <c r="N2" s="2939" t="s">
        <v>2854</v>
      </c>
      <c r="O2" s="2939" t="s">
        <v>2855</v>
      </c>
      <c r="P2" s="2939" t="s">
        <v>2856</v>
      </c>
      <c r="Q2" s="2939" t="s">
        <v>2857</v>
      </c>
      <c r="R2" s="2939" t="s">
        <v>2858</v>
      </c>
      <c r="S2" s="2939" t="s">
        <v>2859</v>
      </c>
      <c r="T2" s="2939" t="s">
        <v>2860</v>
      </c>
    </row>
    <row r="3" spans="1:20" s="2945" customFormat="1">
      <c r="A3" s="3515" t="s">
        <v>2861</v>
      </c>
      <c r="B3" s="2940"/>
      <c r="C3" s="2941" t="s">
        <v>2806</v>
      </c>
      <c r="D3" s="2941" t="s">
        <v>2862</v>
      </c>
      <c r="E3" s="2941" t="s">
        <v>2808</v>
      </c>
      <c r="F3" s="2941" t="s">
        <v>2863</v>
      </c>
      <c r="G3" s="2941" t="s">
        <v>2626</v>
      </c>
      <c r="H3" s="2942"/>
      <c r="I3" s="2943" t="s">
        <v>2864</v>
      </c>
      <c r="J3" s="2944" t="s">
        <v>128</v>
      </c>
      <c r="K3" s="2944" t="s">
        <v>129</v>
      </c>
      <c r="L3" s="2943" t="s">
        <v>130</v>
      </c>
      <c r="M3" s="2943" t="s">
        <v>131</v>
      </c>
      <c r="N3" s="2943" t="s">
        <v>132</v>
      </c>
      <c r="O3" s="2943" t="s">
        <v>133</v>
      </c>
      <c r="P3" s="2943" t="s">
        <v>134</v>
      </c>
      <c r="Q3" s="2943" t="s">
        <v>135</v>
      </c>
      <c r="R3" s="2943" t="s">
        <v>136</v>
      </c>
      <c r="S3" s="2943" t="s">
        <v>2865</v>
      </c>
      <c r="T3" s="2943" t="s">
        <v>2866</v>
      </c>
    </row>
    <row r="4" spans="1:20" s="2945" customFormat="1" ht="11.4" thickBot="1">
      <c r="A4" s="3516"/>
      <c r="B4" s="2946" t="s">
        <v>2867</v>
      </c>
      <c r="C4" s="2946" t="s">
        <v>2868</v>
      </c>
      <c r="D4" s="2946" t="s">
        <v>2868</v>
      </c>
      <c r="E4" s="2946" t="s">
        <v>2868</v>
      </c>
      <c r="F4" s="2947" t="s">
        <v>2868</v>
      </c>
      <c r="G4" s="2947" t="s">
        <v>2868</v>
      </c>
      <c r="H4" s="2942"/>
      <c r="I4" s="2944" t="s">
        <v>137</v>
      </c>
      <c r="J4" s="2944" t="s">
        <v>111</v>
      </c>
      <c r="K4" s="2944" t="s">
        <v>138</v>
      </c>
      <c r="L4" s="2943" t="s">
        <v>139</v>
      </c>
      <c r="M4" s="2943" t="s">
        <v>140</v>
      </c>
      <c r="N4" s="2943" t="s">
        <v>141</v>
      </c>
      <c r="O4" s="2943" t="s">
        <v>142</v>
      </c>
      <c r="P4" s="2943" t="s">
        <v>143</v>
      </c>
      <c r="Q4" s="2943" t="s">
        <v>2869</v>
      </c>
      <c r="R4" s="2943" t="s">
        <v>2870</v>
      </c>
      <c r="S4" s="2943" t="s">
        <v>2871</v>
      </c>
      <c r="T4" s="2943" t="s">
        <v>2872</v>
      </c>
    </row>
    <row r="5" spans="1:20">
      <c r="A5" s="2948" t="s">
        <v>2835</v>
      </c>
      <c r="B5" s="2939" t="s">
        <v>2849</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2873</v>
      </c>
      <c r="R5" s="2943" t="s">
        <v>2874</v>
      </c>
      <c r="S5" s="2943" t="s">
        <v>153</v>
      </c>
      <c r="T5" s="2943" t="s">
        <v>2875</v>
      </c>
    </row>
    <row r="6" spans="1:20" ht="11.4" thickBot="1">
      <c r="A6" s="2943" t="s">
        <v>144</v>
      </c>
      <c r="B6" s="2943" t="s">
        <v>2864</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2876</v>
      </c>
      <c r="Q6" s="2943" t="s">
        <v>2877</v>
      </c>
      <c r="R6" s="2943" t="s">
        <v>161</v>
      </c>
      <c r="S6" s="2943" t="s">
        <v>2878</v>
      </c>
      <c r="T6" s="2943" t="s">
        <v>2879</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2880</v>
      </c>
      <c r="Q7" s="2943" t="s">
        <v>2881</v>
      </c>
      <c r="R7" s="2943" t="s">
        <v>2882</v>
      </c>
      <c r="S7" s="2943" t="s">
        <v>2883</v>
      </c>
      <c r="T7" s="2943" t="s">
        <v>2884</v>
      </c>
    </row>
    <row r="8" spans="1:20" ht="11.4"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2885</v>
      </c>
      <c r="Q8" s="2943" t="s">
        <v>174</v>
      </c>
      <c r="R8" s="2943" t="s">
        <v>2886</v>
      </c>
      <c r="S8" s="2943" t="s">
        <v>2887</v>
      </c>
      <c r="T8" s="2950" t="s">
        <v>2888</v>
      </c>
    </row>
    <row r="9" spans="1:20" ht="11.4"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2889</v>
      </c>
      <c r="Q9" s="2943" t="s">
        <v>182</v>
      </c>
      <c r="R9" s="2943" t="s">
        <v>183</v>
      </c>
      <c r="S9" s="2943" t="s">
        <v>200</v>
      </c>
    </row>
    <row r="10" spans="1:20">
      <c r="A10" s="2948" t="s">
        <v>184</v>
      </c>
      <c r="B10" s="2939" t="s">
        <v>2850</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2890</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2891</v>
      </c>
      <c r="P11" s="2943" t="s">
        <v>191</v>
      </c>
      <c r="Q11" s="2943" t="s">
        <v>199</v>
      </c>
      <c r="R11" s="2943" t="s">
        <v>2892</v>
      </c>
      <c r="S11" s="2943" t="s">
        <v>2893</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2894</v>
      </c>
      <c r="P12" s="2943" t="s">
        <v>2895</v>
      </c>
      <c r="Q12" s="2943" t="s">
        <v>2896</v>
      </c>
      <c r="R12" s="2943" t="s">
        <v>2897</v>
      </c>
      <c r="S12" s="2943" t="s">
        <v>2898</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2899</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2900</v>
      </c>
      <c r="K14" s="2944" t="s">
        <v>215</v>
      </c>
      <c r="L14" s="2943" t="s">
        <v>216</v>
      </c>
      <c r="M14" s="2943" t="s">
        <v>217</v>
      </c>
      <c r="N14" s="2943" t="s">
        <v>218</v>
      </c>
      <c r="O14" s="2943" t="s">
        <v>240</v>
      </c>
      <c r="P14" s="2943" t="s">
        <v>213</v>
      </c>
      <c r="Q14" s="2943" t="s">
        <v>2901</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2902</v>
      </c>
      <c r="P15" s="2943" t="s">
        <v>2903</v>
      </c>
      <c r="Q15" s="2943" t="s">
        <v>242</v>
      </c>
      <c r="R15" s="2943" t="s">
        <v>2904</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2905</v>
      </c>
      <c r="P16" s="2943" t="s">
        <v>227</v>
      </c>
      <c r="Q16" s="2943" t="s">
        <v>250</v>
      </c>
      <c r="R16" s="2943" t="s">
        <v>207</v>
      </c>
      <c r="S16" s="2943" t="s">
        <v>2906</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2907</v>
      </c>
      <c r="P17" s="2943" t="s">
        <v>2908</v>
      </c>
      <c r="Q17" s="2943" t="s">
        <v>256</v>
      </c>
      <c r="R17" s="2943" t="s">
        <v>2909</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2910</v>
      </c>
      <c r="P18" s="2943" t="s">
        <v>241</v>
      </c>
      <c r="Q18" s="2943" t="s">
        <v>2911</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2912</v>
      </c>
      <c r="P19" s="2943" t="s">
        <v>249</v>
      </c>
      <c r="Q19" s="2943" t="s">
        <v>2913</v>
      </c>
      <c r="R19" s="2943" t="s">
        <v>265</v>
      </c>
      <c r="S19" s="2943" t="s">
        <v>2914</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2915</v>
      </c>
      <c r="P20" s="2943" t="s">
        <v>2916</v>
      </c>
      <c r="Q20" s="2943" t="s">
        <v>290</v>
      </c>
      <c r="R20" s="2943" t="s">
        <v>2917</v>
      </c>
      <c r="S20" s="2943" t="s">
        <v>277</v>
      </c>
    </row>
    <row r="21" spans="1:19" ht="14.25" customHeight="1" thickBot="1">
      <c r="A21" s="2943" t="s">
        <v>184</v>
      </c>
      <c r="B21" s="2944" t="s">
        <v>208</v>
      </c>
      <c r="C21" s="2943">
        <v>32370</v>
      </c>
      <c r="D21" s="2943">
        <v>26730</v>
      </c>
      <c r="E21" s="2943">
        <v>26640</v>
      </c>
      <c r="F21" s="2943"/>
      <c r="G21" s="2943">
        <v>19440</v>
      </c>
      <c r="J21" s="2950" t="s">
        <v>2918</v>
      </c>
      <c r="K21" s="2944" t="s">
        <v>267</v>
      </c>
      <c r="L21" s="2943" t="s">
        <v>268</v>
      </c>
      <c r="M21" s="2943" t="s">
        <v>269</v>
      </c>
      <c r="N21" s="2943" t="s">
        <v>270</v>
      </c>
      <c r="O21" s="2943" t="s">
        <v>264</v>
      </c>
      <c r="P21" s="2943" t="s">
        <v>283</v>
      </c>
      <c r="Q21" s="2943" t="s">
        <v>293</v>
      </c>
      <c r="R21" s="2943" t="s">
        <v>2919</v>
      </c>
      <c r="S21" s="2950" t="s">
        <v>2920</v>
      </c>
    </row>
    <row r="22" spans="1:19" ht="14.25" customHeight="1">
      <c r="A22" s="2943" t="s">
        <v>184</v>
      </c>
      <c r="B22" s="2944" t="s">
        <v>2900</v>
      </c>
      <c r="C22" s="2943">
        <v>29830</v>
      </c>
      <c r="D22" s="2943">
        <v>27600</v>
      </c>
      <c r="E22" s="2943">
        <v>28150</v>
      </c>
      <c r="F22" s="2943"/>
      <c r="G22" s="2943">
        <v>20080</v>
      </c>
      <c r="K22" s="2944" t="s">
        <v>2921</v>
      </c>
      <c r="L22" s="2943" t="s">
        <v>272</v>
      </c>
      <c r="M22" s="2943" t="s">
        <v>273</v>
      </c>
      <c r="N22" s="2943" t="s">
        <v>274</v>
      </c>
      <c r="O22" s="2943" t="s">
        <v>2922</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2923</v>
      </c>
      <c r="L23" s="2943" t="s">
        <v>278</v>
      </c>
      <c r="M23" s="2943" t="s">
        <v>279</v>
      </c>
      <c r="N23" s="2943" t="s">
        <v>2924</v>
      </c>
      <c r="O23" s="2943" t="s">
        <v>2925</v>
      </c>
      <c r="P23" s="2943" t="s">
        <v>289</v>
      </c>
      <c r="Q23" s="2943" t="s">
        <v>298</v>
      </c>
      <c r="R23" s="2943" t="s">
        <v>2926</v>
      </c>
    </row>
    <row r="24" spans="1:19" ht="14.25" customHeight="1">
      <c r="A24" s="2943" t="s">
        <v>184</v>
      </c>
      <c r="B24" s="2944" t="s">
        <v>230</v>
      </c>
      <c r="C24" s="2943">
        <v>27930</v>
      </c>
      <c r="D24" s="2943">
        <v>32260</v>
      </c>
      <c r="E24" s="2943">
        <v>32120</v>
      </c>
      <c r="F24" s="2943"/>
      <c r="G24" s="2943">
        <v>23470</v>
      </c>
      <c r="K24" s="2944" t="s">
        <v>2927</v>
      </c>
      <c r="L24" s="2943" t="s">
        <v>281</v>
      </c>
      <c r="M24" s="2943" t="s">
        <v>282</v>
      </c>
      <c r="N24" s="2943" t="s">
        <v>2928</v>
      </c>
      <c r="O24" s="2943" t="s">
        <v>285</v>
      </c>
      <c r="P24" s="2943" t="s">
        <v>2929</v>
      </c>
      <c r="Q24" s="2952" t="s">
        <v>2930</v>
      </c>
      <c r="R24" s="2943" t="s">
        <v>2931</v>
      </c>
    </row>
    <row r="25" spans="1:19" ht="14.25" customHeight="1">
      <c r="A25" s="2943" t="s">
        <v>184</v>
      </c>
      <c r="B25" s="2944" t="s">
        <v>235</v>
      </c>
      <c r="C25" s="2943">
        <v>32230</v>
      </c>
      <c r="D25" s="2943">
        <v>29640</v>
      </c>
      <c r="E25" s="2943">
        <v>29510</v>
      </c>
      <c r="F25" s="2943"/>
      <c r="G25" s="2943">
        <v>21560</v>
      </c>
      <c r="K25" s="2944" t="s">
        <v>2932</v>
      </c>
      <c r="L25" s="2943" t="s">
        <v>2933</v>
      </c>
      <c r="M25" s="2943" t="s">
        <v>284</v>
      </c>
      <c r="N25" s="2943" t="s">
        <v>292</v>
      </c>
      <c r="O25" s="2943" t="s">
        <v>288</v>
      </c>
      <c r="P25" s="2943" t="s">
        <v>275</v>
      </c>
      <c r="Q25" s="2952" t="s">
        <v>271</v>
      </c>
      <c r="R25" s="2943" t="s">
        <v>2934</v>
      </c>
    </row>
    <row r="26" spans="1:19" ht="14.25" customHeight="1" thickBot="1">
      <c r="A26" s="2943" t="s">
        <v>184</v>
      </c>
      <c r="B26" s="2944" t="s">
        <v>244</v>
      </c>
      <c r="C26" s="2943">
        <v>31690</v>
      </c>
      <c r="D26" s="2943">
        <v>27650</v>
      </c>
      <c r="E26" s="2943">
        <v>28200</v>
      </c>
      <c r="F26" s="2943"/>
      <c r="G26" s="2943">
        <v>20110</v>
      </c>
      <c r="K26" s="2949" t="s">
        <v>2935</v>
      </c>
      <c r="L26" s="2943" t="s">
        <v>2936</v>
      </c>
      <c r="M26" s="2943" t="s">
        <v>287</v>
      </c>
      <c r="N26" s="2943" t="s">
        <v>294</v>
      </c>
      <c r="O26" s="2943" t="s">
        <v>2937</v>
      </c>
      <c r="P26" s="2943" t="s">
        <v>2938</v>
      </c>
      <c r="Q26" s="2952" t="s">
        <v>276</v>
      </c>
      <c r="R26" s="2943" t="s">
        <v>2939</v>
      </c>
    </row>
    <row r="27" spans="1:19" ht="14.25" customHeight="1">
      <c r="A27" s="2943" t="s">
        <v>184</v>
      </c>
      <c r="B27" s="2944" t="s">
        <v>251</v>
      </c>
      <c r="C27" s="2943">
        <v>29610</v>
      </c>
      <c r="D27" s="2943">
        <v>27770</v>
      </c>
      <c r="E27" s="2943">
        <v>28300</v>
      </c>
      <c r="F27" s="2943"/>
      <c r="G27" s="2943">
        <v>20210</v>
      </c>
      <c r="L27" s="2943" t="s">
        <v>2940</v>
      </c>
      <c r="M27" s="2943" t="s">
        <v>291</v>
      </c>
      <c r="N27" s="2943" t="s">
        <v>297</v>
      </c>
      <c r="O27" s="2943" t="s">
        <v>2941</v>
      </c>
      <c r="P27" s="2943" t="s">
        <v>2942</v>
      </c>
      <c r="Q27" s="2943" t="s">
        <v>2943</v>
      </c>
      <c r="R27" s="2943" t="s">
        <v>2944</v>
      </c>
    </row>
    <row r="28" spans="1:19" ht="14.25" customHeight="1">
      <c r="A28" s="2943" t="s">
        <v>184</v>
      </c>
      <c r="B28" s="2944" t="s">
        <v>259</v>
      </c>
      <c r="C28" s="2943"/>
      <c r="D28" s="2943">
        <v>31520</v>
      </c>
      <c r="E28" s="2943">
        <v>31410</v>
      </c>
      <c r="F28" s="2943"/>
      <c r="G28" s="2943">
        <v>22940</v>
      </c>
      <c r="L28" s="2943" t="s">
        <v>2945</v>
      </c>
      <c r="M28" s="2943" t="s">
        <v>2946</v>
      </c>
      <c r="N28" s="2943" t="s">
        <v>2947</v>
      </c>
      <c r="O28" s="2943" t="s">
        <v>2948</v>
      </c>
      <c r="P28" s="2943" t="s">
        <v>2949</v>
      </c>
      <c r="Q28" s="2943" t="s">
        <v>2950</v>
      </c>
      <c r="R28" s="2943" t="s">
        <v>2951</v>
      </c>
    </row>
    <row r="29" spans="1:19" ht="14.25" customHeight="1" thickBot="1">
      <c r="A29" s="2951" t="s">
        <v>184</v>
      </c>
      <c r="B29" s="2953" t="s">
        <v>2918</v>
      </c>
      <c r="C29" s="2954"/>
      <c r="D29" s="2954">
        <v>29460</v>
      </c>
      <c r="E29" s="2954">
        <v>28640</v>
      </c>
      <c r="F29" s="2954"/>
      <c r="G29" s="2954">
        <v>21430</v>
      </c>
      <c r="L29" s="2943" t="s">
        <v>2952</v>
      </c>
      <c r="M29" s="2943" t="s">
        <v>2953</v>
      </c>
      <c r="N29" s="2943" t="s">
        <v>2954</v>
      </c>
      <c r="O29" s="2943" t="s">
        <v>2955</v>
      </c>
      <c r="P29" s="2943" t="s">
        <v>2956</v>
      </c>
      <c r="Q29" s="2943" t="s">
        <v>2957</v>
      </c>
      <c r="R29" s="2943" t="s">
        <v>280</v>
      </c>
    </row>
    <row r="30" spans="1:19" ht="14.25" customHeight="1">
      <c r="A30" s="2948" t="s">
        <v>296</v>
      </c>
      <c r="B30" s="2939" t="s">
        <v>2851</v>
      </c>
      <c r="C30" s="2939">
        <v>26890</v>
      </c>
      <c r="D30" s="2939">
        <v>26770</v>
      </c>
      <c r="E30" s="2939">
        <v>25700</v>
      </c>
      <c r="F30" s="2939">
        <v>8180</v>
      </c>
      <c r="G30" s="2955">
        <v>18740</v>
      </c>
      <c r="L30" s="2943" t="s">
        <v>2958</v>
      </c>
      <c r="M30" s="2943" t="s">
        <v>2959</v>
      </c>
      <c r="N30" s="2943" t="s">
        <v>2960</v>
      </c>
      <c r="O30" s="2943" t="s">
        <v>2961</v>
      </c>
      <c r="P30" s="2943" t="s">
        <v>2962</v>
      </c>
      <c r="Q30" s="2943" t="s">
        <v>2963</v>
      </c>
      <c r="R30" s="2943" t="s">
        <v>2964</v>
      </c>
    </row>
    <row r="31" spans="1:19" ht="14.25" customHeight="1">
      <c r="A31" s="2943" t="s">
        <v>296</v>
      </c>
      <c r="B31" s="2944" t="s">
        <v>129</v>
      </c>
      <c r="C31" s="2943">
        <v>24550</v>
      </c>
      <c r="D31" s="2943">
        <v>23990</v>
      </c>
      <c r="E31" s="2943">
        <v>22930</v>
      </c>
      <c r="F31" s="2943">
        <v>7470</v>
      </c>
      <c r="G31" s="2956">
        <v>16790</v>
      </c>
      <c r="L31" s="2943" t="s">
        <v>2965</v>
      </c>
      <c r="M31" s="2943" t="s">
        <v>2966</v>
      </c>
      <c r="N31" s="2943" t="s">
        <v>2967</v>
      </c>
      <c r="O31" s="2943" t="s">
        <v>2968</v>
      </c>
      <c r="P31" s="2943" t="s">
        <v>2969</v>
      </c>
      <c r="Q31" s="2943" t="s">
        <v>2970</v>
      </c>
      <c r="R31" s="2943" t="s">
        <v>2971</v>
      </c>
    </row>
    <row r="32" spans="1:19" ht="14.25" customHeight="1" thickBot="1">
      <c r="A32" s="2943" t="s">
        <v>296</v>
      </c>
      <c r="B32" s="2944" t="s">
        <v>138</v>
      </c>
      <c r="C32" s="2943">
        <v>27210</v>
      </c>
      <c r="D32" s="2943">
        <v>23240</v>
      </c>
      <c r="E32" s="2943">
        <v>23260</v>
      </c>
      <c r="F32" s="2943">
        <v>7130</v>
      </c>
      <c r="G32" s="2956">
        <v>16270</v>
      </c>
      <c r="L32" s="2943" t="s">
        <v>2972</v>
      </c>
      <c r="M32" s="2943" t="s">
        <v>2973</v>
      </c>
      <c r="N32" s="2943" t="s">
        <v>300</v>
      </c>
      <c r="O32" s="2943" t="s">
        <v>2974</v>
      </c>
      <c r="P32" s="2943" t="s">
        <v>299</v>
      </c>
      <c r="Q32" s="2943" t="s">
        <v>2975</v>
      </c>
      <c r="R32" s="2950" t="s">
        <v>2976</v>
      </c>
    </row>
    <row r="33" spans="1:17" ht="14.25" customHeight="1" thickBot="1">
      <c r="A33" s="2943" t="s">
        <v>296</v>
      </c>
      <c r="B33" s="2944" t="s">
        <v>147</v>
      </c>
      <c r="C33" s="2943">
        <v>27300</v>
      </c>
      <c r="D33" s="2943">
        <v>22980</v>
      </c>
      <c r="E33" s="2943">
        <v>24260</v>
      </c>
      <c r="F33" s="2943">
        <v>5860</v>
      </c>
      <c r="G33" s="2956">
        <v>16090</v>
      </c>
      <c r="L33" s="2950" t="s">
        <v>2977</v>
      </c>
      <c r="M33" s="2943" t="s">
        <v>2978</v>
      </c>
      <c r="N33" s="2943" t="s">
        <v>301</v>
      </c>
      <c r="O33" s="2943" t="s">
        <v>2979</v>
      </c>
      <c r="P33" s="2943" t="s">
        <v>2980</v>
      </c>
      <c r="Q33" s="2943" t="s">
        <v>2981</v>
      </c>
    </row>
    <row r="34" spans="1:17" ht="14.25" customHeight="1">
      <c r="A34" s="2943" t="s">
        <v>296</v>
      </c>
      <c r="B34" s="2944" t="s">
        <v>156</v>
      </c>
      <c r="C34" s="2943">
        <v>23090</v>
      </c>
      <c r="D34" s="2943">
        <v>23390</v>
      </c>
      <c r="E34" s="2943">
        <v>23510</v>
      </c>
      <c r="F34" s="2943">
        <v>6700</v>
      </c>
      <c r="G34" s="2956">
        <v>16370</v>
      </c>
      <c r="M34" s="2943" t="s">
        <v>2982</v>
      </c>
      <c r="N34" s="2943" t="s">
        <v>302</v>
      </c>
      <c r="O34" s="2943" t="s">
        <v>2983</v>
      </c>
      <c r="P34" s="2943" t="s">
        <v>2984</v>
      </c>
      <c r="Q34" s="2943" t="s">
        <v>2985</v>
      </c>
    </row>
    <row r="35" spans="1:17" ht="14.25" customHeight="1">
      <c r="A35" s="2943" t="s">
        <v>296</v>
      </c>
      <c r="B35" s="2944" t="s">
        <v>163</v>
      </c>
      <c r="C35" s="2943">
        <v>27270</v>
      </c>
      <c r="D35" s="2943">
        <v>24270</v>
      </c>
      <c r="E35" s="2943">
        <v>24950</v>
      </c>
      <c r="F35" s="2943">
        <v>6600</v>
      </c>
      <c r="G35" s="2956">
        <v>16990</v>
      </c>
      <c r="M35" s="2943" t="s">
        <v>2986</v>
      </c>
      <c r="N35" s="2943" t="s">
        <v>2987</v>
      </c>
      <c r="O35" s="2943" t="s">
        <v>2988</v>
      </c>
      <c r="P35" s="2943" t="s">
        <v>2989</v>
      </c>
      <c r="Q35" s="2943" t="s">
        <v>2990</v>
      </c>
    </row>
    <row r="36" spans="1:17" ht="14.25" customHeight="1">
      <c r="A36" s="2943" t="s">
        <v>296</v>
      </c>
      <c r="B36" s="2944" t="s">
        <v>169</v>
      </c>
      <c r="C36" s="2943">
        <v>23490</v>
      </c>
      <c r="D36" s="2943">
        <v>23020</v>
      </c>
      <c r="E36" s="2943">
        <v>25230</v>
      </c>
      <c r="F36" s="2943">
        <v>6780</v>
      </c>
      <c r="G36" s="2956">
        <v>16120</v>
      </c>
      <c r="M36" s="2943" t="s">
        <v>2991</v>
      </c>
      <c r="N36" s="2943" t="s">
        <v>2992</v>
      </c>
      <c r="O36" s="2943" t="s">
        <v>2993</v>
      </c>
      <c r="P36" s="2943" t="s">
        <v>2994</v>
      </c>
      <c r="Q36" s="2943" t="s">
        <v>2995</v>
      </c>
    </row>
    <row r="37" spans="1:17" ht="14.25" customHeight="1">
      <c r="A37" s="2943" t="s">
        <v>296</v>
      </c>
      <c r="B37" s="2944" t="s">
        <v>176</v>
      </c>
      <c r="C37" s="2943">
        <v>24380</v>
      </c>
      <c r="D37" s="2943">
        <v>22240</v>
      </c>
      <c r="E37" s="2943">
        <v>25980</v>
      </c>
      <c r="F37" s="2943">
        <v>8160</v>
      </c>
      <c r="G37" s="2956">
        <v>15570</v>
      </c>
      <c r="M37" s="2943" t="s">
        <v>2996</v>
      </c>
      <c r="N37" s="2943" t="s">
        <v>2997</v>
      </c>
      <c r="O37" s="2943" t="s">
        <v>2998</v>
      </c>
      <c r="P37" s="2943" t="s">
        <v>2999</v>
      </c>
      <c r="Q37" s="2943" t="s">
        <v>3000</v>
      </c>
    </row>
    <row r="38" spans="1:17" ht="14.25" customHeight="1">
      <c r="A38" s="2943" t="s">
        <v>296</v>
      </c>
      <c r="B38" s="2944" t="s">
        <v>186</v>
      </c>
      <c r="C38" s="2943">
        <v>23120</v>
      </c>
      <c r="D38" s="2943">
        <v>24630</v>
      </c>
      <c r="E38" s="2943">
        <v>25030</v>
      </c>
      <c r="F38" s="2943">
        <v>7710</v>
      </c>
      <c r="G38" s="2956">
        <v>17240</v>
      </c>
      <c r="M38" s="2943" t="s">
        <v>3001</v>
      </c>
      <c r="N38" s="2943" t="s">
        <v>3002</v>
      </c>
      <c r="O38" s="2943" t="s">
        <v>3003</v>
      </c>
      <c r="P38" s="2943" t="s">
        <v>3004</v>
      </c>
      <c r="Q38" s="2943" t="s">
        <v>3005</v>
      </c>
    </row>
    <row r="39" spans="1:17" ht="14.25" customHeight="1">
      <c r="A39" s="2943" t="s">
        <v>296</v>
      </c>
      <c r="B39" s="2944" t="s">
        <v>195</v>
      </c>
      <c r="C39" s="2943">
        <v>22330</v>
      </c>
      <c r="D39" s="2943">
        <v>21140</v>
      </c>
      <c r="E39" s="2943">
        <v>23970</v>
      </c>
      <c r="F39" s="2943">
        <v>7940</v>
      </c>
      <c r="G39" s="2956">
        <v>14790</v>
      </c>
      <c r="M39" s="2943" t="s">
        <v>3006</v>
      </c>
      <c r="N39" s="2943" t="s">
        <v>3007</v>
      </c>
      <c r="O39" s="2943" t="s">
        <v>3008</v>
      </c>
      <c r="P39" s="2943" t="s">
        <v>3009</v>
      </c>
      <c r="Q39" s="2943" t="s">
        <v>3010</v>
      </c>
    </row>
    <row r="40" spans="1:17" ht="14.25" customHeight="1">
      <c r="A40" s="2943" t="s">
        <v>296</v>
      </c>
      <c r="B40" s="2944" t="s">
        <v>202</v>
      </c>
      <c r="C40" s="2943">
        <v>24740</v>
      </c>
      <c r="D40" s="2943">
        <v>24690</v>
      </c>
      <c r="E40" s="2943">
        <v>22610</v>
      </c>
      <c r="F40" s="2943"/>
      <c r="G40" s="2956">
        <v>17280</v>
      </c>
      <c r="M40" s="2943" t="s">
        <v>3011</v>
      </c>
      <c r="N40" s="2943" t="s">
        <v>3012</v>
      </c>
      <c r="O40" s="2943" t="s">
        <v>3013</v>
      </c>
      <c r="P40" s="2943" t="s">
        <v>3014</v>
      </c>
      <c r="Q40" s="2943" t="s">
        <v>3015</v>
      </c>
    </row>
    <row r="41" spans="1:17" ht="14.25" customHeight="1" thickBot="1">
      <c r="A41" s="2943" t="s">
        <v>296</v>
      </c>
      <c r="B41" s="2944" t="s">
        <v>209</v>
      </c>
      <c r="C41" s="2943">
        <v>21220</v>
      </c>
      <c r="D41" s="2943">
        <v>21120</v>
      </c>
      <c r="E41" s="2943">
        <v>22590</v>
      </c>
      <c r="F41" s="2943"/>
      <c r="G41" s="2956">
        <v>14780</v>
      </c>
      <c r="M41" s="2950" t="s">
        <v>3016</v>
      </c>
      <c r="N41" s="2943" t="s">
        <v>3017</v>
      </c>
      <c r="O41" s="2943" t="s">
        <v>3018</v>
      </c>
      <c r="P41" s="2943" t="s">
        <v>3019</v>
      </c>
      <c r="Q41" s="2943" t="s">
        <v>3020</v>
      </c>
    </row>
    <row r="42" spans="1:17" ht="14.25" customHeight="1">
      <c r="A42" s="2943" t="s">
        <v>296</v>
      </c>
      <c r="B42" s="2944" t="s">
        <v>215</v>
      </c>
      <c r="C42" s="2943">
        <v>24800</v>
      </c>
      <c r="D42" s="2943">
        <v>22280</v>
      </c>
      <c r="E42" s="2943">
        <v>24350</v>
      </c>
      <c r="F42" s="2943"/>
      <c r="G42" s="2956">
        <v>15590</v>
      </c>
      <c r="N42" s="2943" t="s">
        <v>3021</v>
      </c>
      <c r="O42" s="2943" t="s">
        <v>3022</v>
      </c>
      <c r="P42" s="2943" t="s">
        <v>3023</v>
      </c>
      <c r="Q42" s="2943" t="s">
        <v>3024</v>
      </c>
    </row>
    <row r="43" spans="1:17" ht="14.25" customHeight="1">
      <c r="A43" s="2943" t="s">
        <v>3025</v>
      </c>
      <c r="B43" s="2944" t="s">
        <v>223</v>
      </c>
      <c r="C43" s="2943">
        <v>21210</v>
      </c>
      <c r="D43" s="2943">
        <v>21160</v>
      </c>
      <c r="E43" s="2943">
        <v>22650</v>
      </c>
      <c r="F43" s="2943"/>
      <c r="G43" s="2956">
        <v>14800</v>
      </c>
      <c r="N43" s="2943" t="s">
        <v>3026</v>
      </c>
      <c r="O43" s="2943" t="s">
        <v>3027</v>
      </c>
      <c r="P43" s="2943" t="s">
        <v>3028</v>
      </c>
      <c r="Q43" s="2943" t="s">
        <v>3029</v>
      </c>
    </row>
    <row r="44" spans="1:17" ht="14.25" customHeight="1" thickBot="1">
      <c r="A44" s="2943" t="s">
        <v>296</v>
      </c>
      <c r="B44" s="2944" t="s">
        <v>231</v>
      </c>
      <c r="C44" s="2943">
        <v>22370</v>
      </c>
      <c r="D44" s="2943">
        <v>23140</v>
      </c>
      <c r="E44" s="2943">
        <v>25090</v>
      </c>
      <c r="F44" s="2943"/>
      <c r="G44" s="2956">
        <v>16190</v>
      </c>
      <c r="N44" s="2943" t="s">
        <v>3030</v>
      </c>
      <c r="O44" s="2943" t="s">
        <v>3031</v>
      </c>
      <c r="P44" s="2950" t="s">
        <v>3032</v>
      </c>
      <c r="Q44" s="2943" t="s">
        <v>3033</v>
      </c>
    </row>
    <row r="45" spans="1:17" ht="14.25" customHeight="1" thickBot="1">
      <c r="A45" s="2943" t="s">
        <v>296</v>
      </c>
      <c r="B45" s="2944" t="s">
        <v>236</v>
      </c>
      <c r="C45" s="2943">
        <v>21240</v>
      </c>
      <c r="D45" s="2943">
        <v>27050</v>
      </c>
      <c r="E45" s="2943">
        <v>28000</v>
      </c>
      <c r="F45" s="2943"/>
      <c r="G45" s="2956">
        <v>18940</v>
      </c>
      <c r="N45" s="2943" t="s">
        <v>3034</v>
      </c>
      <c r="O45" s="2950" t="s">
        <v>3035</v>
      </c>
      <c r="Q45" s="2943" t="s">
        <v>3036</v>
      </c>
    </row>
    <row r="46" spans="1:17" ht="14.25" customHeight="1">
      <c r="A46" s="2943" t="s">
        <v>296</v>
      </c>
      <c r="B46" s="2944" t="s">
        <v>245</v>
      </c>
      <c r="C46" s="2943">
        <v>23240</v>
      </c>
      <c r="D46" s="2943">
        <v>23000</v>
      </c>
      <c r="E46" s="2943">
        <v>24980</v>
      </c>
      <c r="F46" s="2943"/>
      <c r="G46" s="2956">
        <v>16100</v>
      </c>
      <c r="N46" s="2943" t="s">
        <v>3037</v>
      </c>
      <c r="Q46" s="2943" t="s">
        <v>3038</v>
      </c>
    </row>
    <row r="47" spans="1:17" ht="14.25" customHeight="1">
      <c r="A47" s="2943" t="s">
        <v>296</v>
      </c>
      <c r="B47" s="2944" t="s">
        <v>252</v>
      </c>
      <c r="C47" s="2943">
        <v>27150</v>
      </c>
      <c r="D47" s="2943">
        <v>23310</v>
      </c>
      <c r="E47" s="2943">
        <v>25150</v>
      </c>
      <c r="F47" s="2943"/>
      <c r="G47" s="2956">
        <v>16310</v>
      </c>
      <c r="N47" s="2943" t="s">
        <v>3039</v>
      </c>
      <c r="Q47" s="2943" t="s">
        <v>3040</v>
      </c>
    </row>
    <row r="48" spans="1:17" ht="14.25" customHeight="1">
      <c r="A48" s="2943" t="s">
        <v>296</v>
      </c>
      <c r="B48" s="2944" t="s">
        <v>260</v>
      </c>
      <c r="C48" s="2943">
        <v>23100</v>
      </c>
      <c r="D48" s="2943">
        <v>21110</v>
      </c>
      <c r="E48" s="2943">
        <v>23080</v>
      </c>
      <c r="F48" s="2943"/>
      <c r="G48" s="2956">
        <v>14780</v>
      </c>
      <c r="N48" s="2943" t="s">
        <v>3041</v>
      </c>
      <c r="Q48" s="2943" t="s">
        <v>3042</v>
      </c>
    </row>
    <row r="49" spans="1:17" ht="14.25" customHeight="1">
      <c r="A49" s="2943" t="s">
        <v>296</v>
      </c>
      <c r="B49" s="2944" t="s">
        <v>267</v>
      </c>
      <c r="C49" s="2943">
        <v>23400</v>
      </c>
      <c r="D49" s="2943">
        <v>22920</v>
      </c>
      <c r="E49" s="2943">
        <v>24900</v>
      </c>
      <c r="F49" s="2943"/>
      <c r="G49" s="2956">
        <v>16040</v>
      </c>
      <c r="N49" s="2943" t="s">
        <v>3043</v>
      </c>
      <c r="Q49" s="2943" t="s">
        <v>3044</v>
      </c>
    </row>
    <row r="50" spans="1:17" ht="14.25" customHeight="1">
      <c r="A50" s="2943" t="s">
        <v>296</v>
      </c>
      <c r="B50" s="2944" t="s">
        <v>2921</v>
      </c>
      <c r="C50" s="2943">
        <v>21200</v>
      </c>
      <c r="D50" s="2943">
        <v>26540</v>
      </c>
      <c r="E50" s="2943">
        <v>23200</v>
      </c>
      <c r="F50" s="2943"/>
      <c r="G50" s="2956">
        <v>18580</v>
      </c>
      <c r="N50" s="2943" t="s">
        <v>3045</v>
      </c>
      <c r="Q50" s="2944" t="s">
        <v>3046</v>
      </c>
    </row>
    <row r="51" spans="1:17" ht="14.25" customHeight="1" thickBot="1">
      <c r="A51" s="2943" t="s">
        <v>296</v>
      </c>
      <c r="B51" s="2944" t="s">
        <v>2923</v>
      </c>
      <c r="C51" s="2943">
        <v>23000</v>
      </c>
      <c r="D51" s="2943">
        <v>23460</v>
      </c>
      <c r="E51" s="2943">
        <v>25290</v>
      </c>
      <c r="F51" s="2943"/>
      <c r="G51" s="2956">
        <v>16420</v>
      </c>
      <c r="N51" s="2943" t="s">
        <v>3047</v>
      </c>
      <c r="Q51" s="2950" t="s">
        <v>3048</v>
      </c>
    </row>
    <row r="52" spans="1:17" ht="14.25" customHeight="1">
      <c r="A52" s="2943" t="s">
        <v>296</v>
      </c>
      <c r="B52" s="2944" t="s">
        <v>2927</v>
      </c>
      <c r="C52" s="2943">
        <v>26660</v>
      </c>
      <c r="D52" s="2943">
        <v>22350</v>
      </c>
      <c r="E52" s="2943">
        <v>22920</v>
      </c>
      <c r="F52" s="2943"/>
      <c r="G52" s="2956">
        <v>15640</v>
      </c>
      <c r="N52" s="2943" t="s">
        <v>3049</v>
      </c>
    </row>
    <row r="53" spans="1:17" ht="14.25" customHeight="1">
      <c r="A53" s="2943" t="s">
        <v>296</v>
      </c>
      <c r="B53" s="2944" t="s">
        <v>2932</v>
      </c>
      <c r="C53" s="2943">
        <v>23580</v>
      </c>
      <c r="D53" s="2943"/>
      <c r="E53" s="2943">
        <v>24280</v>
      </c>
      <c r="F53" s="2943"/>
      <c r="G53" s="2956"/>
      <c r="N53" s="2943" t="s">
        <v>3050</v>
      </c>
    </row>
    <row r="54" spans="1:17" ht="14.25" customHeight="1" thickBot="1">
      <c r="A54" s="2957" t="s">
        <v>296</v>
      </c>
      <c r="B54" s="2949" t="s">
        <v>2935</v>
      </c>
      <c r="C54" s="2950">
        <v>22460</v>
      </c>
      <c r="D54" s="2950"/>
      <c r="E54" s="2950"/>
      <c r="F54" s="2950"/>
      <c r="G54" s="2958"/>
      <c r="N54" s="2943" t="s">
        <v>3051</v>
      </c>
    </row>
    <row r="55" spans="1:17" ht="14.25" customHeight="1">
      <c r="A55" s="2948" t="s">
        <v>110</v>
      </c>
      <c r="B55" s="2939" t="s">
        <v>3052</v>
      </c>
      <c r="C55" s="2943">
        <v>21970</v>
      </c>
      <c r="D55" s="2943">
        <v>20370</v>
      </c>
      <c r="E55" s="2943">
        <v>20180</v>
      </c>
      <c r="F55" s="2943">
        <v>5730</v>
      </c>
      <c r="G55" s="2943">
        <v>13820</v>
      </c>
      <c r="N55" s="2943" t="s">
        <v>3053</v>
      </c>
    </row>
    <row r="56" spans="1:17" ht="14.25" customHeight="1">
      <c r="A56" s="2943" t="s">
        <v>110</v>
      </c>
      <c r="B56" s="2943" t="s">
        <v>130</v>
      </c>
      <c r="C56" s="2943">
        <v>20470</v>
      </c>
      <c r="D56" s="2943">
        <v>20700</v>
      </c>
      <c r="E56" s="2943">
        <v>20380</v>
      </c>
      <c r="F56" s="2943">
        <v>4760</v>
      </c>
      <c r="G56" s="2943">
        <v>14050</v>
      </c>
      <c r="N56" s="2943" t="s">
        <v>3054</v>
      </c>
    </row>
    <row r="57" spans="1:17" ht="14.25" customHeight="1">
      <c r="A57" s="2943" t="s">
        <v>110</v>
      </c>
      <c r="B57" s="2943" t="s">
        <v>139</v>
      </c>
      <c r="C57" s="2943">
        <v>20790</v>
      </c>
      <c r="D57" s="2943">
        <v>21370</v>
      </c>
      <c r="E57" s="2943">
        <v>20890</v>
      </c>
      <c r="F57" s="2943">
        <v>4910</v>
      </c>
      <c r="G57" s="2943">
        <v>14510</v>
      </c>
      <c r="N57" s="2943" t="s">
        <v>3055</v>
      </c>
    </row>
    <row r="58" spans="1:17" ht="14.25" customHeight="1">
      <c r="A58" s="2943" t="s">
        <v>110</v>
      </c>
      <c r="B58" s="2943" t="s">
        <v>148</v>
      </c>
      <c r="C58" s="2943">
        <v>21460</v>
      </c>
      <c r="D58" s="2943">
        <v>20920</v>
      </c>
      <c r="E58" s="2943">
        <v>23410</v>
      </c>
      <c r="F58" s="2943">
        <v>5100</v>
      </c>
      <c r="G58" s="2943">
        <v>14200</v>
      </c>
      <c r="N58" s="2943" t="s">
        <v>3056</v>
      </c>
    </row>
    <row r="59" spans="1:17" ht="14.25" customHeight="1">
      <c r="A59" s="2943" t="s">
        <v>110</v>
      </c>
      <c r="B59" s="2943" t="s">
        <v>157</v>
      </c>
      <c r="C59" s="2943">
        <v>21000</v>
      </c>
      <c r="D59" s="2943">
        <v>21550</v>
      </c>
      <c r="E59" s="2943">
        <v>21150</v>
      </c>
      <c r="F59" s="2943">
        <v>5250</v>
      </c>
      <c r="G59" s="2943">
        <v>14630</v>
      </c>
      <c r="N59" s="2943" t="s">
        <v>3057</v>
      </c>
    </row>
    <row r="60" spans="1:17" ht="14.25" customHeight="1">
      <c r="A60" s="2943" t="s">
        <v>110</v>
      </c>
      <c r="B60" s="2943" t="s">
        <v>164</v>
      </c>
      <c r="C60" s="2943">
        <v>21640</v>
      </c>
      <c r="D60" s="2943">
        <v>21260</v>
      </c>
      <c r="E60" s="2943">
        <v>24040</v>
      </c>
      <c r="F60" s="2943">
        <v>4470</v>
      </c>
      <c r="G60" s="2943">
        <v>14430</v>
      </c>
      <c r="N60" s="2943" t="s">
        <v>3058</v>
      </c>
    </row>
    <row r="61" spans="1:17" ht="14.25" customHeight="1">
      <c r="A61" s="2943" t="s">
        <v>110</v>
      </c>
      <c r="B61" s="2943" t="s">
        <v>170</v>
      </c>
      <c r="C61" s="2943">
        <v>21330</v>
      </c>
      <c r="D61" s="2943">
        <v>18640</v>
      </c>
      <c r="E61" s="2943">
        <v>21190</v>
      </c>
      <c r="F61" s="2943">
        <v>4180</v>
      </c>
      <c r="G61" s="2943">
        <v>12650</v>
      </c>
      <c r="N61" s="2943" t="s">
        <v>3059</v>
      </c>
    </row>
    <row r="62" spans="1:17" ht="14.25" customHeight="1">
      <c r="A62" s="2943" t="s">
        <v>110</v>
      </c>
      <c r="B62" s="2943" t="s">
        <v>177</v>
      </c>
      <c r="C62" s="2943">
        <v>18710</v>
      </c>
      <c r="D62" s="2943">
        <v>19400</v>
      </c>
      <c r="E62" s="2943">
        <v>23750</v>
      </c>
      <c r="F62" s="2943">
        <v>4860</v>
      </c>
      <c r="G62" s="2943">
        <v>13170</v>
      </c>
      <c r="N62" s="2943" t="s">
        <v>3060</v>
      </c>
    </row>
    <row r="63" spans="1:17" ht="14.25" customHeight="1">
      <c r="A63" s="2943" t="s">
        <v>110</v>
      </c>
      <c r="B63" s="2943" t="s">
        <v>187</v>
      </c>
      <c r="C63" s="2943">
        <v>19480</v>
      </c>
      <c r="D63" s="2943">
        <v>16830</v>
      </c>
      <c r="E63" s="2943">
        <v>21590</v>
      </c>
      <c r="F63" s="2943">
        <v>4560</v>
      </c>
      <c r="G63" s="2943">
        <v>11420</v>
      </c>
      <c r="N63" s="2943" t="s">
        <v>3061</v>
      </c>
    </row>
    <row r="64" spans="1:17" ht="14.25" customHeight="1" thickBot="1">
      <c r="A64" s="2943" t="s">
        <v>110</v>
      </c>
      <c r="B64" s="2943" t="s">
        <v>196</v>
      </c>
      <c r="C64" s="2943">
        <v>16920</v>
      </c>
      <c r="D64" s="2943">
        <v>19190</v>
      </c>
      <c r="E64" s="2943">
        <v>22200</v>
      </c>
      <c r="F64" s="2943">
        <v>4390</v>
      </c>
      <c r="G64" s="2943">
        <v>13030</v>
      </c>
      <c r="N64" s="2950" t="s">
        <v>3062</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2933</v>
      </c>
      <c r="C78" s="2943">
        <v>19820</v>
      </c>
      <c r="D78" s="2943">
        <v>19780</v>
      </c>
      <c r="E78" s="2943">
        <v>18560</v>
      </c>
      <c r="F78" s="2943"/>
      <c r="G78" s="2943">
        <v>13430</v>
      </c>
    </row>
    <row r="79" spans="1:7" s="2777" customFormat="1" ht="14.25" customHeight="1">
      <c r="A79" s="2943" t="s">
        <v>110</v>
      </c>
      <c r="B79" s="2943" t="s">
        <v>2936</v>
      </c>
      <c r="C79" s="2943">
        <v>21660</v>
      </c>
      <c r="D79" s="2943">
        <v>18000</v>
      </c>
      <c r="E79" s="2943">
        <v>22570</v>
      </c>
      <c r="F79" s="2943"/>
      <c r="G79" s="2943">
        <v>12220</v>
      </c>
    </row>
    <row r="80" spans="1:7" s="2777" customFormat="1" ht="14.25" customHeight="1">
      <c r="A80" s="2943" t="s">
        <v>110</v>
      </c>
      <c r="B80" s="2943" t="s">
        <v>2940</v>
      </c>
      <c r="C80" s="2943">
        <v>19850</v>
      </c>
      <c r="D80" s="2943"/>
      <c r="E80" s="2943">
        <v>21700</v>
      </c>
      <c r="F80" s="2943"/>
      <c r="G80" s="2943"/>
    </row>
    <row r="81" spans="1:7" s="2777" customFormat="1" ht="14.25" customHeight="1">
      <c r="A81" s="2943" t="s">
        <v>110</v>
      </c>
      <c r="B81" s="2943" t="s">
        <v>2945</v>
      </c>
      <c r="C81" s="2943">
        <v>18080</v>
      </c>
      <c r="D81" s="2943"/>
      <c r="E81" s="2943">
        <v>20900</v>
      </c>
      <c r="F81" s="2943"/>
      <c r="G81" s="2943"/>
    </row>
    <row r="82" spans="1:7" s="2777" customFormat="1" ht="14.25" customHeight="1">
      <c r="A82" s="2943" t="s">
        <v>110</v>
      </c>
      <c r="B82" s="2943" t="s">
        <v>2952</v>
      </c>
      <c r="C82" s="2943"/>
      <c r="D82" s="2943"/>
      <c r="E82" s="2943">
        <v>20840</v>
      </c>
      <c r="F82" s="2943"/>
      <c r="G82" s="2943"/>
    </row>
    <row r="83" spans="1:7" s="2777" customFormat="1" ht="14.25" customHeight="1">
      <c r="A83" s="2943" t="s">
        <v>110</v>
      </c>
      <c r="B83" s="2943" t="s">
        <v>3063</v>
      </c>
      <c r="C83" s="2943"/>
      <c r="D83" s="2943"/>
      <c r="E83" s="2943"/>
      <c r="F83" s="2943">
        <v>4770</v>
      </c>
      <c r="G83" s="2943"/>
    </row>
    <row r="84" spans="1:7" s="2777" customFormat="1" ht="14.25" customHeight="1">
      <c r="A84" s="2943" t="s">
        <v>110</v>
      </c>
      <c r="B84" s="2943" t="s">
        <v>3064</v>
      </c>
      <c r="C84" s="2943"/>
      <c r="D84" s="2943"/>
      <c r="E84" s="2943"/>
      <c r="F84" s="2943">
        <v>4600</v>
      </c>
      <c r="G84" s="2943"/>
    </row>
    <row r="85" spans="1:7" s="2777" customFormat="1" ht="14.25" customHeight="1">
      <c r="A85" s="2943" t="s">
        <v>110</v>
      </c>
      <c r="B85" s="2943" t="s">
        <v>3065</v>
      </c>
      <c r="C85" s="2943"/>
      <c r="D85" s="2943"/>
      <c r="E85" s="2943"/>
      <c r="F85" s="2943">
        <v>4680</v>
      </c>
      <c r="G85" s="2943"/>
    </row>
    <row r="86" spans="1:7" s="2777" customFormat="1" ht="14.25" customHeight="1" thickBot="1">
      <c r="A86" s="2951" t="s">
        <v>110</v>
      </c>
      <c r="B86" s="2953" t="s">
        <v>3066</v>
      </c>
      <c r="C86" s="2954">
        <v>16610</v>
      </c>
      <c r="D86" s="2954">
        <v>16540</v>
      </c>
      <c r="E86" s="2954">
        <v>18850</v>
      </c>
      <c r="F86" s="2954"/>
      <c r="G86" s="2954">
        <v>11220</v>
      </c>
    </row>
    <row r="87" spans="1:7" s="2777" customFormat="1" ht="14.25" customHeight="1">
      <c r="A87" s="2948" t="s">
        <v>303</v>
      </c>
      <c r="B87" s="2939" t="s">
        <v>3067</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2946</v>
      </c>
      <c r="C113" s="2943">
        <v>15520</v>
      </c>
      <c r="D113" s="2943">
        <v>15450</v>
      </c>
      <c r="E113" s="2943"/>
      <c r="F113" s="2943"/>
      <c r="G113" s="2956">
        <v>10210</v>
      </c>
    </row>
    <row r="114" spans="1:7" s="2777" customFormat="1" ht="14.25" customHeight="1">
      <c r="A114" s="2943" t="s">
        <v>303</v>
      </c>
      <c r="B114" s="2943" t="s">
        <v>2953</v>
      </c>
      <c r="C114" s="2943">
        <v>13110</v>
      </c>
      <c r="D114" s="2943">
        <v>13050</v>
      </c>
      <c r="E114" s="2943"/>
      <c r="F114" s="2943"/>
      <c r="G114" s="2956">
        <v>8620</v>
      </c>
    </row>
    <row r="115" spans="1:7" s="2777" customFormat="1" ht="14.25" customHeight="1">
      <c r="A115" s="2943" t="s">
        <v>303</v>
      </c>
      <c r="B115" s="2943" t="s">
        <v>2959</v>
      </c>
      <c r="C115" s="2943">
        <v>12460</v>
      </c>
      <c r="D115" s="2943">
        <v>12390</v>
      </c>
      <c r="E115" s="2943"/>
      <c r="F115" s="2943"/>
      <c r="G115" s="2956">
        <v>8190</v>
      </c>
    </row>
    <row r="116" spans="1:7" s="2777" customFormat="1" ht="14.25" customHeight="1">
      <c r="A116" s="2943" t="s">
        <v>303</v>
      </c>
      <c r="B116" s="2943" t="s">
        <v>2966</v>
      </c>
      <c r="C116" s="2943">
        <v>13580</v>
      </c>
      <c r="D116" s="2943">
        <v>13520</v>
      </c>
      <c r="E116" s="2943"/>
      <c r="F116" s="2943"/>
      <c r="G116" s="2956">
        <v>8930</v>
      </c>
    </row>
    <row r="117" spans="1:7" s="2777" customFormat="1" ht="14.25" customHeight="1">
      <c r="A117" s="2943" t="s">
        <v>303</v>
      </c>
      <c r="B117" s="2943" t="s">
        <v>2973</v>
      </c>
      <c r="C117" s="2943">
        <v>17120</v>
      </c>
      <c r="D117" s="2943">
        <v>17040</v>
      </c>
      <c r="E117" s="2943"/>
      <c r="F117" s="2943"/>
      <c r="G117" s="2956">
        <v>11260</v>
      </c>
    </row>
    <row r="118" spans="1:7" s="2777" customFormat="1" ht="14.25" customHeight="1">
      <c r="A118" s="2943" t="s">
        <v>303</v>
      </c>
      <c r="B118" s="2943" t="s">
        <v>2978</v>
      </c>
      <c r="C118" s="2943">
        <v>14860</v>
      </c>
      <c r="D118" s="2943">
        <v>14790</v>
      </c>
      <c r="E118" s="2943"/>
      <c r="F118" s="2943"/>
      <c r="G118" s="2956">
        <v>9780</v>
      </c>
    </row>
    <row r="119" spans="1:7" s="2777" customFormat="1" ht="14.25" customHeight="1">
      <c r="A119" s="2943" t="s">
        <v>303</v>
      </c>
      <c r="B119" s="2943" t="s">
        <v>2982</v>
      </c>
      <c r="C119" s="2943">
        <v>16470</v>
      </c>
      <c r="D119" s="2943">
        <v>16400</v>
      </c>
      <c r="E119" s="2943"/>
      <c r="F119" s="2943"/>
      <c r="G119" s="2956">
        <v>10840</v>
      </c>
    </row>
    <row r="120" spans="1:7" s="2777" customFormat="1" ht="14.25" customHeight="1">
      <c r="A120" s="2943" t="s">
        <v>303</v>
      </c>
      <c r="B120" s="2943" t="s">
        <v>3068</v>
      </c>
      <c r="C120" s="2943"/>
      <c r="D120" s="2943"/>
      <c r="E120" s="2943"/>
      <c r="F120" s="2943">
        <v>4160</v>
      </c>
      <c r="G120" s="2956"/>
    </row>
    <row r="121" spans="1:7" s="2777" customFormat="1" ht="14.25" customHeight="1">
      <c r="A121" s="2943" t="s">
        <v>303</v>
      </c>
      <c r="B121" s="2943" t="s">
        <v>3069</v>
      </c>
      <c r="C121" s="2943"/>
      <c r="D121" s="2943"/>
      <c r="E121" s="2943"/>
      <c r="F121" s="2943">
        <v>3880</v>
      </c>
      <c r="G121" s="2956"/>
    </row>
    <row r="122" spans="1:7" s="2777" customFormat="1" ht="14.25" customHeight="1">
      <c r="A122" s="2943" t="s">
        <v>303</v>
      </c>
      <c r="B122" s="2943" t="s">
        <v>3070</v>
      </c>
      <c r="C122" s="2943">
        <v>13750</v>
      </c>
      <c r="D122" s="2943">
        <v>13680</v>
      </c>
      <c r="E122" s="2943">
        <v>16460</v>
      </c>
      <c r="F122" s="2943">
        <v>2880</v>
      </c>
      <c r="G122" s="2956">
        <v>9040</v>
      </c>
    </row>
    <row r="123" spans="1:7" s="2777" customFormat="1" ht="14.25" customHeight="1">
      <c r="A123" s="2943" t="s">
        <v>303</v>
      </c>
      <c r="B123" s="2943" t="s">
        <v>3001</v>
      </c>
      <c r="C123" s="2943">
        <v>13590</v>
      </c>
      <c r="D123" s="2943">
        <v>13520</v>
      </c>
      <c r="E123" s="2943">
        <v>16290</v>
      </c>
      <c r="F123" s="2943">
        <v>2790</v>
      </c>
      <c r="G123" s="2956">
        <v>8930</v>
      </c>
    </row>
    <row r="124" spans="1:7" s="2777" customFormat="1" ht="14.25" customHeight="1">
      <c r="A124" s="2943" t="s">
        <v>303</v>
      </c>
      <c r="B124" s="2943" t="s">
        <v>3006</v>
      </c>
      <c r="C124" s="2943">
        <v>13400</v>
      </c>
      <c r="D124" s="2943">
        <v>13320</v>
      </c>
      <c r="E124" s="2943">
        <v>16100</v>
      </c>
      <c r="F124" s="2943">
        <v>2320</v>
      </c>
      <c r="G124" s="2956">
        <v>8800</v>
      </c>
    </row>
    <row r="125" spans="1:7" s="2777" customFormat="1" ht="14.25" customHeight="1">
      <c r="A125" s="2943" t="s">
        <v>303</v>
      </c>
      <c r="B125" s="2943" t="s">
        <v>3011</v>
      </c>
      <c r="C125" s="2943">
        <v>12860</v>
      </c>
      <c r="D125" s="2943">
        <v>12790</v>
      </c>
      <c r="E125" s="2943">
        <v>15370</v>
      </c>
      <c r="F125" s="2943">
        <v>2280</v>
      </c>
      <c r="G125" s="2956">
        <v>8450</v>
      </c>
    </row>
    <row r="126" spans="1:7" s="2777" customFormat="1" ht="14.25" customHeight="1" thickBot="1">
      <c r="A126" s="2957" t="s">
        <v>303</v>
      </c>
      <c r="B126" s="2950" t="s">
        <v>3016</v>
      </c>
      <c r="C126" s="2950">
        <v>12960</v>
      </c>
      <c r="D126" s="2950">
        <v>12890</v>
      </c>
      <c r="E126" s="2950">
        <v>15530</v>
      </c>
      <c r="F126" s="2950">
        <v>2910</v>
      </c>
      <c r="G126" s="2958">
        <v>8520</v>
      </c>
    </row>
    <row r="127" spans="1:7" s="2777" customFormat="1" ht="14.25" customHeight="1">
      <c r="A127" s="2948" t="s">
        <v>29</v>
      </c>
      <c r="B127" s="2939" t="s">
        <v>3071</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3072</v>
      </c>
      <c r="C148" s="2943">
        <v>10370</v>
      </c>
      <c r="D148" s="2943">
        <v>10310</v>
      </c>
      <c r="E148" s="2943">
        <v>12970</v>
      </c>
      <c r="F148" s="2943"/>
      <c r="G148" s="2943">
        <v>6630</v>
      </c>
    </row>
    <row r="149" spans="1:7" s="2777" customFormat="1" ht="14.25" customHeight="1">
      <c r="A149" s="2943" t="s">
        <v>29</v>
      </c>
      <c r="B149" s="2943" t="s">
        <v>3073</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2947</v>
      </c>
      <c r="C153" s="2943">
        <v>10880</v>
      </c>
      <c r="D153" s="2943">
        <v>10820</v>
      </c>
      <c r="E153" s="2943">
        <v>13660</v>
      </c>
      <c r="F153" s="2943">
        <v>2260</v>
      </c>
      <c r="G153" s="2943">
        <v>6970</v>
      </c>
    </row>
    <row r="154" spans="1:7" s="2777" customFormat="1" ht="14.25" customHeight="1">
      <c r="A154" s="2943" t="s">
        <v>29</v>
      </c>
      <c r="B154" s="2943" t="s">
        <v>3074</v>
      </c>
      <c r="C154" s="2943">
        <v>11220</v>
      </c>
      <c r="D154" s="2943">
        <v>11160</v>
      </c>
      <c r="E154" s="2943">
        <v>14130</v>
      </c>
      <c r="F154" s="2943">
        <v>2230</v>
      </c>
      <c r="G154" s="2943">
        <v>7180</v>
      </c>
    </row>
    <row r="155" spans="1:7" s="2777" customFormat="1" ht="14.25" customHeight="1">
      <c r="A155" s="2943" t="s">
        <v>29</v>
      </c>
      <c r="B155" s="2943" t="s">
        <v>2960</v>
      </c>
      <c r="C155" s="2943">
        <v>10430</v>
      </c>
      <c r="D155" s="2943">
        <v>10380</v>
      </c>
      <c r="E155" s="2943">
        <v>13140</v>
      </c>
      <c r="F155" s="2943">
        <v>2080</v>
      </c>
      <c r="G155" s="2943">
        <v>6650</v>
      </c>
    </row>
    <row r="156" spans="1:7" s="2777" customFormat="1" ht="14.25" customHeight="1">
      <c r="A156" s="2943" t="s">
        <v>29</v>
      </c>
      <c r="B156" s="2943" t="s">
        <v>3075</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3076</v>
      </c>
      <c r="C160" s="2943">
        <v>11180</v>
      </c>
      <c r="D160" s="2943">
        <v>11140</v>
      </c>
      <c r="E160" s="2943">
        <v>14050</v>
      </c>
      <c r="F160" s="2943">
        <v>2270</v>
      </c>
      <c r="G160" s="2943">
        <v>7170</v>
      </c>
    </row>
    <row r="161" spans="1:7" s="2777" customFormat="1" ht="14.25" customHeight="1">
      <c r="A161" s="2943" t="s">
        <v>29</v>
      </c>
      <c r="B161" s="2943" t="s">
        <v>2992</v>
      </c>
      <c r="C161" s="2943">
        <v>11160</v>
      </c>
      <c r="D161" s="2943">
        <v>11120</v>
      </c>
      <c r="E161" s="2943">
        <v>14020</v>
      </c>
      <c r="F161" s="2943">
        <v>2150</v>
      </c>
      <c r="G161" s="2943">
        <v>7160</v>
      </c>
    </row>
    <row r="162" spans="1:7" s="2777" customFormat="1" ht="14.25" customHeight="1">
      <c r="A162" s="2943" t="s">
        <v>29</v>
      </c>
      <c r="B162" s="2943" t="s">
        <v>2997</v>
      </c>
      <c r="C162" s="2943">
        <v>9620</v>
      </c>
      <c r="D162" s="2943">
        <v>9570</v>
      </c>
      <c r="E162" s="2943">
        <v>12320</v>
      </c>
      <c r="F162" s="2943">
        <v>2010</v>
      </c>
      <c r="G162" s="2943">
        <v>6160</v>
      </c>
    </row>
    <row r="163" spans="1:7" s="2777" customFormat="1" ht="14.25" customHeight="1">
      <c r="A163" s="2943" t="s">
        <v>29</v>
      </c>
      <c r="B163" s="2943" t="s">
        <v>3002</v>
      </c>
      <c r="C163" s="2943">
        <v>9320</v>
      </c>
      <c r="D163" s="2943">
        <v>9270</v>
      </c>
      <c r="E163" s="2943">
        <v>11790</v>
      </c>
      <c r="F163" s="2943">
        <v>1920</v>
      </c>
      <c r="G163" s="2943">
        <v>5960</v>
      </c>
    </row>
    <row r="164" spans="1:7" s="2777" customFormat="1" ht="14.25" customHeight="1">
      <c r="A164" s="2943" t="s">
        <v>29</v>
      </c>
      <c r="B164" s="2943" t="s">
        <v>3007</v>
      </c>
      <c r="C164" s="2943"/>
      <c r="D164" s="2943"/>
      <c r="E164" s="2943"/>
      <c r="F164" s="2943">
        <v>1980</v>
      </c>
      <c r="G164" s="2943"/>
    </row>
    <row r="165" spans="1:7" s="2777" customFormat="1" ht="14.25" customHeight="1">
      <c r="A165" s="2943" t="s">
        <v>29</v>
      </c>
      <c r="B165" s="2943" t="s">
        <v>3077</v>
      </c>
      <c r="C165" s="2943">
        <v>11060</v>
      </c>
      <c r="D165" s="2943">
        <v>11030</v>
      </c>
      <c r="E165" s="2943">
        <v>13850</v>
      </c>
      <c r="F165" s="2943">
        <v>2170</v>
      </c>
      <c r="G165" s="2943">
        <v>7090</v>
      </c>
    </row>
    <row r="166" spans="1:7" s="2777" customFormat="1" ht="14.25" customHeight="1">
      <c r="A166" s="2943" t="s">
        <v>29</v>
      </c>
      <c r="B166" s="2943" t="s">
        <v>3017</v>
      </c>
      <c r="C166" s="2943">
        <v>11050</v>
      </c>
      <c r="D166" s="2943">
        <v>11010</v>
      </c>
      <c r="E166" s="2943">
        <v>13920</v>
      </c>
      <c r="F166" s="2943">
        <v>2140</v>
      </c>
      <c r="G166" s="2943">
        <v>7080</v>
      </c>
    </row>
    <row r="167" spans="1:7" s="2777" customFormat="1" ht="14.25" customHeight="1">
      <c r="A167" s="2943" t="s">
        <v>29</v>
      </c>
      <c r="B167" s="2943" t="s">
        <v>3021</v>
      </c>
      <c r="C167" s="2943">
        <v>10930</v>
      </c>
      <c r="D167" s="2943">
        <v>10890</v>
      </c>
      <c r="E167" s="2943">
        <v>13790</v>
      </c>
      <c r="F167" s="2943">
        <v>2010</v>
      </c>
      <c r="G167" s="2943">
        <v>7000</v>
      </c>
    </row>
    <row r="168" spans="1:7" s="2777" customFormat="1" ht="14.25" customHeight="1">
      <c r="A168" s="2943" t="s">
        <v>29</v>
      </c>
      <c r="B168" s="2943" t="s">
        <v>3026</v>
      </c>
      <c r="C168" s="2943">
        <v>9420</v>
      </c>
      <c r="D168" s="2943">
        <v>9380</v>
      </c>
      <c r="E168" s="2943">
        <v>11970</v>
      </c>
      <c r="F168" s="2943"/>
      <c r="G168" s="2943">
        <v>6040</v>
      </c>
    </row>
    <row r="169" spans="1:7" s="2777" customFormat="1" ht="14.25" customHeight="1">
      <c r="A169" s="2943" t="s">
        <v>29</v>
      </c>
      <c r="B169" s="2943" t="s">
        <v>3078</v>
      </c>
      <c r="C169" s="2943"/>
      <c r="D169" s="2943"/>
      <c r="E169" s="2943"/>
      <c r="F169" s="2943">
        <v>2880</v>
      </c>
      <c r="G169" s="2943"/>
    </row>
    <row r="170" spans="1:7" s="2777" customFormat="1" ht="14.25" customHeight="1">
      <c r="A170" s="2943" t="s">
        <v>29</v>
      </c>
      <c r="B170" s="2943" t="s">
        <v>3034</v>
      </c>
      <c r="C170" s="2943"/>
      <c r="D170" s="2943"/>
      <c r="E170" s="2943"/>
      <c r="F170" s="2943">
        <v>2880</v>
      </c>
      <c r="G170" s="2943"/>
    </row>
    <row r="171" spans="1:7" s="2777" customFormat="1" ht="14.25" customHeight="1">
      <c r="A171" s="2943" t="s">
        <v>29</v>
      </c>
      <c r="B171" s="2943" t="s">
        <v>3037</v>
      </c>
      <c r="C171" s="2943"/>
      <c r="D171" s="2943"/>
      <c r="E171" s="2943"/>
      <c r="F171" s="2943">
        <v>2880</v>
      </c>
      <c r="G171" s="2943"/>
    </row>
    <row r="172" spans="1:7" s="2777" customFormat="1" ht="14.25" customHeight="1">
      <c r="A172" s="2943" t="s">
        <v>29</v>
      </c>
      <c r="B172" s="2943" t="s">
        <v>3039</v>
      </c>
      <c r="C172" s="2943"/>
      <c r="D172" s="2943"/>
      <c r="E172" s="2943"/>
      <c r="F172" s="2943">
        <v>2880</v>
      </c>
      <c r="G172" s="2943"/>
    </row>
    <row r="173" spans="1:7" s="2777" customFormat="1" ht="14.25" customHeight="1">
      <c r="A173" s="2943" t="s">
        <v>29</v>
      </c>
      <c r="B173" s="2943" t="s">
        <v>3041</v>
      </c>
      <c r="C173" s="2943"/>
      <c r="D173" s="2943"/>
      <c r="E173" s="2943"/>
      <c r="F173" s="2943">
        <v>2150</v>
      </c>
      <c r="G173" s="2943"/>
    </row>
    <row r="174" spans="1:7" s="2777" customFormat="1" ht="14.25" customHeight="1">
      <c r="A174" s="2943" t="s">
        <v>29</v>
      </c>
      <c r="B174" s="2943" t="s">
        <v>3043</v>
      </c>
      <c r="C174" s="2943"/>
      <c r="D174" s="2943"/>
      <c r="E174" s="2943"/>
      <c r="F174" s="2943">
        <v>2030</v>
      </c>
      <c r="G174" s="2943"/>
    </row>
    <row r="175" spans="1:7" s="2777" customFormat="1" ht="14.25" customHeight="1">
      <c r="A175" s="2943" t="s">
        <v>29</v>
      </c>
      <c r="B175" s="2943" t="s">
        <v>3045</v>
      </c>
      <c r="C175" s="2943"/>
      <c r="D175" s="2943"/>
      <c r="E175" s="2943"/>
      <c r="F175" s="2943">
        <v>2780</v>
      </c>
      <c r="G175" s="2943"/>
    </row>
    <row r="176" spans="1:7" s="2777" customFormat="1" ht="14.25" customHeight="1">
      <c r="A176" s="2943" t="s">
        <v>29</v>
      </c>
      <c r="B176" s="2943" t="s">
        <v>3047</v>
      </c>
      <c r="C176" s="2943"/>
      <c r="D176" s="2943"/>
      <c r="E176" s="2943"/>
      <c r="F176" s="2943">
        <v>2780</v>
      </c>
      <c r="G176" s="2943"/>
    </row>
    <row r="177" spans="1:7" s="2777" customFormat="1" ht="14.25" customHeight="1">
      <c r="A177" s="2943" t="s">
        <v>29</v>
      </c>
      <c r="B177" s="2943" t="s">
        <v>3079</v>
      </c>
      <c r="C177" s="2943"/>
      <c r="D177" s="2943"/>
      <c r="E177" s="2943"/>
      <c r="F177" s="2943">
        <v>2780</v>
      </c>
      <c r="G177" s="2943"/>
    </row>
    <row r="178" spans="1:7" s="2777" customFormat="1" ht="14.25" customHeight="1">
      <c r="A178" s="2943" t="s">
        <v>29</v>
      </c>
      <c r="B178" s="2943" t="s">
        <v>3080</v>
      </c>
      <c r="C178" s="2943"/>
      <c r="D178" s="2943"/>
      <c r="E178" s="2943"/>
      <c r="F178" s="2943">
        <v>2060</v>
      </c>
      <c r="G178" s="2943"/>
    </row>
    <row r="179" spans="1:7" s="2777" customFormat="1" ht="14.25" customHeight="1">
      <c r="A179" s="2943" t="s">
        <v>29</v>
      </c>
      <c r="B179" s="2943" t="s">
        <v>3081</v>
      </c>
      <c r="C179" s="2943"/>
      <c r="D179" s="2943"/>
      <c r="E179" s="2943"/>
      <c r="F179" s="2943">
        <v>2120</v>
      </c>
      <c r="G179" s="2943"/>
    </row>
    <row r="180" spans="1:7" s="2777" customFormat="1" ht="14.25" customHeight="1">
      <c r="A180" s="2943" t="s">
        <v>29</v>
      </c>
      <c r="B180" s="2943" t="s">
        <v>3053</v>
      </c>
      <c r="C180" s="2943"/>
      <c r="D180" s="2943"/>
      <c r="E180" s="2943"/>
      <c r="F180" s="2943">
        <v>2340</v>
      </c>
      <c r="G180" s="2943"/>
    </row>
    <row r="181" spans="1:7" s="2777" customFormat="1" ht="14.25" customHeight="1">
      <c r="A181" s="2943" t="s">
        <v>29</v>
      </c>
      <c r="B181" s="2943" t="s">
        <v>3054</v>
      </c>
      <c r="C181" s="2943"/>
      <c r="D181" s="2943"/>
      <c r="E181" s="2943"/>
      <c r="F181" s="2943">
        <v>2340</v>
      </c>
      <c r="G181" s="2943"/>
    </row>
    <row r="182" spans="1:7" s="2777" customFormat="1" ht="14.25" customHeight="1">
      <c r="A182" s="2943" t="s">
        <v>29</v>
      </c>
      <c r="B182" s="2943" t="s">
        <v>3055</v>
      </c>
      <c r="C182" s="2943"/>
      <c r="D182" s="2943"/>
      <c r="E182" s="2943"/>
      <c r="F182" s="2943">
        <v>2340</v>
      </c>
      <c r="G182" s="2943"/>
    </row>
    <row r="183" spans="1:7" s="2777" customFormat="1" ht="14.25" customHeight="1">
      <c r="A183" s="2943" t="s">
        <v>29</v>
      </c>
      <c r="B183" s="2943" t="s">
        <v>3056</v>
      </c>
      <c r="C183" s="2943"/>
      <c r="D183" s="2943"/>
      <c r="E183" s="2943"/>
      <c r="F183" s="2943">
        <v>2340</v>
      </c>
      <c r="G183" s="2943"/>
    </row>
    <row r="184" spans="1:7" s="2777" customFormat="1" ht="14.25" customHeight="1">
      <c r="A184" s="2943" t="s">
        <v>29</v>
      </c>
      <c r="B184" s="2943" t="s">
        <v>3057</v>
      </c>
      <c r="C184" s="2943"/>
      <c r="D184" s="2943"/>
      <c r="E184" s="2943"/>
      <c r="F184" s="2943">
        <v>2340</v>
      </c>
      <c r="G184" s="2943"/>
    </row>
    <row r="185" spans="1:7" s="2777" customFormat="1" ht="14.25" customHeight="1">
      <c r="A185" s="2943" t="s">
        <v>29</v>
      </c>
      <c r="B185" s="2943" t="s">
        <v>3058</v>
      </c>
      <c r="C185" s="2943"/>
      <c r="D185" s="2943"/>
      <c r="E185" s="2943"/>
      <c r="F185" s="2943">
        <v>2530</v>
      </c>
      <c r="G185" s="2943"/>
    </row>
    <row r="186" spans="1:7" s="2777" customFormat="1" ht="14.25" customHeight="1">
      <c r="A186" s="2943" t="s">
        <v>29</v>
      </c>
      <c r="B186" s="2943" t="s">
        <v>3059</v>
      </c>
      <c r="C186" s="2943"/>
      <c r="D186" s="2943"/>
      <c r="E186" s="2943"/>
      <c r="F186" s="2943">
        <v>2550</v>
      </c>
      <c r="G186" s="2943"/>
    </row>
    <row r="187" spans="1:7" s="2777" customFormat="1" ht="14.25" customHeight="1">
      <c r="A187" s="2943" t="s">
        <v>29</v>
      </c>
      <c r="B187" s="2943" t="s">
        <v>3060</v>
      </c>
      <c r="C187" s="2943"/>
      <c r="D187" s="2943"/>
      <c r="E187" s="2943"/>
      <c r="F187" s="2943">
        <v>2070</v>
      </c>
      <c r="G187" s="2943"/>
    </row>
    <row r="188" spans="1:7" s="2777" customFormat="1" ht="14.25" customHeight="1">
      <c r="A188" s="2943" t="s">
        <v>29</v>
      </c>
      <c r="B188" s="2943" t="s">
        <v>3061</v>
      </c>
      <c r="C188" s="2943"/>
      <c r="D188" s="2943"/>
      <c r="E188" s="2943"/>
      <c r="F188" s="2943">
        <v>2340</v>
      </c>
      <c r="G188" s="2943"/>
    </row>
    <row r="189" spans="1:7" s="2777" customFormat="1" ht="14.25" customHeight="1" thickBot="1">
      <c r="A189" s="2951" t="s">
        <v>29</v>
      </c>
      <c r="B189" s="2954" t="s">
        <v>3062</v>
      </c>
      <c r="C189" s="2954"/>
      <c r="D189" s="2954"/>
      <c r="E189" s="2954"/>
      <c r="F189" s="2954">
        <v>2050</v>
      </c>
      <c r="G189" s="2954"/>
    </row>
    <row r="190" spans="1:7" s="2777" customFormat="1" ht="14.25" customHeight="1">
      <c r="A190" s="2948" t="s">
        <v>304</v>
      </c>
      <c r="B190" s="2939" t="s">
        <v>3082</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3083</v>
      </c>
      <c r="C199" s="2943">
        <v>8690</v>
      </c>
      <c r="D199" s="2943">
        <v>8630</v>
      </c>
      <c r="E199" s="2943">
        <v>11350</v>
      </c>
      <c r="F199" s="2943">
        <v>1600</v>
      </c>
      <c r="G199" s="2956">
        <v>5450</v>
      </c>
    </row>
    <row r="200" spans="1:7" s="2777" customFormat="1" ht="14.25" customHeight="1">
      <c r="A200" s="2943" t="s">
        <v>304</v>
      </c>
      <c r="B200" s="2943" t="s">
        <v>2894</v>
      </c>
      <c r="C200" s="2943"/>
      <c r="D200" s="2943"/>
      <c r="E200" s="2943"/>
      <c r="F200" s="2943">
        <v>1510</v>
      </c>
      <c r="G200" s="2956"/>
    </row>
    <row r="201" spans="1:7" s="2777" customFormat="1" ht="14.25" customHeight="1">
      <c r="A201" s="2943" t="s">
        <v>304</v>
      </c>
      <c r="B201" s="2943" t="s">
        <v>3084</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3085</v>
      </c>
      <c r="C203" s="2943">
        <v>8130</v>
      </c>
      <c r="D203" s="2943">
        <v>8070</v>
      </c>
      <c r="E203" s="2943">
        <v>10820</v>
      </c>
      <c r="F203" s="2943">
        <v>1690</v>
      </c>
      <c r="G203" s="2956">
        <v>5100</v>
      </c>
    </row>
    <row r="204" spans="1:7" s="2777" customFormat="1" ht="14.25" customHeight="1">
      <c r="A204" s="2943" t="s">
        <v>304</v>
      </c>
      <c r="B204" s="2943" t="s">
        <v>2905</v>
      </c>
      <c r="C204" s="2943">
        <v>8350</v>
      </c>
      <c r="D204" s="2943">
        <v>8290</v>
      </c>
      <c r="E204" s="2943">
        <v>11080</v>
      </c>
      <c r="F204" s="2943">
        <v>1450</v>
      </c>
      <c r="G204" s="2956">
        <v>5240</v>
      </c>
    </row>
    <row r="205" spans="1:7" s="2777" customFormat="1" ht="14.25" customHeight="1">
      <c r="A205" s="2943" t="s">
        <v>304</v>
      </c>
      <c r="B205" s="2943" t="s">
        <v>2907</v>
      </c>
      <c r="C205" s="2943">
        <v>7190</v>
      </c>
      <c r="D205" s="2943">
        <v>7130</v>
      </c>
      <c r="E205" s="2943">
        <v>9490</v>
      </c>
      <c r="F205" s="2943">
        <v>1470</v>
      </c>
      <c r="G205" s="2956">
        <v>4510</v>
      </c>
    </row>
    <row r="206" spans="1:7" s="2777" customFormat="1" ht="14.25" customHeight="1">
      <c r="A206" s="2943" t="s">
        <v>304</v>
      </c>
      <c r="B206" s="2943" t="s">
        <v>2910</v>
      </c>
      <c r="C206" s="2943">
        <v>7000</v>
      </c>
      <c r="D206" s="2943">
        <v>6950</v>
      </c>
      <c r="E206" s="2943">
        <v>9170</v>
      </c>
      <c r="F206" s="2943">
        <v>1400</v>
      </c>
      <c r="G206" s="2956">
        <v>4380</v>
      </c>
    </row>
    <row r="207" spans="1:7" s="2777" customFormat="1" ht="14.25" customHeight="1">
      <c r="A207" s="2943" t="s">
        <v>304</v>
      </c>
      <c r="B207" s="2943" t="s">
        <v>2912</v>
      </c>
      <c r="C207" s="2943">
        <v>6950</v>
      </c>
      <c r="D207" s="2943">
        <v>6900</v>
      </c>
      <c r="E207" s="2943">
        <v>9110</v>
      </c>
      <c r="F207" s="2943">
        <v>1790</v>
      </c>
      <c r="G207" s="2956">
        <v>4360</v>
      </c>
    </row>
    <row r="208" spans="1:7" s="2777" customFormat="1" ht="14.25" customHeight="1">
      <c r="A208" s="2943" t="s">
        <v>304</v>
      </c>
      <c r="B208" s="2943" t="s">
        <v>3086</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2922</v>
      </c>
      <c r="C210" s="2943">
        <v>8710</v>
      </c>
      <c r="D210" s="2943">
        <v>8660</v>
      </c>
      <c r="E210" s="2943">
        <v>11440</v>
      </c>
      <c r="F210" s="2943">
        <v>1740</v>
      </c>
      <c r="G210" s="2956">
        <v>5470</v>
      </c>
    </row>
    <row r="211" spans="1:7" s="2777" customFormat="1" ht="14.25" customHeight="1">
      <c r="A211" s="2943" t="s">
        <v>304</v>
      </c>
      <c r="B211" s="2943" t="s">
        <v>3087</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3088</v>
      </c>
      <c r="C214" s="2943">
        <v>8090</v>
      </c>
      <c r="D214" s="2943">
        <v>8030</v>
      </c>
      <c r="E214" s="2943">
        <v>10780</v>
      </c>
      <c r="F214" s="2943">
        <v>1570</v>
      </c>
      <c r="G214" s="2956">
        <v>5070</v>
      </c>
    </row>
    <row r="215" spans="1:7" s="2777" customFormat="1" ht="14.25" customHeight="1">
      <c r="A215" s="2943" t="s">
        <v>304</v>
      </c>
      <c r="B215" s="2943" t="s">
        <v>3089</v>
      </c>
      <c r="C215" s="2943">
        <v>7950</v>
      </c>
      <c r="D215" s="2943">
        <v>7900</v>
      </c>
      <c r="E215" s="2943">
        <v>10560</v>
      </c>
      <c r="F215" s="2943">
        <v>1630</v>
      </c>
      <c r="G215" s="2956">
        <v>4990</v>
      </c>
    </row>
    <row r="216" spans="1:7" s="2777" customFormat="1" ht="14.25" customHeight="1">
      <c r="A216" s="2943" t="s">
        <v>304</v>
      </c>
      <c r="B216" s="2943" t="s">
        <v>3090</v>
      </c>
      <c r="C216" s="2943">
        <v>8490</v>
      </c>
      <c r="D216" s="2943">
        <v>8440</v>
      </c>
      <c r="E216" s="2943">
        <v>11260</v>
      </c>
      <c r="F216" s="2943">
        <v>1690</v>
      </c>
      <c r="G216" s="2956">
        <v>5330</v>
      </c>
    </row>
    <row r="217" spans="1:7" s="2777" customFormat="1" ht="14.25" customHeight="1">
      <c r="A217" s="2943" t="s">
        <v>304</v>
      </c>
      <c r="B217" s="2943" t="s">
        <v>2955</v>
      </c>
      <c r="C217" s="2943">
        <v>8200</v>
      </c>
      <c r="D217" s="2943">
        <v>8150</v>
      </c>
      <c r="E217" s="2943">
        <v>10910</v>
      </c>
      <c r="F217" s="2943">
        <v>1670</v>
      </c>
      <c r="G217" s="2956">
        <v>5150</v>
      </c>
    </row>
    <row r="218" spans="1:7" s="2777" customFormat="1" ht="14.25" customHeight="1">
      <c r="A218" s="2943" t="s">
        <v>304</v>
      </c>
      <c r="B218" s="2943" t="s">
        <v>3091</v>
      </c>
      <c r="C218" s="2943"/>
      <c r="D218" s="2943"/>
      <c r="E218" s="2943"/>
      <c r="F218" s="2943">
        <v>2040</v>
      </c>
      <c r="G218" s="2956"/>
    </row>
    <row r="219" spans="1:7" s="2777" customFormat="1" ht="14.25" customHeight="1">
      <c r="A219" s="2943" t="s">
        <v>304</v>
      </c>
      <c r="B219" s="2943" t="s">
        <v>3092</v>
      </c>
      <c r="C219" s="2943"/>
      <c r="D219" s="2943"/>
      <c r="E219" s="2943"/>
      <c r="F219" s="2943">
        <v>2040</v>
      </c>
      <c r="G219" s="2956"/>
    </row>
    <row r="220" spans="1:7" s="2777" customFormat="1" ht="14.25" customHeight="1">
      <c r="A220" s="2943" t="s">
        <v>304</v>
      </c>
      <c r="B220" s="2943" t="s">
        <v>3093</v>
      </c>
      <c r="C220" s="2943"/>
      <c r="D220" s="2943"/>
      <c r="E220" s="2943"/>
      <c r="F220" s="2943">
        <v>2040</v>
      </c>
      <c r="G220" s="2956"/>
    </row>
    <row r="221" spans="1:7" s="2777" customFormat="1" ht="14.25" customHeight="1">
      <c r="A221" s="2943" t="s">
        <v>304</v>
      </c>
      <c r="B221" s="2943" t="s">
        <v>3094</v>
      </c>
      <c r="C221" s="2943"/>
      <c r="D221" s="2943"/>
      <c r="E221" s="2943"/>
      <c r="F221" s="2943">
        <v>2040</v>
      </c>
      <c r="G221" s="2956"/>
    </row>
    <row r="222" spans="1:7" s="2777" customFormat="1" ht="14.25" customHeight="1">
      <c r="A222" s="2943" t="s">
        <v>304</v>
      </c>
      <c r="B222" s="2943" t="s">
        <v>3095</v>
      </c>
      <c r="C222" s="2943"/>
      <c r="D222" s="2943"/>
      <c r="E222" s="2943"/>
      <c r="F222" s="2943">
        <v>2040</v>
      </c>
      <c r="G222" s="2956"/>
    </row>
    <row r="223" spans="1:7" s="2777" customFormat="1" ht="14.25" customHeight="1">
      <c r="A223" s="2943" t="s">
        <v>304</v>
      </c>
      <c r="B223" s="2943" t="s">
        <v>3096</v>
      </c>
      <c r="C223" s="2943"/>
      <c r="D223" s="2943"/>
      <c r="E223" s="2943"/>
      <c r="F223" s="2943">
        <v>1930</v>
      </c>
      <c r="G223" s="2956"/>
    </row>
    <row r="224" spans="1:7" s="2777" customFormat="1" ht="14.25" customHeight="1">
      <c r="A224" s="2943" t="s">
        <v>304</v>
      </c>
      <c r="B224" s="2943" t="s">
        <v>3097</v>
      </c>
      <c r="C224" s="2943"/>
      <c r="D224" s="2943"/>
      <c r="E224" s="2943"/>
      <c r="F224" s="2943">
        <v>1930</v>
      </c>
      <c r="G224" s="2956"/>
    </row>
    <row r="225" spans="1:7" s="2777" customFormat="1" ht="14.25" customHeight="1">
      <c r="A225" s="2943" t="s">
        <v>304</v>
      </c>
      <c r="B225" s="2943" t="s">
        <v>3098</v>
      </c>
      <c r="C225" s="2943"/>
      <c r="D225" s="2943"/>
      <c r="E225" s="2943"/>
      <c r="F225" s="2943">
        <v>1930</v>
      </c>
      <c r="G225" s="2956"/>
    </row>
    <row r="226" spans="1:7" s="2777" customFormat="1" ht="14.25" customHeight="1">
      <c r="A226" s="2943" t="s">
        <v>304</v>
      </c>
      <c r="B226" s="2943" t="s">
        <v>3099</v>
      </c>
      <c r="C226" s="2943"/>
      <c r="D226" s="2943"/>
      <c r="E226" s="2943"/>
      <c r="F226" s="2943">
        <v>1700</v>
      </c>
      <c r="G226" s="2956"/>
    </row>
    <row r="227" spans="1:7" s="2777" customFormat="1" ht="14.25" customHeight="1">
      <c r="A227" s="2943" t="s">
        <v>304</v>
      </c>
      <c r="B227" s="2943" t="s">
        <v>3100</v>
      </c>
      <c r="C227" s="2943"/>
      <c r="D227" s="2943"/>
      <c r="E227" s="2943"/>
      <c r="F227" s="2943">
        <v>1520</v>
      </c>
      <c r="G227" s="2956"/>
    </row>
    <row r="228" spans="1:7" s="2777" customFormat="1" ht="14.25" customHeight="1">
      <c r="A228" s="2943" t="s">
        <v>304</v>
      </c>
      <c r="B228" s="2943" t="s">
        <v>3101</v>
      </c>
      <c r="C228" s="2943"/>
      <c r="D228" s="2943"/>
      <c r="E228" s="2943"/>
      <c r="F228" s="2943">
        <v>1520</v>
      </c>
      <c r="G228" s="2956"/>
    </row>
    <row r="229" spans="1:7" s="2777" customFormat="1" ht="14.25" customHeight="1">
      <c r="A229" s="2943" t="s">
        <v>304</v>
      </c>
      <c r="B229" s="2943" t="s">
        <v>3018</v>
      </c>
      <c r="C229" s="2943"/>
      <c r="D229" s="2943"/>
      <c r="E229" s="2943"/>
      <c r="F229" s="2943">
        <v>1520</v>
      </c>
      <c r="G229" s="2956"/>
    </row>
    <row r="230" spans="1:7" s="2777" customFormat="1" ht="14.25" customHeight="1">
      <c r="A230" s="2943" t="s">
        <v>304</v>
      </c>
      <c r="B230" s="2943" t="s">
        <v>3102</v>
      </c>
      <c r="C230" s="2943"/>
      <c r="D230" s="2943"/>
      <c r="E230" s="2943"/>
      <c r="F230" s="2943">
        <v>1820</v>
      </c>
      <c r="G230" s="2956"/>
    </row>
    <row r="231" spans="1:7" s="2777" customFormat="1" ht="14.25" customHeight="1">
      <c r="A231" s="2943" t="s">
        <v>304</v>
      </c>
      <c r="B231" s="2943" t="s">
        <v>3103</v>
      </c>
      <c r="C231" s="2943"/>
      <c r="D231" s="2943"/>
      <c r="E231" s="2943"/>
      <c r="F231" s="2943">
        <v>1760</v>
      </c>
      <c r="G231" s="2956"/>
    </row>
    <row r="232" spans="1:7" s="2777" customFormat="1" ht="14.25" customHeight="1">
      <c r="A232" s="2943" t="s">
        <v>304</v>
      </c>
      <c r="B232" s="2943" t="s">
        <v>3104</v>
      </c>
      <c r="C232" s="2943"/>
      <c r="D232" s="2943"/>
      <c r="E232" s="2943"/>
      <c r="F232" s="2943">
        <v>1840</v>
      </c>
      <c r="G232" s="2956"/>
    </row>
    <row r="233" spans="1:7" s="2777" customFormat="1" ht="14.25" customHeight="1" thickBot="1">
      <c r="A233" s="2957" t="s">
        <v>304</v>
      </c>
      <c r="B233" s="2950" t="s">
        <v>3035</v>
      </c>
      <c r="C233" s="2950"/>
      <c r="D233" s="2950"/>
      <c r="E233" s="2950"/>
      <c r="F233" s="2950">
        <v>1770</v>
      </c>
      <c r="G233" s="2958"/>
    </row>
    <row r="234" spans="1:7" s="2777" customFormat="1" ht="14.25" customHeight="1">
      <c r="A234" s="2948" t="s">
        <v>305</v>
      </c>
      <c r="B234" s="2939" t="s">
        <v>3105</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2876</v>
      </c>
      <c r="C238" s="2943">
        <v>6920</v>
      </c>
      <c r="D238" s="2943">
        <v>6890</v>
      </c>
      <c r="E238" s="2943">
        <v>8640</v>
      </c>
      <c r="F238" s="2943">
        <v>1310</v>
      </c>
      <c r="G238" s="2943">
        <v>4230</v>
      </c>
    </row>
    <row r="239" spans="1:7" s="2777" customFormat="1" ht="14.25" customHeight="1">
      <c r="A239" s="2943" t="s">
        <v>305</v>
      </c>
      <c r="B239" s="2943" t="s">
        <v>3106</v>
      </c>
      <c r="C239" s="2943">
        <v>6780</v>
      </c>
      <c r="D239" s="2943">
        <v>6750</v>
      </c>
      <c r="E239" s="2943">
        <v>8440</v>
      </c>
      <c r="F239" s="2943">
        <v>1160</v>
      </c>
      <c r="G239" s="2943">
        <v>4140</v>
      </c>
    </row>
    <row r="240" spans="1:7" s="2777" customFormat="1" ht="14.25" customHeight="1">
      <c r="A240" s="2943" t="s">
        <v>305</v>
      </c>
      <c r="B240" s="2943" t="s">
        <v>3107</v>
      </c>
      <c r="C240" s="2943">
        <v>5420</v>
      </c>
      <c r="D240" s="2943">
        <v>5380</v>
      </c>
      <c r="E240" s="2943">
        <v>6640</v>
      </c>
      <c r="F240" s="2943">
        <v>1020</v>
      </c>
      <c r="G240" s="2943">
        <v>3300</v>
      </c>
    </row>
    <row r="241" spans="1:7" s="2777" customFormat="1" ht="14.25" customHeight="1">
      <c r="A241" s="2943" t="s">
        <v>305</v>
      </c>
      <c r="B241" s="2943" t="s">
        <v>3108</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3109</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3110</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3111</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3112</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3113</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2938</v>
      </c>
      <c r="C258" s="2943">
        <v>6190</v>
      </c>
      <c r="D258" s="2943">
        <v>6160</v>
      </c>
      <c r="E258" s="2943">
        <v>7680</v>
      </c>
      <c r="F258" s="2943">
        <v>1170</v>
      </c>
      <c r="G258" s="2943">
        <v>3780</v>
      </c>
    </row>
    <row r="259" spans="1:7" s="2777" customFormat="1" ht="14.25" customHeight="1">
      <c r="A259" s="2943" t="s">
        <v>305</v>
      </c>
      <c r="B259" s="2943" t="s">
        <v>3114</v>
      </c>
      <c r="C259" s="2943">
        <v>7610</v>
      </c>
      <c r="D259" s="2943">
        <v>7570</v>
      </c>
      <c r="E259" s="2943">
        <v>9350</v>
      </c>
      <c r="F259" s="2943">
        <v>1350</v>
      </c>
      <c r="G259" s="2943">
        <v>4650</v>
      </c>
    </row>
    <row r="260" spans="1:7" s="2777" customFormat="1" ht="14.25" customHeight="1">
      <c r="A260" s="2943" t="s">
        <v>305</v>
      </c>
      <c r="B260" s="2943" t="s">
        <v>3115</v>
      </c>
      <c r="C260" s="2943">
        <v>6920</v>
      </c>
      <c r="D260" s="2943">
        <v>6880</v>
      </c>
      <c r="E260" s="2943">
        <v>8380</v>
      </c>
      <c r="F260" s="2943">
        <v>1160</v>
      </c>
      <c r="G260" s="2943">
        <v>4220</v>
      </c>
    </row>
    <row r="261" spans="1:7" s="2777" customFormat="1" ht="14.25" customHeight="1">
      <c r="A261" s="2943" t="s">
        <v>305</v>
      </c>
      <c r="B261" s="2943" t="s">
        <v>3116</v>
      </c>
      <c r="C261" s="2943">
        <v>6850</v>
      </c>
      <c r="D261" s="2943">
        <v>6810</v>
      </c>
      <c r="E261" s="2943">
        <v>8290</v>
      </c>
      <c r="F261" s="2943">
        <v>1130</v>
      </c>
      <c r="G261" s="2943">
        <v>4180</v>
      </c>
    </row>
    <row r="262" spans="1:7" s="2777" customFormat="1" ht="14.25" customHeight="1">
      <c r="A262" s="2943" t="s">
        <v>305</v>
      </c>
      <c r="B262" s="2943" t="s">
        <v>3117</v>
      </c>
      <c r="C262" s="2943">
        <v>5860</v>
      </c>
      <c r="D262" s="2943">
        <v>5820</v>
      </c>
      <c r="E262" s="2943">
        <v>7640</v>
      </c>
      <c r="F262" s="2943">
        <v>1070</v>
      </c>
      <c r="G262" s="2943">
        <v>3570</v>
      </c>
    </row>
    <row r="263" spans="1:7" s="2777" customFormat="1" ht="14.25" customHeight="1">
      <c r="A263" s="2943" t="s">
        <v>305</v>
      </c>
      <c r="B263" s="2943" t="s">
        <v>3118</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3119</v>
      </c>
      <c r="C265" s="2943"/>
      <c r="D265" s="2943"/>
      <c r="E265" s="2943"/>
      <c r="F265" s="2943">
        <v>1500</v>
      </c>
      <c r="G265" s="2943"/>
    </row>
    <row r="266" spans="1:7" s="2777" customFormat="1" ht="14.25" customHeight="1">
      <c r="A266" s="2943" t="s">
        <v>305</v>
      </c>
      <c r="B266" s="2943" t="s">
        <v>3120</v>
      </c>
      <c r="C266" s="2943"/>
      <c r="D266" s="2943"/>
      <c r="E266" s="2943"/>
      <c r="F266" s="2943">
        <v>1500</v>
      </c>
      <c r="G266" s="2943"/>
    </row>
    <row r="267" spans="1:7" s="2777" customFormat="1" ht="14.25" customHeight="1">
      <c r="A267" s="2943" t="s">
        <v>305</v>
      </c>
      <c r="B267" s="2943" t="s">
        <v>3121</v>
      </c>
      <c r="C267" s="2943"/>
      <c r="D267" s="2943"/>
      <c r="E267" s="2943"/>
      <c r="F267" s="2943">
        <v>1500</v>
      </c>
      <c r="G267" s="2943"/>
    </row>
    <row r="268" spans="1:7" s="2777" customFormat="1" ht="14.25" customHeight="1">
      <c r="A268" s="2943" t="s">
        <v>305</v>
      </c>
      <c r="B268" s="2943" t="s">
        <v>3122</v>
      </c>
      <c r="C268" s="2943"/>
      <c r="D268" s="2943"/>
      <c r="E268" s="2943"/>
      <c r="F268" s="2943">
        <v>1290</v>
      </c>
      <c r="G268" s="2943"/>
    </row>
    <row r="269" spans="1:7" s="2777" customFormat="1" ht="14.25" customHeight="1">
      <c r="A269" s="2943" t="s">
        <v>305</v>
      </c>
      <c r="B269" s="2943" t="s">
        <v>3123</v>
      </c>
      <c r="C269" s="2943"/>
      <c r="D269" s="2943"/>
      <c r="E269" s="2943"/>
      <c r="F269" s="2943">
        <v>1150</v>
      </c>
      <c r="G269" s="2943"/>
    </row>
    <row r="270" spans="1:7" s="2777" customFormat="1" ht="14.25" customHeight="1">
      <c r="A270" s="2943" t="s">
        <v>305</v>
      </c>
      <c r="B270" s="2943" t="s">
        <v>3124</v>
      </c>
      <c r="C270" s="2943"/>
      <c r="D270" s="2943"/>
      <c r="E270" s="2943"/>
      <c r="F270" s="2943">
        <v>1380</v>
      </c>
      <c r="G270" s="2943"/>
    </row>
    <row r="271" spans="1:7" s="2777" customFormat="1" ht="14.25" customHeight="1">
      <c r="A271" s="2943" t="s">
        <v>305</v>
      </c>
      <c r="B271" s="2943" t="s">
        <v>3125</v>
      </c>
      <c r="C271" s="2943"/>
      <c r="D271" s="2943"/>
      <c r="E271" s="2943"/>
      <c r="F271" s="2943">
        <v>1460</v>
      </c>
      <c r="G271" s="2943"/>
    </row>
    <row r="272" spans="1:7" s="2777" customFormat="1" ht="14.25" customHeight="1">
      <c r="A272" s="2943" t="s">
        <v>305</v>
      </c>
      <c r="B272" s="2943" t="s">
        <v>3126</v>
      </c>
      <c r="C272" s="2943"/>
      <c r="D272" s="2943"/>
      <c r="E272" s="2943"/>
      <c r="F272" s="2943">
        <v>1460</v>
      </c>
      <c r="G272" s="2943"/>
    </row>
    <row r="273" spans="1:7" s="2777" customFormat="1" ht="14.25" customHeight="1">
      <c r="A273" s="2943" t="s">
        <v>305</v>
      </c>
      <c r="B273" s="2943" t="s">
        <v>3019</v>
      </c>
      <c r="C273" s="2943"/>
      <c r="D273" s="2943"/>
      <c r="E273" s="2943"/>
      <c r="F273" s="2943">
        <v>1490</v>
      </c>
      <c r="G273" s="2943"/>
    </row>
    <row r="274" spans="1:7" s="2777" customFormat="1" ht="14.25" customHeight="1">
      <c r="A274" s="2943" t="s">
        <v>305</v>
      </c>
      <c r="B274" s="2943" t="s">
        <v>3127</v>
      </c>
      <c r="C274" s="2943"/>
      <c r="D274" s="2943"/>
      <c r="E274" s="2943"/>
      <c r="F274" s="2943">
        <v>1490</v>
      </c>
      <c r="G274" s="2943"/>
    </row>
    <row r="275" spans="1:7" s="2777" customFormat="1" ht="14.25" customHeight="1">
      <c r="A275" s="2943" t="s">
        <v>305</v>
      </c>
      <c r="B275" s="2943" t="s">
        <v>3128</v>
      </c>
      <c r="C275" s="2943"/>
      <c r="D275" s="2943"/>
      <c r="E275" s="2943"/>
      <c r="F275" s="2943">
        <v>1220</v>
      </c>
      <c r="G275" s="2943"/>
    </row>
    <row r="276" spans="1:7" s="2777" customFormat="1" ht="14.25" customHeight="1" thickBot="1">
      <c r="A276" s="2951" t="s">
        <v>305</v>
      </c>
      <c r="B276" s="2953" t="s">
        <v>3129</v>
      </c>
      <c r="C276" s="2954"/>
      <c r="D276" s="2954"/>
      <c r="E276" s="2954"/>
      <c r="F276" s="2954">
        <v>1380</v>
      </c>
      <c r="G276" s="2954"/>
    </row>
    <row r="277" spans="1:7" s="2777" customFormat="1" ht="14.25" customHeight="1">
      <c r="A277" s="2948" t="s">
        <v>306</v>
      </c>
      <c r="B277" s="2939" t="s">
        <v>3130</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3131</v>
      </c>
      <c r="C279" s="2943">
        <v>4760</v>
      </c>
      <c r="D279" s="2943">
        <v>4720</v>
      </c>
      <c r="E279" s="2943">
        <v>5540</v>
      </c>
      <c r="F279" s="2943">
        <v>810</v>
      </c>
      <c r="G279" s="2956">
        <v>2850</v>
      </c>
    </row>
    <row r="280" spans="1:7" s="2777" customFormat="1" ht="14.25" customHeight="1">
      <c r="A280" s="2943" t="s">
        <v>306</v>
      </c>
      <c r="B280" s="2943" t="s">
        <v>3132</v>
      </c>
      <c r="C280" s="2943">
        <v>4010</v>
      </c>
      <c r="D280" s="2943">
        <v>3950</v>
      </c>
      <c r="E280" s="2943">
        <v>4710</v>
      </c>
      <c r="F280" s="2943">
        <v>800</v>
      </c>
      <c r="G280" s="2956">
        <v>2390</v>
      </c>
    </row>
    <row r="281" spans="1:7" s="2777" customFormat="1" ht="14.25" customHeight="1">
      <c r="A281" s="2943" t="s">
        <v>306</v>
      </c>
      <c r="B281" s="2943" t="s">
        <v>3133</v>
      </c>
      <c r="C281" s="2943">
        <v>4480</v>
      </c>
      <c r="D281" s="2943">
        <v>4420</v>
      </c>
      <c r="E281" s="2943">
        <v>5230</v>
      </c>
      <c r="F281" s="2943">
        <v>870</v>
      </c>
      <c r="G281" s="2956">
        <v>2660</v>
      </c>
    </row>
    <row r="282" spans="1:7" s="2777" customFormat="1" ht="14.25" customHeight="1">
      <c r="A282" s="2943" t="s">
        <v>306</v>
      </c>
      <c r="B282" s="2943" t="s">
        <v>3134</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3135</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3136</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2911</v>
      </c>
      <c r="C293" s="2943">
        <v>5320</v>
      </c>
      <c r="D293" s="2943">
        <v>5270</v>
      </c>
      <c r="E293" s="2943">
        <v>6160</v>
      </c>
      <c r="F293" s="2943">
        <v>990</v>
      </c>
      <c r="G293" s="2956">
        <v>3170</v>
      </c>
    </row>
    <row r="294" spans="1:7" s="2777" customFormat="1" ht="14.25" customHeight="1">
      <c r="A294" s="2943" t="s">
        <v>306</v>
      </c>
      <c r="B294" s="2943" t="s">
        <v>3137</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2930</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3138</v>
      </c>
      <c r="C302" s="2943">
        <v>5520</v>
      </c>
      <c r="D302" s="2943">
        <v>5470</v>
      </c>
      <c r="E302" s="2943">
        <v>6410</v>
      </c>
      <c r="F302" s="2943">
        <v>950</v>
      </c>
      <c r="G302" s="2956">
        <v>3300</v>
      </c>
    </row>
    <row r="303" spans="1:7" s="2777" customFormat="1" ht="14.25" customHeight="1">
      <c r="A303" s="2943" t="s">
        <v>306</v>
      </c>
      <c r="B303" s="2943" t="s">
        <v>2950</v>
      </c>
      <c r="C303" s="2943">
        <v>5630</v>
      </c>
      <c r="D303" s="2943">
        <v>5590</v>
      </c>
      <c r="E303" s="2943">
        <v>6550</v>
      </c>
      <c r="F303" s="2943">
        <v>1010</v>
      </c>
      <c r="G303" s="2956">
        <v>3370</v>
      </c>
    </row>
    <row r="304" spans="1:7" s="2777" customFormat="1" ht="14.25" customHeight="1">
      <c r="A304" s="2943" t="s">
        <v>306</v>
      </c>
      <c r="B304" s="2943" t="s">
        <v>2957</v>
      </c>
      <c r="C304" s="2943">
        <v>5680</v>
      </c>
      <c r="D304" s="2943">
        <v>5620</v>
      </c>
      <c r="E304" s="2943">
        <v>6620</v>
      </c>
      <c r="F304" s="2943">
        <v>1050</v>
      </c>
      <c r="G304" s="2956">
        <v>3390</v>
      </c>
    </row>
    <row r="305" spans="1:7" s="2777" customFormat="1" ht="14.25" customHeight="1">
      <c r="A305" s="2943" t="s">
        <v>306</v>
      </c>
      <c r="B305" s="2943" t="s">
        <v>2963</v>
      </c>
      <c r="C305" s="2943">
        <v>5590</v>
      </c>
      <c r="D305" s="2943">
        <v>5530</v>
      </c>
      <c r="E305" s="2943">
        <v>6460</v>
      </c>
      <c r="F305" s="2943">
        <v>900</v>
      </c>
      <c r="G305" s="2956">
        <v>3340</v>
      </c>
    </row>
    <row r="306" spans="1:7" s="2777" customFormat="1" ht="14.25" customHeight="1">
      <c r="A306" s="2943" t="s">
        <v>306</v>
      </c>
      <c r="B306" s="2943" t="s">
        <v>3139</v>
      </c>
      <c r="C306" s="2943">
        <v>5560</v>
      </c>
      <c r="D306" s="2943">
        <v>5510</v>
      </c>
      <c r="E306" s="2943">
        <v>6440</v>
      </c>
      <c r="F306" s="2943">
        <v>900</v>
      </c>
      <c r="G306" s="2956">
        <v>3320</v>
      </c>
    </row>
    <row r="307" spans="1:7" s="2777" customFormat="1" ht="14.25" customHeight="1">
      <c r="A307" s="2943" t="s">
        <v>306</v>
      </c>
      <c r="B307" s="2943" t="s">
        <v>2975</v>
      </c>
      <c r="C307" s="2943">
        <v>5650</v>
      </c>
      <c r="D307" s="2943">
        <v>5600</v>
      </c>
      <c r="E307" s="2943">
        <v>6590</v>
      </c>
      <c r="F307" s="2943">
        <v>930</v>
      </c>
      <c r="G307" s="2956">
        <v>3380</v>
      </c>
    </row>
    <row r="308" spans="1:7" s="2777" customFormat="1" ht="14.25" customHeight="1">
      <c r="A308" s="2943" t="s">
        <v>306</v>
      </c>
      <c r="B308" s="2943" t="s">
        <v>3140</v>
      </c>
      <c r="C308" s="2943">
        <v>5620</v>
      </c>
      <c r="D308" s="2943">
        <v>5580</v>
      </c>
      <c r="E308" s="2943">
        <v>6540</v>
      </c>
      <c r="F308" s="2943">
        <v>910</v>
      </c>
      <c r="G308" s="2956">
        <v>3370</v>
      </c>
    </row>
    <row r="309" spans="1:7" s="2777" customFormat="1" ht="14.25" customHeight="1">
      <c r="A309" s="2943" t="s">
        <v>306</v>
      </c>
      <c r="B309" s="2943" t="s">
        <v>3141</v>
      </c>
      <c r="C309" s="2943">
        <v>5060</v>
      </c>
      <c r="D309" s="2943">
        <v>5020</v>
      </c>
      <c r="E309" s="2943">
        <v>6370</v>
      </c>
      <c r="F309" s="2943">
        <v>800</v>
      </c>
      <c r="G309" s="2956">
        <v>3020</v>
      </c>
    </row>
    <row r="310" spans="1:7" s="2777" customFormat="1" ht="14.25" customHeight="1">
      <c r="A310" s="2943" t="s">
        <v>306</v>
      </c>
      <c r="B310" s="2943" t="s">
        <v>2990</v>
      </c>
      <c r="C310" s="2943">
        <v>5150</v>
      </c>
      <c r="D310" s="2943">
        <v>5110</v>
      </c>
      <c r="E310" s="2943">
        <v>6500</v>
      </c>
      <c r="F310" s="2943">
        <v>880</v>
      </c>
      <c r="G310" s="2956">
        <v>3080</v>
      </c>
    </row>
    <row r="311" spans="1:7" s="2777" customFormat="1" ht="14.25" customHeight="1">
      <c r="A311" s="2943" t="s">
        <v>306</v>
      </c>
      <c r="B311" s="2943" t="s">
        <v>3142</v>
      </c>
      <c r="C311" s="2943">
        <v>4750</v>
      </c>
      <c r="D311" s="2943">
        <v>4710</v>
      </c>
      <c r="E311" s="2943">
        <v>5510</v>
      </c>
      <c r="F311" s="2943">
        <v>880</v>
      </c>
      <c r="G311" s="2956">
        <v>2840</v>
      </c>
    </row>
    <row r="312" spans="1:7" s="2777" customFormat="1" ht="14.25" customHeight="1">
      <c r="A312" s="2943" t="s">
        <v>306</v>
      </c>
      <c r="B312" s="2943" t="s">
        <v>3000</v>
      </c>
      <c r="C312" s="2943">
        <v>4690</v>
      </c>
      <c r="D312" s="2943">
        <v>4640</v>
      </c>
      <c r="E312" s="2943">
        <v>5420</v>
      </c>
      <c r="F312" s="2943">
        <v>800</v>
      </c>
      <c r="G312" s="2956">
        <v>2800</v>
      </c>
    </row>
    <row r="313" spans="1:7" s="2777" customFormat="1" ht="14.25" customHeight="1">
      <c r="A313" s="2943" t="s">
        <v>306</v>
      </c>
      <c r="B313" s="2943" t="s">
        <v>3005</v>
      </c>
      <c r="C313" s="2943">
        <v>4810</v>
      </c>
      <c r="D313" s="2943">
        <v>4760</v>
      </c>
      <c r="E313" s="2943">
        <v>5550</v>
      </c>
      <c r="F313" s="2943">
        <v>920</v>
      </c>
      <c r="G313" s="2956">
        <v>2870</v>
      </c>
    </row>
    <row r="314" spans="1:7" s="2777" customFormat="1" ht="14.25" customHeight="1">
      <c r="A314" s="2943" t="s">
        <v>306</v>
      </c>
      <c r="B314" s="2943" t="s">
        <v>3143</v>
      </c>
      <c r="C314" s="2943"/>
      <c r="D314" s="2943"/>
      <c r="E314" s="2943"/>
      <c r="F314" s="2943">
        <v>1020</v>
      </c>
      <c r="G314" s="2956"/>
    </row>
    <row r="315" spans="1:7" s="2777" customFormat="1" ht="14.25" customHeight="1">
      <c r="A315" s="2943" t="s">
        <v>306</v>
      </c>
      <c r="B315" s="2943" t="s">
        <v>3144</v>
      </c>
      <c r="C315" s="2943"/>
      <c r="D315" s="2943"/>
      <c r="E315" s="2943"/>
      <c r="F315" s="2943">
        <v>1050</v>
      </c>
      <c r="G315" s="2956"/>
    </row>
    <row r="316" spans="1:7" s="2777" customFormat="1" ht="14.25" customHeight="1">
      <c r="A316" s="2943" t="s">
        <v>306</v>
      </c>
      <c r="B316" s="2943" t="s">
        <v>3020</v>
      </c>
      <c r="C316" s="2943"/>
      <c r="D316" s="2943"/>
      <c r="E316" s="2943"/>
      <c r="F316" s="2943">
        <v>900</v>
      </c>
      <c r="G316" s="2956"/>
    </row>
    <row r="317" spans="1:7" s="2777" customFormat="1" ht="14.25" customHeight="1">
      <c r="A317" s="2943" t="s">
        <v>306</v>
      </c>
      <c r="B317" s="2943" t="s">
        <v>3145</v>
      </c>
      <c r="C317" s="2943"/>
      <c r="D317" s="2943"/>
      <c r="E317" s="2943"/>
      <c r="F317" s="2943">
        <v>920</v>
      </c>
      <c r="G317" s="2956"/>
    </row>
    <row r="318" spans="1:7" s="2777" customFormat="1" ht="14.25" customHeight="1">
      <c r="A318" s="2943" t="s">
        <v>306</v>
      </c>
      <c r="B318" s="2943" t="s">
        <v>3146</v>
      </c>
      <c r="C318" s="2943"/>
      <c r="D318" s="2943"/>
      <c r="E318" s="2943"/>
      <c r="F318" s="2943">
        <v>1080</v>
      </c>
      <c r="G318" s="2956"/>
    </row>
    <row r="319" spans="1:7" s="2777" customFormat="1" ht="14.25" customHeight="1">
      <c r="A319" s="2943" t="s">
        <v>306</v>
      </c>
      <c r="B319" s="2943" t="s">
        <v>3033</v>
      </c>
      <c r="C319" s="2943"/>
      <c r="D319" s="2943"/>
      <c r="E319" s="2943"/>
      <c r="F319" s="2943">
        <v>1020</v>
      </c>
      <c r="G319" s="2956"/>
    </row>
    <row r="320" spans="1:7" s="2777" customFormat="1" ht="14.25" customHeight="1">
      <c r="A320" s="2943" t="s">
        <v>306</v>
      </c>
      <c r="B320" s="2943" t="s">
        <v>3036</v>
      </c>
      <c r="C320" s="2943"/>
      <c r="D320" s="2943"/>
      <c r="E320" s="2943"/>
      <c r="F320" s="2943">
        <v>1050</v>
      </c>
      <c r="G320" s="2956"/>
    </row>
    <row r="321" spans="1:7" s="2777" customFormat="1" ht="14.25" customHeight="1">
      <c r="A321" s="2943" t="s">
        <v>306</v>
      </c>
      <c r="B321" s="2943" t="s">
        <v>3038</v>
      </c>
      <c r="C321" s="2943"/>
      <c r="D321" s="2943"/>
      <c r="E321" s="2943"/>
      <c r="F321" s="2943">
        <v>960</v>
      </c>
      <c r="G321" s="2956"/>
    </row>
    <row r="322" spans="1:7" s="2777" customFormat="1" ht="14.25" customHeight="1">
      <c r="A322" s="2943" t="s">
        <v>306</v>
      </c>
      <c r="B322" s="2943" t="s">
        <v>3040</v>
      </c>
      <c r="C322" s="2943"/>
      <c r="D322" s="2943"/>
      <c r="E322" s="2943"/>
      <c r="F322" s="2943">
        <v>960</v>
      </c>
      <c r="G322" s="2956"/>
    </row>
    <row r="323" spans="1:7" s="2777" customFormat="1" ht="14.25" customHeight="1">
      <c r="A323" s="2943" t="s">
        <v>306</v>
      </c>
      <c r="B323" s="2943" t="s">
        <v>3042</v>
      </c>
      <c r="C323" s="2943"/>
      <c r="D323" s="2943"/>
      <c r="E323" s="2943"/>
      <c r="F323" s="2943">
        <v>880</v>
      </c>
      <c r="G323" s="2956"/>
    </row>
    <row r="324" spans="1:7" s="2777" customFormat="1" ht="14.25" customHeight="1">
      <c r="A324" s="2943" t="s">
        <v>306</v>
      </c>
      <c r="B324" s="2943" t="s">
        <v>3044</v>
      </c>
      <c r="C324" s="2943"/>
      <c r="D324" s="2943"/>
      <c r="E324" s="2943"/>
      <c r="F324" s="2943">
        <v>930</v>
      </c>
      <c r="G324" s="2956"/>
    </row>
    <row r="325" spans="1:7" s="2777" customFormat="1" ht="14.25" customHeight="1">
      <c r="A325" s="2943" t="s">
        <v>306</v>
      </c>
      <c r="B325" s="2944" t="s">
        <v>3046</v>
      </c>
      <c r="C325" s="2943"/>
      <c r="D325" s="2943"/>
      <c r="E325" s="2943"/>
      <c r="F325" s="2943">
        <v>900</v>
      </c>
      <c r="G325" s="2956"/>
    </row>
    <row r="326" spans="1:7" s="2777" customFormat="1" ht="14.25" customHeight="1" thickBot="1">
      <c r="A326" s="2957" t="s">
        <v>306</v>
      </c>
      <c r="B326" s="2950" t="s">
        <v>3048</v>
      </c>
      <c r="C326" s="2950"/>
      <c r="D326" s="2950"/>
      <c r="E326" s="2950"/>
      <c r="F326" s="2950">
        <v>790</v>
      </c>
      <c r="G326" s="2958"/>
    </row>
    <row r="327" spans="1:7" s="2777" customFormat="1" ht="14.25" customHeight="1">
      <c r="A327" s="2948" t="s">
        <v>307</v>
      </c>
      <c r="B327" s="2939" t="s">
        <v>3147</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3148</v>
      </c>
      <c r="C329" s="2943">
        <v>2730</v>
      </c>
      <c r="D329" s="2943">
        <v>2690</v>
      </c>
      <c r="E329" s="2943">
        <v>3100</v>
      </c>
      <c r="F329" s="2943">
        <v>660</v>
      </c>
      <c r="G329" s="2943">
        <v>1610</v>
      </c>
    </row>
    <row r="330" spans="1:7" s="2777" customFormat="1" ht="14.25" customHeight="1">
      <c r="A330" s="2943" t="s">
        <v>307</v>
      </c>
      <c r="B330" s="2943" t="s">
        <v>3149</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2882</v>
      </c>
      <c r="C332" s="2943">
        <v>3520</v>
      </c>
      <c r="D332" s="2943">
        <v>3480</v>
      </c>
      <c r="E332" s="2943">
        <v>3830</v>
      </c>
      <c r="F332" s="2943">
        <v>720</v>
      </c>
      <c r="G332" s="2943">
        <v>2090</v>
      </c>
    </row>
    <row r="333" spans="1:7" s="2777" customFormat="1" ht="14.25" customHeight="1">
      <c r="A333" s="2943" t="s">
        <v>307</v>
      </c>
      <c r="B333" s="2943" t="s">
        <v>3150</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2892</v>
      </c>
      <c r="C336" s="2943">
        <v>3570</v>
      </c>
      <c r="D336" s="2943">
        <v>3530</v>
      </c>
      <c r="E336" s="2943">
        <v>3880</v>
      </c>
      <c r="F336" s="2943">
        <v>770</v>
      </c>
      <c r="G336" s="2943">
        <v>2110</v>
      </c>
    </row>
    <row r="337" spans="1:10" s="2777" customFormat="1" ht="14.25" customHeight="1">
      <c r="A337" s="2943" t="s">
        <v>307</v>
      </c>
      <c r="B337" s="2943" t="s">
        <v>3151</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3152</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3153</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2917</v>
      </c>
      <c r="C345" s="2943">
        <v>3190</v>
      </c>
      <c r="D345" s="2943">
        <v>3140</v>
      </c>
      <c r="E345" s="2943">
        <v>3450</v>
      </c>
      <c r="F345" s="2943">
        <v>720</v>
      </c>
      <c r="G345" s="2943">
        <v>1880</v>
      </c>
      <c r="J345" s="2777"/>
    </row>
    <row r="346" spans="1:10">
      <c r="A346" s="2943" t="s">
        <v>307</v>
      </c>
      <c r="B346" s="2943" t="s">
        <v>3154</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2926</v>
      </c>
      <c r="C348" s="2943">
        <v>4000</v>
      </c>
      <c r="D348" s="2943">
        <v>3950</v>
      </c>
      <c r="E348" s="2943">
        <v>4430</v>
      </c>
      <c r="F348" s="2943">
        <v>760</v>
      </c>
      <c r="G348" s="2943">
        <v>2360</v>
      </c>
      <c r="J348" s="2777"/>
    </row>
    <row r="349" spans="1:10">
      <c r="A349" s="2943" t="s">
        <v>307</v>
      </c>
      <c r="B349" s="2943" t="s">
        <v>2931</v>
      </c>
      <c r="C349" s="2943">
        <v>3820</v>
      </c>
      <c r="D349" s="2943">
        <v>3780</v>
      </c>
      <c r="E349" s="2943">
        <v>4170</v>
      </c>
      <c r="F349" s="2943">
        <v>710</v>
      </c>
      <c r="G349" s="2943">
        <v>2260</v>
      </c>
      <c r="J349" s="2777"/>
    </row>
    <row r="350" spans="1:10">
      <c r="A350" s="2943" t="s">
        <v>307</v>
      </c>
      <c r="B350" s="2943" t="s">
        <v>3155</v>
      </c>
      <c r="C350" s="2943">
        <v>3760</v>
      </c>
      <c r="D350" s="2943">
        <v>3730</v>
      </c>
      <c r="E350" s="2943">
        <v>4100</v>
      </c>
      <c r="F350" s="2943">
        <v>800</v>
      </c>
      <c r="G350" s="2943">
        <v>2230</v>
      </c>
      <c r="J350" s="2777"/>
    </row>
    <row r="351" spans="1:10">
      <c r="A351" s="2943" t="s">
        <v>307</v>
      </c>
      <c r="B351" s="2943" t="s">
        <v>2939</v>
      </c>
      <c r="C351" s="2943">
        <v>3610</v>
      </c>
      <c r="D351" s="2943">
        <v>3580</v>
      </c>
      <c r="E351" s="2943">
        <v>3930</v>
      </c>
      <c r="F351" s="2943">
        <v>700</v>
      </c>
      <c r="G351" s="2943">
        <v>2140</v>
      </c>
      <c r="J351" s="2777"/>
    </row>
    <row r="352" spans="1:10">
      <c r="A352" s="2943" t="s">
        <v>307</v>
      </c>
      <c r="B352" s="2943" t="s">
        <v>2944</v>
      </c>
      <c r="C352" s="2943">
        <v>3670</v>
      </c>
      <c r="D352" s="2943">
        <v>3630</v>
      </c>
      <c r="E352" s="2943">
        <v>4000</v>
      </c>
      <c r="F352" s="2943">
        <v>750</v>
      </c>
      <c r="G352" s="2943">
        <v>2180</v>
      </c>
    </row>
    <row r="353" spans="1:7" s="2778" customFormat="1">
      <c r="A353" s="2943" t="s">
        <v>307</v>
      </c>
      <c r="B353" s="2943" t="s">
        <v>3156</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2964</v>
      </c>
      <c r="C355" s="2943">
        <v>3650</v>
      </c>
      <c r="D355" s="2943">
        <v>3610</v>
      </c>
      <c r="E355" s="2943">
        <v>4200</v>
      </c>
      <c r="F355" s="2943">
        <v>640</v>
      </c>
      <c r="G355" s="2943">
        <v>2160</v>
      </c>
    </row>
    <row r="356" spans="1:7" s="2778" customFormat="1">
      <c r="A356" s="2943" t="s">
        <v>307</v>
      </c>
      <c r="B356" s="2943" t="s">
        <v>2971</v>
      </c>
      <c r="C356" s="2943">
        <v>3260</v>
      </c>
      <c r="D356" s="2943">
        <v>3230</v>
      </c>
      <c r="E356" s="2943">
        <v>3740</v>
      </c>
      <c r="F356" s="2943">
        <v>600</v>
      </c>
      <c r="G356" s="2943">
        <v>1930</v>
      </c>
    </row>
    <row r="357" spans="1:7" s="2778" customFormat="1" ht="11.4" thickBot="1">
      <c r="A357" s="2951" t="s">
        <v>307</v>
      </c>
      <c r="B357" s="2954" t="s">
        <v>3157</v>
      </c>
      <c r="C357" s="2954">
        <v>3690</v>
      </c>
      <c r="D357" s="2954">
        <v>3650</v>
      </c>
      <c r="E357" s="2954">
        <v>4020</v>
      </c>
      <c r="F357" s="2954">
        <v>700</v>
      </c>
      <c r="G357" s="2954">
        <v>2190</v>
      </c>
    </row>
    <row r="358" spans="1:7" s="2778" customFormat="1">
      <c r="A358" s="2948" t="s">
        <v>3158</v>
      </c>
      <c r="B358" s="2939" t="s">
        <v>3159</v>
      </c>
      <c r="C358" s="2939">
        <v>2080</v>
      </c>
      <c r="D358" s="2939">
        <v>2040</v>
      </c>
      <c r="E358" s="2939">
        <v>2010</v>
      </c>
      <c r="F358" s="2939">
        <v>530</v>
      </c>
      <c r="G358" s="2955">
        <v>1230</v>
      </c>
    </row>
    <row r="359" spans="1:7" s="2778" customFormat="1">
      <c r="A359" s="2943" t="s">
        <v>3158</v>
      </c>
      <c r="B359" s="2943" t="s">
        <v>3160</v>
      </c>
      <c r="C359" s="2943">
        <v>1850</v>
      </c>
      <c r="D359" s="2943">
        <v>1820</v>
      </c>
      <c r="E359" s="2943">
        <v>1780</v>
      </c>
      <c r="F359" s="2943">
        <v>520</v>
      </c>
      <c r="G359" s="2956">
        <v>1100</v>
      </c>
    </row>
    <row r="360" spans="1:7" s="2778" customFormat="1">
      <c r="A360" s="2943" t="s">
        <v>3158</v>
      </c>
      <c r="B360" s="2943" t="s">
        <v>3161</v>
      </c>
      <c r="C360" s="2943">
        <v>2020</v>
      </c>
      <c r="D360" s="2943">
        <v>1990</v>
      </c>
      <c r="E360" s="2943">
        <v>1950</v>
      </c>
      <c r="F360" s="2943">
        <v>500</v>
      </c>
      <c r="G360" s="2956">
        <v>1200</v>
      </c>
    </row>
    <row r="361" spans="1:7" s="2778" customFormat="1">
      <c r="A361" s="2943" t="s">
        <v>3158</v>
      </c>
      <c r="B361" s="2943" t="s">
        <v>153</v>
      </c>
      <c r="C361" s="2943">
        <v>2260</v>
      </c>
      <c r="D361" s="2943">
        <v>2220</v>
      </c>
      <c r="E361" s="2943">
        <v>2180</v>
      </c>
      <c r="F361" s="2943">
        <v>580</v>
      </c>
      <c r="G361" s="2956">
        <v>1340</v>
      </c>
    </row>
    <row r="362" spans="1:7" s="2778" customFormat="1">
      <c r="A362" s="2943" t="s">
        <v>3158</v>
      </c>
      <c r="B362" s="2943" t="s">
        <v>3162</v>
      </c>
      <c r="C362" s="2943">
        <v>2650</v>
      </c>
      <c r="D362" s="2943">
        <v>2610</v>
      </c>
      <c r="E362" s="2943">
        <v>2570</v>
      </c>
      <c r="F362" s="2943">
        <v>630</v>
      </c>
      <c r="G362" s="2956">
        <v>1570</v>
      </c>
    </row>
    <row r="363" spans="1:7" s="2778" customFormat="1">
      <c r="A363" s="2943" t="s">
        <v>3158</v>
      </c>
      <c r="B363" s="2943" t="s">
        <v>2883</v>
      </c>
      <c r="C363" s="2943">
        <v>2390</v>
      </c>
      <c r="D363" s="2943">
        <v>2360</v>
      </c>
      <c r="E363" s="2943">
        <v>2320</v>
      </c>
      <c r="F363" s="2943">
        <v>600</v>
      </c>
      <c r="G363" s="2956">
        <v>1420</v>
      </c>
    </row>
    <row r="364" spans="1:7" s="2778" customFormat="1">
      <c r="A364" s="2943" t="s">
        <v>3158</v>
      </c>
      <c r="B364" s="2943" t="s">
        <v>3163</v>
      </c>
      <c r="C364" s="2943">
        <v>2050</v>
      </c>
      <c r="D364" s="2943">
        <v>2030</v>
      </c>
      <c r="E364" s="2943">
        <v>1990</v>
      </c>
      <c r="F364" s="2943">
        <v>550</v>
      </c>
      <c r="G364" s="2956">
        <v>1220</v>
      </c>
    </row>
    <row r="365" spans="1:7" s="2778" customFormat="1">
      <c r="A365" s="2943" t="s">
        <v>3158</v>
      </c>
      <c r="B365" s="2943" t="s">
        <v>200</v>
      </c>
      <c r="C365" s="2943">
        <v>2140</v>
      </c>
      <c r="D365" s="2943">
        <v>2100</v>
      </c>
      <c r="E365" s="2943">
        <v>2060</v>
      </c>
      <c r="F365" s="2943">
        <v>540</v>
      </c>
      <c r="G365" s="2956">
        <v>1270</v>
      </c>
    </row>
    <row r="366" spans="1:7" s="2778" customFormat="1">
      <c r="A366" s="2943" t="s">
        <v>3158</v>
      </c>
      <c r="B366" s="2943" t="s">
        <v>2890</v>
      </c>
      <c r="C366" s="2943">
        <v>2410</v>
      </c>
      <c r="D366" s="2943">
        <v>2370</v>
      </c>
      <c r="E366" s="2943">
        <v>2330</v>
      </c>
      <c r="F366" s="2943">
        <v>570</v>
      </c>
      <c r="G366" s="2956">
        <v>1440</v>
      </c>
    </row>
    <row r="367" spans="1:7" s="2778" customFormat="1">
      <c r="A367" s="2943" t="s">
        <v>3158</v>
      </c>
      <c r="B367" s="2943" t="s">
        <v>3164</v>
      </c>
      <c r="C367" s="2943">
        <v>2300</v>
      </c>
      <c r="D367" s="2943">
        <v>2260</v>
      </c>
      <c r="E367" s="2943">
        <v>2220</v>
      </c>
      <c r="F367" s="2943">
        <v>560</v>
      </c>
      <c r="G367" s="2956">
        <v>1370</v>
      </c>
    </row>
    <row r="368" spans="1:7" s="2778" customFormat="1">
      <c r="A368" s="2943" t="s">
        <v>3158</v>
      </c>
      <c r="B368" s="2943" t="s">
        <v>3165</v>
      </c>
      <c r="C368" s="2943">
        <v>2430</v>
      </c>
      <c r="D368" s="2943">
        <v>2390</v>
      </c>
      <c r="E368" s="2943">
        <v>2350</v>
      </c>
      <c r="F368" s="2943">
        <v>570</v>
      </c>
      <c r="G368" s="2956">
        <v>1450</v>
      </c>
    </row>
    <row r="369" spans="1:7" s="2778" customFormat="1">
      <c r="A369" s="2943" t="s">
        <v>3158</v>
      </c>
      <c r="B369" s="2943" t="s">
        <v>214</v>
      </c>
      <c r="C369" s="2943">
        <v>2320</v>
      </c>
      <c r="D369" s="2943">
        <v>2290</v>
      </c>
      <c r="E369" s="2943">
        <v>2250</v>
      </c>
      <c r="F369" s="2943">
        <v>550</v>
      </c>
      <c r="G369" s="2956">
        <v>1380</v>
      </c>
    </row>
    <row r="370" spans="1:7" s="2778" customFormat="1">
      <c r="A370" s="2943" t="s">
        <v>3158</v>
      </c>
      <c r="B370" s="2943" t="s">
        <v>221</v>
      </c>
      <c r="C370" s="2943">
        <v>2190</v>
      </c>
      <c r="D370" s="2943">
        <v>2170</v>
      </c>
      <c r="E370" s="2943">
        <v>2130</v>
      </c>
      <c r="F370" s="2943">
        <v>530</v>
      </c>
      <c r="G370" s="2956">
        <v>1310</v>
      </c>
    </row>
    <row r="371" spans="1:7" s="2778" customFormat="1">
      <c r="A371" s="2943" t="s">
        <v>3158</v>
      </c>
      <c r="B371" s="2943" t="s">
        <v>229</v>
      </c>
      <c r="C371" s="2943">
        <v>2460</v>
      </c>
      <c r="D371" s="2943">
        <v>2420</v>
      </c>
      <c r="E371" s="2943">
        <v>2370</v>
      </c>
      <c r="F371" s="2943">
        <v>560</v>
      </c>
      <c r="G371" s="2956">
        <v>1470</v>
      </c>
    </row>
    <row r="372" spans="1:7" s="2778" customFormat="1">
      <c r="A372" s="2943" t="s">
        <v>3158</v>
      </c>
      <c r="B372" s="2943" t="s">
        <v>3166</v>
      </c>
      <c r="C372" s="2943">
        <v>2250</v>
      </c>
      <c r="D372" s="2943">
        <v>2210</v>
      </c>
      <c r="E372" s="2943">
        <v>2180</v>
      </c>
      <c r="F372" s="2943">
        <v>550</v>
      </c>
      <c r="G372" s="2956">
        <v>1340</v>
      </c>
    </row>
    <row r="373" spans="1:7" s="2778" customFormat="1">
      <c r="A373" s="2943" t="s">
        <v>3158</v>
      </c>
      <c r="B373" s="2943" t="s">
        <v>258</v>
      </c>
      <c r="C373" s="2943">
        <v>2210</v>
      </c>
      <c r="D373" s="2943">
        <v>2190</v>
      </c>
      <c r="E373" s="2943">
        <v>2150</v>
      </c>
      <c r="F373" s="2943">
        <v>530</v>
      </c>
      <c r="G373" s="2956">
        <v>1320</v>
      </c>
    </row>
    <row r="374" spans="1:7" s="2778" customFormat="1">
      <c r="A374" s="2943" t="s">
        <v>3158</v>
      </c>
      <c r="B374" s="2943" t="s">
        <v>266</v>
      </c>
      <c r="C374" s="2943">
        <v>2320</v>
      </c>
      <c r="D374" s="2943">
        <v>2280</v>
      </c>
      <c r="E374" s="2943">
        <v>2230</v>
      </c>
      <c r="F374" s="2943">
        <v>580</v>
      </c>
      <c r="G374" s="2956">
        <v>1380</v>
      </c>
    </row>
    <row r="375" spans="1:7" s="2778" customFormat="1">
      <c r="A375" s="2943" t="s">
        <v>3158</v>
      </c>
      <c r="B375" s="2943" t="s">
        <v>3167</v>
      </c>
      <c r="C375" s="2943">
        <v>2090</v>
      </c>
      <c r="D375" s="2943">
        <v>2050</v>
      </c>
      <c r="E375" s="2943">
        <v>2020</v>
      </c>
      <c r="F375" s="2943">
        <v>520</v>
      </c>
      <c r="G375" s="2956">
        <v>1240</v>
      </c>
    </row>
    <row r="376" spans="1:7" s="2778" customFormat="1">
      <c r="A376" s="2943" t="s">
        <v>3158</v>
      </c>
      <c r="B376" s="2943" t="s">
        <v>277</v>
      </c>
      <c r="C376" s="2943">
        <v>2010</v>
      </c>
      <c r="D376" s="2943">
        <v>1980</v>
      </c>
      <c r="E376" s="2943">
        <v>1940</v>
      </c>
      <c r="F376" s="2943">
        <v>540</v>
      </c>
      <c r="G376" s="2956">
        <v>1190</v>
      </c>
    </row>
    <row r="377" spans="1:7" s="2778" customFormat="1" ht="11.4" thickBot="1">
      <c r="A377" s="2951" t="s">
        <v>3158</v>
      </c>
      <c r="B377" s="2954" t="s">
        <v>2920</v>
      </c>
      <c r="C377" s="2954">
        <v>1930</v>
      </c>
      <c r="D377" s="2954">
        <v>1890</v>
      </c>
      <c r="E377" s="2954">
        <v>1860</v>
      </c>
      <c r="F377" s="2954">
        <v>530</v>
      </c>
      <c r="G377" s="2959">
        <v>1150</v>
      </c>
    </row>
    <row r="378" spans="1:7" s="2778" customFormat="1">
      <c r="A378" s="2960" t="s">
        <v>3168</v>
      </c>
      <c r="B378" s="2939" t="s">
        <v>3169</v>
      </c>
      <c r="C378" s="2939">
        <v>1520</v>
      </c>
      <c r="D378" s="2939">
        <v>1490</v>
      </c>
      <c r="E378" s="2939">
        <v>1460</v>
      </c>
      <c r="F378" s="2939">
        <v>460</v>
      </c>
      <c r="G378" s="2955">
        <v>940</v>
      </c>
    </row>
    <row r="379" spans="1:7" s="2778" customFormat="1">
      <c r="A379" s="2961" t="s">
        <v>3168</v>
      </c>
      <c r="B379" s="2943" t="s">
        <v>3170</v>
      </c>
      <c r="C379" s="2943">
        <v>1500</v>
      </c>
      <c r="D379" s="2943">
        <v>1470</v>
      </c>
      <c r="E379" s="2943">
        <v>1430</v>
      </c>
      <c r="F379" s="2943">
        <v>460</v>
      </c>
      <c r="G379" s="2956">
        <v>920</v>
      </c>
    </row>
    <row r="380" spans="1:7" s="2778" customFormat="1">
      <c r="A380" s="2961" t="s">
        <v>3168</v>
      </c>
      <c r="B380" s="2943" t="s">
        <v>3171</v>
      </c>
      <c r="C380" s="2943">
        <v>1620</v>
      </c>
      <c r="D380" s="2943">
        <v>1590</v>
      </c>
      <c r="E380" s="2943">
        <v>1560</v>
      </c>
      <c r="F380" s="2943">
        <v>480</v>
      </c>
      <c r="G380" s="2956">
        <v>1000</v>
      </c>
    </row>
    <row r="381" spans="1:7" s="2778" customFormat="1">
      <c r="A381" s="2961" t="s">
        <v>3168</v>
      </c>
      <c r="B381" s="2943" t="s">
        <v>3172</v>
      </c>
      <c r="C381" s="2943">
        <v>1460</v>
      </c>
      <c r="D381" s="2943">
        <v>1430</v>
      </c>
      <c r="E381" s="2943">
        <v>1390</v>
      </c>
      <c r="F381" s="2943">
        <v>450</v>
      </c>
      <c r="G381" s="2956">
        <v>900</v>
      </c>
    </row>
    <row r="382" spans="1:7" s="2778" customFormat="1">
      <c r="A382" s="2961" t="s">
        <v>3168</v>
      </c>
      <c r="B382" s="2943" t="s">
        <v>3173</v>
      </c>
      <c r="C382" s="2943">
        <v>1310</v>
      </c>
      <c r="D382" s="2943">
        <v>1280</v>
      </c>
      <c r="E382" s="2943">
        <v>1250</v>
      </c>
      <c r="F382" s="2943">
        <v>440</v>
      </c>
      <c r="G382" s="2956">
        <v>800</v>
      </c>
    </row>
    <row r="383" spans="1:7" s="2778" customFormat="1">
      <c r="A383" s="2961" t="s">
        <v>3168</v>
      </c>
      <c r="B383" s="2943" t="s">
        <v>3174</v>
      </c>
      <c r="C383" s="2943">
        <v>1260</v>
      </c>
      <c r="D383" s="2943">
        <v>1230</v>
      </c>
      <c r="E383" s="2943">
        <v>1200</v>
      </c>
      <c r="F383" s="2943">
        <v>420</v>
      </c>
      <c r="G383" s="2956">
        <v>770</v>
      </c>
    </row>
    <row r="384" spans="1:7" s="2778" customFormat="1" ht="11.4" thickBot="1">
      <c r="A384" s="2962" t="s">
        <v>3168</v>
      </c>
      <c r="B384" s="2950" t="s">
        <v>3175</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7" customWidth="1"/>
    <col min="2" max="2" width="13.21875" style="1163" customWidth="1"/>
    <col min="3" max="3" width="15.6640625" style="1163" customWidth="1"/>
    <col min="4" max="4" width="9.33203125" style="1163" bestFit="1" customWidth="1"/>
    <col min="5" max="5" width="13.44140625" style="1163" customWidth="1"/>
    <col min="6" max="6" width="9" style="1163"/>
    <col min="7" max="7" width="9.33203125" style="1163" bestFit="1" customWidth="1"/>
    <col min="8" max="8" width="12.21875" style="1163" customWidth="1"/>
    <col min="9" max="9" width="9" style="1163"/>
    <col min="10" max="10" width="9.33203125" style="1163" bestFit="1" customWidth="1"/>
    <col min="11" max="11" width="4" style="1157" customWidth="1"/>
    <col min="12" max="12" width="5.109375" style="1163" customWidth="1"/>
    <col min="13" max="13" width="13.77734375" style="1163" customWidth="1"/>
    <col min="14" max="256" width="9" style="1163"/>
    <col min="257" max="257" width="4.88671875" style="1154" customWidth="1"/>
    <col min="258" max="258" width="13.21875" style="1154" customWidth="1"/>
    <col min="259" max="259" width="15.6640625" style="1154" customWidth="1"/>
    <col min="260" max="260" width="9.33203125" style="1154" bestFit="1" customWidth="1"/>
    <col min="261" max="261" width="13.44140625" style="1154" customWidth="1"/>
    <col min="262" max="262" width="9" style="1154"/>
    <col min="263" max="263" width="9.33203125" style="1154" bestFit="1" customWidth="1"/>
    <col min="264" max="265" width="9" style="1154"/>
    <col min="266" max="266" width="9.33203125" style="1154" bestFit="1" customWidth="1"/>
    <col min="267" max="267" width="4" style="1154" customWidth="1"/>
    <col min="268" max="268" width="5.109375" style="1154" customWidth="1"/>
    <col min="269" max="269" width="13.77734375" style="1154" customWidth="1"/>
    <col min="270" max="512" width="9" style="1154"/>
    <col min="513" max="513" width="4.88671875" style="1154" customWidth="1"/>
    <col min="514" max="514" width="13.21875" style="1154" customWidth="1"/>
    <col min="515" max="515" width="15.6640625" style="1154" customWidth="1"/>
    <col min="516" max="516" width="9.33203125" style="1154" bestFit="1" customWidth="1"/>
    <col min="517" max="517" width="13.44140625" style="1154" customWidth="1"/>
    <col min="518" max="518" width="9" style="1154"/>
    <col min="519" max="519" width="9.33203125" style="1154" bestFit="1" customWidth="1"/>
    <col min="520" max="521" width="9" style="1154"/>
    <col min="522" max="522" width="9.33203125" style="1154" bestFit="1" customWidth="1"/>
    <col min="523" max="523" width="4" style="1154" customWidth="1"/>
    <col min="524" max="524" width="5.109375" style="1154" customWidth="1"/>
    <col min="525" max="525" width="13.77734375" style="1154" customWidth="1"/>
    <col min="526" max="768" width="9" style="1154"/>
    <col min="769" max="769" width="4.88671875" style="1154" customWidth="1"/>
    <col min="770" max="770" width="13.21875" style="1154" customWidth="1"/>
    <col min="771" max="771" width="15.6640625" style="1154" customWidth="1"/>
    <col min="772" max="772" width="9.33203125" style="1154" bestFit="1" customWidth="1"/>
    <col min="773" max="773" width="13.44140625" style="1154" customWidth="1"/>
    <col min="774" max="774" width="9" style="1154"/>
    <col min="775" max="775" width="9.33203125" style="1154" bestFit="1" customWidth="1"/>
    <col min="776" max="777" width="9" style="1154"/>
    <col min="778" max="778" width="9.33203125" style="1154" bestFit="1" customWidth="1"/>
    <col min="779" max="779" width="4" style="1154" customWidth="1"/>
    <col min="780" max="780" width="5.109375" style="1154" customWidth="1"/>
    <col min="781" max="781" width="13.77734375" style="1154" customWidth="1"/>
    <col min="782" max="1024" width="9" style="1154"/>
    <col min="1025" max="1025" width="4.88671875" style="1154" customWidth="1"/>
    <col min="1026" max="1026" width="13.21875" style="1154" customWidth="1"/>
    <col min="1027" max="1027" width="15.6640625" style="1154" customWidth="1"/>
    <col min="1028" max="1028" width="9.33203125" style="1154" bestFit="1" customWidth="1"/>
    <col min="1029" max="1029" width="13.44140625" style="1154" customWidth="1"/>
    <col min="1030" max="1030" width="9" style="1154"/>
    <col min="1031" max="1031" width="9.33203125" style="1154" bestFit="1" customWidth="1"/>
    <col min="1032" max="1033" width="9" style="1154"/>
    <col min="1034" max="1034" width="9.33203125" style="1154" bestFit="1" customWidth="1"/>
    <col min="1035" max="1035" width="4" style="1154" customWidth="1"/>
    <col min="1036" max="1036" width="5.109375" style="1154" customWidth="1"/>
    <col min="1037" max="1037" width="13.77734375" style="1154" customWidth="1"/>
    <col min="1038" max="1280" width="9" style="1154"/>
    <col min="1281" max="1281" width="4.88671875" style="1154" customWidth="1"/>
    <col min="1282" max="1282" width="13.21875" style="1154" customWidth="1"/>
    <col min="1283" max="1283" width="15.6640625" style="1154" customWidth="1"/>
    <col min="1284" max="1284" width="9.33203125" style="1154" bestFit="1" customWidth="1"/>
    <col min="1285" max="1285" width="13.44140625" style="1154" customWidth="1"/>
    <col min="1286" max="1286" width="9" style="1154"/>
    <col min="1287" max="1287" width="9.33203125" style="1154" bestFit="1" customWidth="1"/>
    <col min="1288" max="1289" width="9" style="1154"/>
    <col min="1290" max="1290" width="9.33203125" style="1154" bestFit="1" customWidth="1"/>
    <col min="1291" max="1291" width="4" style="1154" customWidth="1"/>
    <col min="1292" max="1292" width="5.109375" style="1154" customWidth="1"/>
    <col min="1293" max="1293" width="13.77734375" style="1154" customWidth="1"/>
    <col min="1294" max="1536" width="9" style="1154"/>
    <col min="1537" max="1537" width="4.88671875" style="1154" customWidth="1"/>
    <col min="1538" max="1538" width="13.21875" style="1154" customWidth="1"/>
    <col min="1539" max="1539" width="15.6640625" style="1154" customWidth="1"/>
    <col min="1540" max="1540" width="9.33203125" style="1154" bestFit="1" customWidth="1"/>
    <col min="1541" max="1541" width="13.44140625" style="1154" customWidth="1"/>
    <col min="1542" max="1542" width="9" style="1154"/>
    <col min="1543" max="1543" width="9.33203125" style="1154" bestFit="1" customWidth="1"/>
    <col min="1544" max="1545" width="9" style="1154"/>
    <col min="1546" max="1546" width="9.33203125" style="1154" bestFit="1" customWidth="1"/>
    <col min="1547" max="1547" width="4" style="1154" customWidth="1"/>
    <col min="1548" max="1548" width="5.109375" style="1154" customWidth="1"/>
    <col min="1549" max="1549" width="13.77734375" style="1154" customWidth="1"/>
    <col min="1550" max="1792" width="9" style="1154"/>
    <col min="1793" max="1793" width="4.88671875" style="1154" customWidth="1"/>
    <col min="1794" max="1794" width="13.21875" style="1154" customWidth="1"/>
    <col min="1795" max="1795" width="15.6640625" style="1154" customWidth="1"/>
    <col min="1796" max="1796" width="9.33203125" style="1154" bestFit="1" customWidth="1"/>
    <col min="1797" max="1797" width="13.44140625" style="1154" customWidth="1"/>
    <col min="1798" max="1798" width="9" style="1154"/>
    <col min="1799" max="1799" width="9.33203125" style="1154" bestFit="1" customWidth="1"/>
    <col min="1800" max="1801" width="9" style="1154"/>
    <col min="1802" max="1802" width="9.33203125" style="1154" bestFit="1" customWidth="1"/>
    <col min="1803" max="1803" width="4" style="1154" customWidth="1"/>
    <col min="1804" max="1804" width="5.109375" style="1154" customWidth="1"/>
    <col min="1805" max="1805" width="13.77734375" style="1154" customWidth="1"/>
    <col min="1806" max="2048" width="9" style="1154"/>
    <col min="2049" max="2049" width="4.88671875" style="1154" customWidth="1"/>
    <col min="2050" max="2050" width="13.21875" style="1154" customWidth="1"/>
    <col min="2051" max="2051" width="15.6640625" style="1154" customWidth="1"/>
    <col min="2052" max="2052" width="9.33203125" style="1154" bestFit="1" customWidth="1"/>
    <col min="2053" max="2053" width="13.44140625" style="1154" customWidth="1"/>
    <col min="2054" max="2054" width="9" style="1154"/>
    <col min="2055" max="2055" width="9.33203125" style="1154" bestFit="1" customWidth="1"/>
    <col min="2056" max="2057" width="9" style="1154"/>
    <col min="2058" max="2058" width="9.33203125" style="1154" bestFit="1" customWidth="1"/>
    <col min="2059" max="2059" width="4" style="1154" customWidth="1"/>
    <col min="2060" max="2060" width="5.109375" style="1154" customWidth="1"/>
    <col min="2061" max="2061" width="13.77734375" style="1154" customWidth="1"/>
    <col min="2062" max="2304" width="9" style="1154"/>
    <col min="2305" max="2305" width="4.88671875" style="1154" customWidth="1"/>
    <col min="2306" max="2306" width="13.21875" style="1154" customWidth="1"/>
    <col min="2307" max="2307" width="15.6640625" style="1154" customWidth="1"/>
    <col min="2308" max="2308" width="9.33203125" style="1154" bestFit="1" customWidth="1"/>
    <col min="2309" max="2309" width="13.44140625" style="1154" customWidth="1"/>
    <col min="2310" max="2310" width="9" style="1154"/>
    <col min="2311" max="2311" width="9.33203125" style="1154" bestFit="1" customWidth="1"/>
    <col min="2312" max="2313" width="9" style="1154"/>
    <col min="2314" max="2314" width="9.33203125" style="1154" bestFit="1" customWidth="1"/>
    <col min="2315" max="2315" width="4" style="1154" customWidth="1"/>
    <col min="2316" max="2316" width="5.109375" style="1154" customWidth="1"/>
    <col min="2317" max="2317" width="13.77734375" style="1154" customWidth="1"/>
    <col min="2318" max="2560" width="9" style="1154"/>
    <col min="2561" max="2561" width="4.88671875" style="1154" customWidth="1"/>
    <col min="2562" max="2562" width="13.21875" style="1154" customWidth="1"/>
    <col min="2563" max="2563" width="15.6640625" style="1154" customWidth="1"/>
    <col min="2564" max="2564" width="9.33203125" style="1154" bestFit="1" customWidth="1"/>
    <col min="2565" max="2565" width="13.44140625" style="1154" customWidth="1"/>
    <col min="2566" max="2566" width="9" style="1154"/>
    <col min="2567" max="2567" width="9.33203125" style="1154" bestFit="1" customWidth="1"/>
    <col min="2568" max="2569" width="9" style="1154"/>
    <col min="2570" max="2570" width="9.33203125" style="1154" bestFit="1" customWidth="1"/>
    <col min="2571" max="2571" width="4" style="1154" customWidth="1"/>
    <col min="2572" max="2572" width="5.109375" style="1154" customWidth="1"/>
    <col min="2573" max="2573" width="13.77734375" style="1154" customWidth="1"/>
    <col min="2574" max="2816" width="9" style="1154"/>
    <col min="2817" max="2817" width="4.88671875" style="1154" customWidth="1"/>
    <col min="2818" max="2818" width="13.21875" style="1154" customWidth="1"/>
    <col min="2819" max="2819" width="15.6640625" style="1154" customWidth="1"/>
    <col min="2820" max="2820" width="9.33203125" style="1154" bestFit="1" customWidth="1"/>
    <col min="2821" max="2821" width="13.44140625" style="1154" customWidth="1"/>
    <col min="2822" max="2822" width="9" style="1154"/>
    <col min="2823" max="2823" width="9.33203125" style="1154" bestFit="1" customWidth="1"/>
    <col min="2824" max="2825" width="9" style="1154"/>
    <col min="2826" max="2826" width="9.33203125" style="1154" bestFit="1" customWidth="1"/>
    <col min="2827" max="2827" width="4" style="1154" customWidth="1"/>
    <col min="2828" max="2828" width="5.109375" style="1154" customWidth="1"/>
    <col min="2829" max="2829" width="13.77734375" style="1154" customWidth="1"/>
    <col min="2830" max="3072" width="9" style="1154"/>
    <col min="3073" max="3073" width="4.88671875" style="1154" customWidth="1"/>
    <col min="3074" max="3074" width="13.21875" style="1154" customWidth="1"/>
    <col min="3075" max="3075" width="15.6640625" style="1154" customWidth="1"/>
    <col min="3076" max="3076" width="9.33203125" style="1154" bestFit="1" customWidth="1"/>
    <col min="3077" max="3077" width="13.44140625" style="1154" customWidth="1"/>
    <col min="3078" max="3078" width="9" style="1154"/>
    <col min="3079" max="3079" width="9.33203125" style="1154" bestFit="1" customWidth="1"/>
    <col min="3080" max="3081" width="9" style="1154"/>
    <col min="3082" max="3082" width="9.33203125" style="1154" bestFit="1" customWidth="1"/>
    <col min="3083" max="3083" width="4" style="1154" customWidth="1"/>
    <col min="3084" max="3084" width="5.109375" style="1154" customWidth="1"/>
    <col min="3085" max="3085" width="13.77734375" style="1154" customWidth="1"/>
    <col min="3086" max="3328" width="9" style="1154"/>
    <col min="3329" max="3329" width="4.88671875" style="1154" customWidth="1"/>
    <col min="3330" max="3330" width="13.21875" style="1154" customWidth="1"/>
    <col min="3331" max="3331" width="15.6640625" style="1154" customWidth="1"/>
    <col min="3332" max="3332" width="9.33203125" style="1154" bestFit="1" customWidth="1"/>
    <col min="3333" max="3333" width="13.44140625" style="1154" customWidth="1"/>
    <col min="3334" max="3334" width="9" style="1154"/>
    <col min="3335" max="3335" width="9.33203125" style="1154" bestFit="1" customWidth="1"/>
    <col min="3336" max="3337" width="9" style="1154"/>
    <col min="3338" max="3338" width="9.33203125" style="1154" bestFit="1" customWidth="1"/>
    <col min="3339" max="3339" width="4" style="1154" customWidth="1"/>
    <col min="3340" max="3340" width="5.109375" style="1154" customWidth="1"/>
    <col min="3341" max="3341" width="13.77734375" style="1154" customWidth="1"/>
    <col min="3342" max="3584" width="9" style="1154"/>
    <col min="3585" max="3585" width="4.88671875" style="1154" customWidth="1"/>
    <col min="3586" max="3586" width="13.21875" style="1154" customWidth="1"/>
    <col min="3587" max="3587" width="15.6640625" style="1154" customWidth="1"/>
    <col min="3588" max="3588" width="9.33203125" style="1154" bestFit="1" customWidth="1"/>
    <col min="3589" max="3589" width="13.44140625" style="1154" customWidth="1"/>
    <col min="3590" max="3590" width="9" style="1154"/>
    <col min="3591" max="3591" width="9.33203125" style="1154" bestFit="1" customWidth="1"/>
    <col min="3592" max="3593" width="9" style="1154"/>
    <col min="3594" max="3594" width="9.33203125" style="1154" bestFit="1" customWidth="1"/>
    <col min="3595" max="3595" width="4" style="1154" customWidth="1"/>
    <col min="3596" max="3596" width="5.109375" style="1154" customWidth="1"/>
    <col min="3597" max="3597" width="13.77734375" style="1154" customWidth="1"/>
    <col min="3598" max="3840" width="9" style="1154"/>
    <col min="3841" max="3841" width="4.88671875" style="1154" customWidth="1"/>
    <col min="3842" max="3842" width="13.21875" style="1154" customWidth="1"/>
    <col min="3843" max="3843" width="15.6640625" style="1154" customWidth="1"/>
    <col min="3844" max="3844" width="9.33203125" style="1154" bestFit="1" customWidth="1"/>
    <col min="3845" max="3845" width="13.44140625" style="1154" customWidth="1"/>
    <col min="3846" max="3846" width="9" style="1154"/>
    <col min="3847" max="3847" width="9.33203125" style="1154" bestFit="1" customWidth="1"/>
    <col min="3848" max="3849" width="9" style="1154"/>
    <col min="3850" max="3850" width="9.33203125" style="1154" bestFit="1" customWidth="1"/>
    <col min="3851" max="3851" width="4" style="1154" customWidth="1"/>
    <col min="3852" max="3852" width="5.109375" style="1154" customWidth="1"/>
    <col min="3853" max="3853" width="13.77734375" style="1154" customWidth="1"/>
    <col min="3854" max="4096" width="9" style="1154"/>
    <col min="4097" max="4097" width="4.88671875" style="1154" customWidth="1"/>
    <col min="4098" max="4098" width="13.21875" style="1154" customWidth="1"/>
    <col min="4099" max="4099" width="15.6640625" style="1154" customWidth="1"/>
    <col min="4100" max="4100" width="9.33203125" style="1154" bestFit="1" customWidth="1"/>
    <col min="4101" max="4101" width="13.44140625" style="1154" customWidth="1"/>
    <col min="4102" max="4102" width="9" style="1154"/>
    <col min="4103" max="4103" width="9.33203125" style="1154" bestFit="1" customWidth="1"/>
    <col min="4104" max="4105" width="9" style="1154"/>
    <col min="4106" max="4106" width="9.33203125" style="1154" bestFit="1" customWidth="1"/>
    <col min="4107" max="4107" width="4" style="1154" customWidth="1"/>
    <col min="4108" max="4108" width="5.109375" style="1154" customWidth="1"/>
    <col min="4109" max="4109" width="13.77734375" style="1154" customWidth="1"/>
    <col min="4110" max="4352" width="9" style="1154"/>
    <col min="4353" max="4353" width="4.88671875" style="1154" customWidth="1"/>
    <col min="4354" max="4354" width="13.21875" style="1154" customWidth="1"/>
    <col min="4355" max="4355" width="15.6640625" style="1154" customWidth="1"/>
    <col min="4356" max="4356" width="9.33203125" style="1154" bestFit="1" customWidth="1"/>
    <col min="4357" max="4357" width="13.44140625" style="1154" customWidth="1"/>
    <col min="4358" max="4358" width="9" style="1154"/>
    <col min="4359" max="4359" width="9.33203125" style="1154" bestFit="1" customWidth="1"/>
    <col min="4360" max="4361" width="9" style="1154"/>
    <col min="4362" max="4362" width="9.33203125" style="1154" bestFit="1" customWidth="1"/>
    <col min="4363" max="4363" width="4" style="1154" customWidth="1"/>
    <col min="4364" max="4364" width="5.109375" style="1154" customWidth="1"/>
    <col min="4365" max="4365" width="13.77734375" style="1154" customWidth="1"/>
    <col min="4366" max="4608" width="9" style="1154"/>
    <col min="4609" max="4609" width="4.88671875" style="1154" customWidth="1"/>
    <col min="4610" max="4610" width="13.21875" style="1154" customWidth="1"/>
    <col min="4611" max="4611" width="15.6640625" style="1154" customWidth="1"/>
    <col min="4612" max="4612" width="9.33203125" style="1154" bestFit="1" customWidth="1"/>
    <col min="4613" max="4613" width="13.44140625" style="1154" customWidth="1"/>
    <col min="4614" max="4614" width="9" style="1154"/>
    <col min="4615" max="4615" width="9.33203125" style="1154" bestFit="1" customWidth="1"/>
    <col min="4616" max="4617" width="9" style="1154"/>
    <col min="4618" max="4618" width="9.33203125" style="1154" bestFit="1" customWidth="1"/>
    <col min="4619" max="4619" width="4" style="1154" customWidth="1"/>
    <col min="4620" max="4620" width="5.109375" style="1154" customWidth="1"/>
    <col min="4621" max="4621" width="13.77734375" style="1154" customWidth="1"/>
    <col min="4622" max="4864" width="9" style="1154"/>
    <col min="4865" max="4865" width="4.88671875" style="1154" customWidth="1"/>
    <col min="4866" max="4866" width="13.21875" style="1154" customWidth="1"/>
    <col min="4867" max="4867" width="15.6640625" style="1154" customWidth="1"/>
    <col min="4868" max="4868" width="9.33203125" style="1154" bestFit="1" customWidth="1"/>
    <col min="4869" max="4869" width="13.44140625" style="1154" customWidth="1"/>
    <col min="4870" max="4870" width="9" style="1154"/>
    <col min="4871" max="4871" width="9.33203125" style="1154" bestFit="1" customWidth="1"/>
    <col min="4872" max="4873" width="9" style="1154"/>
    <col min="4874" max="4874" width="9.33203125" style="1154" bestFit="1" customWidth="1"/>
    <col min="4875" max="4875" width="4" style="1154" customWidth="1"/>
    <col min="4876" max="4876" width="5.109375" style="1154" customWidth="1"/>
    <col min="4877" max="4877" width="13.77734375" style="1154" customWidth="1"/>
    <col min="4878" max="5120" width="9" style="1154"/>
    <col min="5121" max="5121" width="4.88671875" style="1154" customWidth="1"/>
    <col min="5122" max="5122" width="13.21875" style="1154" customWidth="1"/>
    <col min="5123" max="5123" width="15.6640625" style="1154" customWidth="1"/>
    <col min="5124" max="5124" width="9.33203125" style="1154" bestFit="1" customWidth="1"/>
    <col min="5125" max="5125" width="13.44140625" style="1154" customWidth="1"/>
    <col min="5126" max="5126" width="9" style="1154"/>
    <col min="5127" max="5127" width="9.33203125" style="1154" bestFit="1" customWidth="1"/>
    <col min="5128" max="5129" width="9" style="1154"/>
    <col min="5130" max="5130" width="9.33203125" style="1154" bestFit="1" customWidth="1"/>
    <col min="5131" max="5131" width="4" style="1154" customWidth="1"/>
    <col min="5132" max="5132" width="5.109375" style="1154" customWidth="1"/>
    <col min="5133" max="5133" width="13.77734375" style="1154" customWidth="1"/>
    <col min="5134" max="5376" width="9" style="1154"/>
    <col min="5377" max="5377" width="4.88671875" style="1154" customWidth="1"/>
    <col min="5378" max="5378" width="13.21875" style="1154" customWidth="1"/>
    <col min="5379" max="5379" width="15.6640625" style="1154" customWidth="1"/>
    <col min="5380" max="5380" width="9.33203125" style="1154" bestFit="1" customWidth="1"/>
    <col min="5381" max="5381" width="13.44140625" style="1154" customWidth="1"/>
    <col min="5382" max="5382" width="9" style="1154"/>
    <col min="5383" max="5383" width="9.33203125" style="1154" bestFit="1" customWidth="1"/>
    <col min="5384" max="5385" width="9" style="1154"/>
    <col min="5386" max="5386" width="9.33203125" style="1154" bestFit="1" customWidth="1"/>
    <col min="5387" max="5387" width="4" style="1154" customWidth="1"/>
    <col min="5388" max="5388" width="5.109375" style="1154" customWidth="1"/>
    <col min="5389" max="5389" width="13.77734375" style="1154" customWidth="1"/>
    <col min="5390" max="5632" width="9" style="1154"/>
    <col min="5633" max="5633" width="4.88671875" style="1154" customWidth="1"/>
    <col min="5634" max="5634" width="13.21875" style="1154" customWidth="1"/>
    <col min="5635" max="5635" width="15.6640625" style="1154" customWidth="1"/>
    <col min="5636" max="5636" width="9.33203125" style="1154" bestFit="1" customWidth="1"/>
    <col min="5637" max="5637" width="13.44140625" style="1154" customWidth="1"/>
    <col min="5638" max="5638" width="9" style="1154"/>
    <col min="5639" max="5639" width="9.33203125" style="1154" bestFit="1" customWidth="1"/>
    <col min="5640" max="5641" width="9" style="1154"/>
    <col min="5642" max="5642" width="9.33203125" style="1154" bestFit="1" customWidth="1"/>
    <col min="5643" max="5643" width="4" style="1154" customWidth="1"/>
    <col min="5644" max="5644" width="5.109375" style="1154" customWidth="1"/>
    <col min="5645" max="5645" width="13.77734375" style="1154" customWidth="1"/>
    <col min="5646" max="5888" width="9" style="1154"/>
    <col min="5889" max="5889" width="4.88671875" style="1154" customWidth="1"/>
    <col min="5890" max="5890" width="13.21875" style="1154" customWidth="1"/>
    <col min="5891" max="5891" width="15.6640625" style="1154" customWidth="1"/>
    <col min="5892" max="5892" width="9.33203125" style="1154" bestFit="1" customWidth="1"/>
    <col min="5893" max="5893" width="13.44140625" style="1154" customWidth="1"/>
    <col min="5894" max="5894" width="9" style="1154"/>
    <col min="5895" max="5895" width="9.33203125" style="1154" bestFit="1" customWidth="1"/>
    <col min="5896" max="5897" width="9" style="1154"/>
    <col min="5898" max="5898" width="9.33203125" style="1154" bestFit="1" customWidth="1"/>
    <col min="5899" max="5899" width="4" style="1154" customWidth="1"/>
    <col min="5900" max="5900" width="5.109375" style="1154" customWidth="1"/>
    <col min="5901" max="5901" width="13.77734375" style="1154" customWidth="1"/>
    <col min="5902" max="6144" width="9" style="1154"/>
    <col min="6145" max="6145" width="4.88671875" style="1154" customWidth="1"/>
    <col min="6146" max="6146" width="13.21875" style="1154" customWidth="1"/>
    <col min="6147" max="6147" width="15.6640625" style="1154" customWidth="1"/>
    <col min="6148" max="6148" width="9.33203125" style="1154" bestFit="1" customWidth="1"/>
    <col min="6149" max="6149" width="13.44140625" style="1154" customWidth="1"/>
    <col min="6150" max="6150" width="9" style="1154"/>
    <col min="6151" max="6151" width="9.33203125" style="1154" bestFit="1" customWidth="1"/>
    <col min="6152" max="6153" width="9" style="1154"/>
    <col min="6154" max="6154" width="9.33203125" style="1154" bestFit="1" customWidth="1"/>
    <col min="6155" max="6155" width="4" style="1154" customWidth="1"/>
    <col min="6156" max="6156" width="5.109375" style="1154" customWidth="1"/>
    <col min="6157" max="6157" width="13.77734375" style="1154" customWidth="1"/>
    <col min="6158" max="6400" width="9" style="1154"/>
    <col min="6401" max="6401" width="4.88671875" style="1154" customWidth="1"/>
    <col min="6402" max="6402" width="13.21875" style="1154" customWidth="1"/>
    <col min="6403" max="6403" width="15.6640625" style="1154" customWidth="1"/>
    <col min="6404" max="6404" width="9.33203125" style="1154" bestFit="1" customWidth="1"/>
    <col min="6405" max="6405" width="13.44140625" style="1154" customWidth="1"/>
    <col min="6406" max="6406" width="9" style="1154"/>
    <col min="6407" max="6407" width="9.33203125" style="1154" bestFit="1" customWidth="1"/>
    <col min="6408" max="6409" width="9" style="1154"/>
    <col min="6410" max="6410" width="9.33203125" style="1154" bestFit="1" customWidth="1"/>
    <col min="6411" max="6411" width="4" style="1154" customWidth="1"/>
    <col min="6412" max="6412" width="5.109375" style="1154" customWidth="1"/>
    <col min="6413" max="6413" width="13.77734375" style="1154" customWidth="1"/>
    <col min="6414" max="6656" width="9" style="1154"/>
    <col min="6657" max="6657" width="4.88671875" style="1154" customWidth="1"/>
    <col min="6658" max="6658" width="13.21875" style="1154" customWidth="1"/>
    <col min="6659" max="6659" width="15.6640625" style="1154" customWidth="1"/>
    <col min="6660" max="6660" width="9.33203125" style="1154" bestFit="1" customWidth="1"/>
    <col min="6661" max="6661" width="13.44140625" style="1154" customWidth="1"/>
    <col min="6662" max="6662" width="9" style="1154"/>
    <col min="6663" max="6663" width="9.33203125" style="1154" bestFit="1" customWidth="1"/>
    <col min="6664" max="6665" width="9" style="1154"/>
    <col min="6666" max="6666" width="9.33203125" style="1154" bestFit="1" customWidth="1"/>
    <col min="6667" max="6667" width="4" style="1154" customWidth="1"/>
    <col min="6668" max="6668" width="5.109375" style="1154" customWidth="1"/>
    <col min="6669" max="6669" width="13.77734375" style="1154" customWidth="1"/>
    <col min="6670" max="6912" width="9" style="1154"/>
    <col min="6913" max="6913" width="4.88671875" style="1154" customWidth="1"/>
    <col min="6914" max="6914" width="13.21875" style="1154" customWidth="1"/>
    <col min="6915" max="6915" width="15.6640625" style="1154" customWidth="1"/>
    <col min="6916" max="6916" width="9.33203125" style="1154" bestFit="1" customWidth="1"/>
    <col min="6917" max="6917" width="13.44140625" style="1154" customWidth="1"/>
    <col min="6918" max="6918" width="9" style="1154"/>
    <col min="6919" max="6919" width="9.33203125" style="1154" bestFit="1" customWidth="1"/>
    <col min="6920" max="6921" width="9" style="1154"/>
    <col min="6922" max="6922" width="9.33203125" style="1154" bestFit="1" customWidth="1"/>
    <col min="6923" max="6923" width="4" style="1154" customWidth="1"/>
    <col min="6924" max="6924" width="5.109375" style="1154" customWidth="1"/>
    <col min="6925" max="6925" width="13.77734375" style="1154" customWidth="1"/>
    <col min="6926" max="7168" width="9" style="1154"/>
    <col min="7169" max="7169" width="4.88671875" style="1154" customWidth="1"/>
    <col min="7170" max="7170" width="13.21875" style="1154" customWidth="1"/>
    <col min="7171" max="7171" width="15.6640625" style="1154" customWidth="1"/>
    <col min="7172" max="7172" width="9.33203125" style="1154" bestFit="1" customWidth="1"/>
    <col min="7173" max="7173" width="13.44140625" style="1154" customWidth="1"/>
    <col min="7174" max="7174" width="9" style="1154"/>
    <col min="7175" max="7175" width="9.33203125" style="1154" bestFit="1" customWidth="1"/>
    <col min="7176" max="7177" width="9" style="1154"/>
    <col min="7178" max="7178" width="9.33203125" style="1154" bestFit="1" customWidth="1"/>
    <col min="7179" max="7179" width="4" style="1154" customWidth="1"/>
    <col min="7180" max="7180" width="5.109375" style="1154" customWidth="1"/>
    <col min="7181" max="7181" width="13.77734375" style="1154" customWidth="1"/>
    <col min="7182" max="7424" width="9" style="1154"/>
    <col min="7425" max="7425" width="4.88671875" style="1154" customWidth="1"/>
    <col min="7426" max="7426" width="13.21875" style="1154" customWidth="1"/>
    <col min="7427" max="7427" width="15.6640625" style="1154" customWidth="1"/>
    <col min="7428" max="7428" width="9.33203125" style="1154" bestFit="1" customWidth="1"/>
    <col min="7429" max="7429" width="13.44140625" style="1154" customWidth="1"/>
    <col min="7430" max="7430" width="9" style="1154"/>
    <col min="7431" max="7431" width="9.33203125" style="1154" bestFit="1" customWidth="1"/>
    <col min="7432" max="7433" width="9" style="1154"/>
    <col min="7434" max="7434" width="9.33203125" style="1154" bestFit="1" customWidth="1"/>
    <col min="7435" max="7435" width="4" style="1154" customWidth="1"/>
    <col min="7436" max="7436" width="5.109375" style="1154" customWidth="1"/>
    <col min="7437" max="7437" width="13.77734375" style="1154" customWidth="1"/>
    <col min="7438" max="7680" width="9" style="1154"/>
    <col min="7681" max="7681" width="4.88671875" style="1154" customWidth="1"/>
    <col min="7682" max="7682" width="13.21875" style="1154" customWidth="1"/>
    <col min="7683" max="7683" width="15.6640625" style="1154" customWidth="1"/>
    <col min="7684" max="7684" width="9.33203125" style="1154" bestFit="1" customWidth="1"/>
    <col min="7685" max="7685" width="13.44140625" style="1154" customWidth="1"/>
    <col min="7686" max="7686" width="9" style="1154"/>
    <col min="7687" max="7687" width="9.33203125" style="1154" bestFit="1" customWidth="1"/>
    <col min="7688" max="7689" width="9" style="1154"/>
    <col min="7690" max="7690" width="9.33203125" style="1154" bestFit="1" customWidth="1"/>
    <col min="7691" max="7691" width="4" style="1154" customWidth="1"/>
    <col min="7692" max="7692" width="5.109375" style="1154" customWidth="1"/>
    <col min="7693" max="7693" width="13.77734375" style="1154" customWidth="1"/>
    <col min="7694" max="7936" width="9" style="1154"/>
    <col min="7937" max="7937" width="4.88671875" style="1154" customWidth="1"/>
    <col min="7938" max="7938" width="13.21875" style="1154" customWidth="1"/>
    <col min="7939" max="7939" width="15.6640625" style="1154" customWidth="1"/>
    <col min="7940" max="7940" width="9.33203125" style="1154" bestFit="1" customWidth="1"/>
    <col min="7941" max="7941" width="13.44140625" style="1154" customWidth="1"/>
    <col min="7942" max="7942" width="9" style="1154"/>
    <col min="7943" max="7943" width="9.33203125" style="1154" bestFit="1" customWidth="1"/>
    <col min="7944" max="7945" width="9" style="1154"/>
    <col min="7946" max="7946" width="9.33203125" style="1154" bestFit="1" customWidth="1"/>
    <col min="7947" max="7947" width="4" style="1154" customWidth="1"/>
    <col min="7948" max="7948" width="5.109375" style="1154" customWidth="1"/>
    <col min="7949" max="7949" width="13.77734375" style="1154" customWidth="1"/>
    <col min="7950" max="8192" width="9" style="1154"/>
    <col min="8193" max="8193" width="4.88671875" style="1154" customWidth="1"/>
    <col min="8194" max="8194" width="13.21875" style="1154" customWidth="1"/>
    <col min="8195" max="8195" width="15.6640625" style="1154" customWidth="1"/>
    <col min="8196" max="8196" width="9.33203125" style="1154" bestFit="1" customWidth="1"/>
    <col min="8197" max="8197" width="13.44140625" style="1154" customWidth="1"/>
    <col min="8198" max="8198" width="9" style="1154"/>
    <col min="8199" max="8199" width="9.33203125" style="1154" bestFit="1" customWidth="1"/>
    <col min="8200" max="8201" width="9" style="1154"/>
    <col min="8202" max="8202" width="9.33203125" style="1154" bestFit="1" customWidth="1"/>
    <col min="8203" max="8203" width="4" style="1154" customWidth="1"/>
    <col min="8204" max="8204" width="5.109375" style="1154" customWidth="1"/>
    <col min="8205" max="8205" width="13.77734375" style="1154" customWidth="1"/>
    <col min="8206" max="8448" width="9" style="1154"/>
    <col min="8449" max="8449" width="4.88671875" style="1154" customWidth="1"/>
    <col min="8450" max="8450" width="13.21875" style="1154" customWidth="1"/>
    <col min="8451" max="8451" width="15.6640625" style="1154" customWidth="1"/>
    <col min="8452" max="8452" width="9.33203125" style="1154" bestFit="1" customWidth="1"/>
    <col min="8453" max="8453" width="13.44140625" style="1154" customWidth="1"/>
    <col min="8454" max="8454" width="9" style="1154"/>
    <col min="8455" max="8455" width="9.33203125" style="1154" bestFit="1" customWidth="1"/>
    <col min="8456" max="8457" width="9" style="1154"/>
    <col min="8458" max="8458" width="9.33203125" style="1154" bestFit="1" customWidth="1"/>
    <col min="8459" max="8459" width="4" style="1154" customWidth="1"/>
    <col min="8460" max="8460" width="5.109375" style="1154" customWidth="1"/>
    <col min="8461" max="8461" width="13.77734375" style="1154" customWidth="1"/>
    <col min="8462" max="8704" width="9" style="1154"/>
    <col min="8705" max="8705" width="4.88671875" style="1154" customWidth="1"/>
    <col min="8706" max="8706" width="13.21875" style="1154" customWidth="1"/>
    <col min="8707" max="8707" width="15.6640625" style="1154" customWidth="1"/>
    <col min="8708" max="8708" width="9.33203125" style="1154" bestFit="1" customWidth="1"/>
    <col min="8709" max="8709" width="13.44140625" style="1154" customWidth="1"/>
    <col min="8710" max="8710" width="9" style="1154"/>
    <col min="8711" max="8711" width="9.33203125" style="1154" bestFit="1" customWidth="1"/>
    <col min="8712" max="8713" width="9" style="1154"/>
    <col min="8714" max="8714" width="9.33203125" style="1154" bestFit="1" customWidth="1"/>
    <col min="8715" max="8715" width="4" style="1154" customWidth="1"/>
    <col min="8716" max="8716" width="5.109375" style="1154" customWidth="1"/>
    <col min="8717" max="8717" width="13.77734375" style="1154" customWidth="1"/>
    <col min="8718" max="8960" width="9" style="1154"/>
    <col min="8961" max="8961" width="4.88671875" style="1154" customWidth="1"/>
    <col min="8962" max="8962" width="13.21875" style="1154" customWidth="1"/>
    <col min="8963" max="8963" width="15.6640625" style="1154" customWidth="1"/>
    <col min="8964" max="8964" width="9.33203125" style="1154" bestFit="1" customWidth="1"/>
    <col min="8965" max="8965" width="13.44140625" style="1154" customWidth="1"/>
    <col min="8966" max="8966" width="9" style="1154"/>
    <col min="8967" max="8967" width="9.33203125" style="1154" bestFit="1" customWidth="1"/>
    <col min="8968" max="8969" width="9" style="1154"/>
    <col min="8970" max="8970" width="9.33203125" style="1154" bestFit="1" customWidth="1"/>
    <col min="8971" max="8971" width="4" style="1154" customWidth="1"/>
    <col min="8972" max="8972" width="5.109375" style="1154" customWidth="1"/>
    <col min="8973" max="8973" width="13.77734375" style="1154" customWidth="1"/>
    <col min="8974" max="9216" width="9" style="1154"/>
    <col min="9217" max="9217" width="4.88671875" style="1154" customWidth="1"/>
    <col min="9218" max="9218" width="13.21875" style="1154" customWidth="1"/>
    <col min="9219" max="9219" width="15.6640625" style="1154" customWidth="1"/>
    <col min="9220" max="9220" width="9.33203125" style="1154" bestFit="1" customWidth="1"/>
    <col min="9221" max="9221" width="13.44140625" style="1154" customWidth="1"/>
    <col min="9222" max="9222" width="9" style="1154"/>
    <col min="9223" max="9223" width="9.33203125" style="1154" bestFit="1" customWidth="1"/>
    <col min="9224" max="9225" width="9" style="1154"/>
    <col min="9226" max="9226" width="9.33203125" style="1154" bestFit="1" customWidth="1"/>
    <col min="9227" max="9227" width="4" style="1154" customWidth="1"/>
    <col min="9228" max="9228" width="5.109375" style="1154" customWidth="1"/>
    <col min="9229" max="9229" width="13.77734375" style="1154" customWidth="1"/>
    <col min="9230" max="9472" width="9" style="1154"/>
    <col min="9473" max="9473" width="4.88671875" style="1154" customWidth="1"/>
    <col min="9474" max="9474" width="13.21875" style="1154" customWidth="1"/>
    <col min="9475" max="9475" width="15.6640625" style="1154" customWidth="1"/>
    <col min="9476" max="9476" width="9.33203125" style="1154" bestFit="1" customWidth="1"/>
    <col min="9477" max="9477" width="13.44140625" style="1154" customWidth="1"/>
    <col min="9478" max="9478" width="9" style="1154"/>
    <col min="9479" max="9479" width="9.33203125" style="1154" bestFit="1" customWidth="1"/>
    <col min="9480" max="9481" width="9" style="1154"/>
    <col min="9482" max="9482" width="9.33203125" style="1154" bestFit="1" customWidth="1"/>
    <col min="9483" max="9483" width="4" style="1154" customWidth="1"/>
    <col min="9484" max="9484" width="5.109375" style="1154" customWidth="1"/>
    <col min="9485" max="9485" width="13.77734375" style="1154" customWidth="1"/>
    <col min="9486" max="9728" width="9" style="1154"/>
    <col min="9729" max="9729" width="4.88671875" style="1154" customWidth="1"/>
    <col min="9730" max="9730" width="13.21875" style="1154" customWidth="1"/>
    <col min="9731" max="9731" width="15.6640625" style="1154" customWidth="1"/>
    <col min="9732" max="9732" width="9.33203125" style="1154" bestFit="1" customWidth="1"/>
    <col min="9733" max="9733" width="13.44140625" style="1154" customWidth="1"/>
    <col min="9734" max="9734" width="9" style="1154"/>
    <col min="9735" max="9735" width="9.33203125" style="1154" bestFit="1" customWidth="1"/>
    <col min="9736" max="9737" width="9" style="1154"/>
    <col min="9738" max="9738" width="9.33203125" style="1154" bestFit="1" customWidth="1"/>
    <col min="9739" max="9739" width="4" style="1154" customWidth="1"/>
    <col min="9740" max="9740" width="5.109375" style="1154" customWidth="1"/>
    <col min="9741" max="9741" width="13.77734375" style="1154" customWidth="1"/>
    <col min="9742" max="9984" width="9" style="1154"/>
    <col min="9985" max="9985" width="4.88671875" style="1154" customWidth="1"/>
    <col min="9986" max="9986" width="13.21875" style="1154" customWidth="1"/>
    <col min="9987" max="9987" width="15.6640625" style="1154" customWidth="1"/>
    <col min="9988" max="9988" width="9.33203125" style="1154" bestFit="1" customWidth="1"/>
    <col min="9989" max="9989" width="13.44140625" style="1154" customWidth="1"/>
    <col min="9990" max="9990" width="9" style="1154"/>
    <col min="9991" max="9991" width="9.33203125" style="1154" bestFit="1" customWidth="1"/>
    <col min="9992" max="9993" width="9" style="1154"/>
    <col min="9994" max="9994" width="9.33203125" style="1154" bestFit="1" customWidth="1"/>
    <col min="9995" max="9995" width="4" style="1154" customWidth="1"/>
    <col min="9996" max="9996" width="5.109375" style="1154" customWidth="1"/>
    <col min="9997" max="9997" width="13.77734375" style="1154" customWidth="1"/>
    <col min="9998" max="10240" width="9" style="1154"/>
    <col min="10241" max="10241" width="4.88671875" style="1154" customWidth="1"/>
    <col min="10242" max="10242" width="13.21875" style="1154" customWidth="1"/>
    <col min="10243" max="10243" width="15.6640625" style="1154" customWidth="1"/>
    <col min="10244" max="10244" width="9.33203125" style="1154" bestFit="1" customWidth="1"/>
    <col min="10245" max="10245" width="13.44140625" style="1154" customWidth="1"/>
    <col min="10246" max="10246" width="9" style="1154"/>
    <col min="10247" max="10247" width="9.33203125" style="1154" bestFit="1" customWidth="1"/>
    <col min="10248" max="10249" width="9" style="1154"/>
    <col min="10250" max="10250" width="9.33203125" style="1154" bestFit="1" customWidth="1"/>
    <col min="10251" max="10251" width="4" style="1154" customWidth="1"/>
    <col min="10252" max="10252" width="5.109375" style="1154" customWidth="1"/>
    <col min="10253" max="10253" width="13.77734375" style="1154" customWidth="1"/>
    <col min="10254" max="10496" width="9" style="1154"/>
    <col min="10497" max="10497" width="4.88671875" style="1154" customWidth="1"/>
    <col min="10498" max="10498" width="13.21875" style="1154" customWidth="1"/>
    <col min="10499" max="10499" width="15.6640625" style="1154" customWidth="1"/>
    <col min="10500" max="10500" width="9.33203125" style="1154" bestFit="1" customWidth="1"/>
    <col min="10501" max="10501" width="13.44140625" style="1154" customWidth="1"/>
    <col min="10502" max="10502" width="9" style="1154"/>
    <col min="10503" max="10503" width="9.33203125" style="1154" bestFit="1" customWidth="1"/>
    <col min="10504" max="10505" width="9" style="1154"/>
    <col min="10506" max="10506" width="9.33203125" style="1154" bestFit="1" customWidth="1"/>
    <col min="10507" max="10507" width="4" style="1154" customWidth="1"/>
    <col min="10508" max="10508" width="5.109375" style="1154" customWidth="1"/>
    <col min="10509" max="10509" width="13.77734375" style="1154" customWidth="1"/>
    <col min="10510" max="10752" width="9" style="1154"/>
    <col min="10753" max="10753" width="4.88671875" style="1154" customWidth="1"/>
    <col min="10754" max="10754" width="13.21875" style="1154" customWidth="1"/>
    <col min="10755" max="10755" width="15.6640625" style="1154" customWidth="1"/>
    <col min="10756" max="10756" width="9.33203125" style="1154" bestFit="1" customWidth="1"/>
    <col min="10757" max="10757" width="13.44140625" style="1154" customWidth="1"/>
    <col min="10758" max="10758" width="9" style="1154"/>
    <col min="10759" max="10759" width="9.33203125" style="1154" bestFit="1" customWidth="1"/>
    <col min="10760" max="10761" width="9" style="1154"/>
    <col min="10762" max="10762" width="9.33203125" style="1154" bestFit="1" customWidth="1"/>
    <col min="10763" max="10763" width="4" style="1154" customWidth="1"/>
    <col min="10764" max="10764" width="5.109375" style="1154" customWidth="1"/>
    <col min="10765" max="10765" width="13.77734375" style="1154" customWidth="1"/>
    <col min="10766" max="11008" width="9" style="1154"/>
    <col min="11009" max="11009" width="4.88671875" style="1154" customWidth="1"/>
    <col min="11010" max="11010" width="13.21875" style="1154" customWidth="1"/>
    <col min="11011" max="11011" width="15.6640625" style="1154" customWidth="1"/>
    <col min="11012" max="11012" width="9.33203125" style="1154" bestFit="1" customWidth="1"/>
    <col min="11013" max="11013" width="13.44140625" style="1154" customWidth="1"/>
    <col min="11014" max="11014" width="9" style="1154"/>
    <col min="11015" max="11015" width="9.33203125" style="1154" bestFit="1" customWidth="1"/>
    <col min="11016" max="11017" width="9" style="1154"/>
    <col min="11018" max="11018" width="9.33203125" style="1154" bestFit="1" customWidth="1"/>
    <col min="11019" max="11019" width="4" style="1154" customWidth="1"/>
    <col min="11020" max="11020" width="5.109375" style="1154" customWidth="1"/>
    <col min="11021" max="11021" width="13.77734375" style="1154" customWidth="1"/>
    <col min="11022" max="11264" width="9" style="1154"/>
    <col min="11265" max="11265" width="4.88671875" style="1154" customWidth="1"/>
    <col min="11266" max="11266" width="13.21875" style="1154" customWidth="1"/>
    <col min="11267" max="11267" width="15.6640625" style="1154" customWidth="1"/>
    <col min="11268" max="11268" width="9.33203125" style="1154" bestFit="1" customWidth="1"/>
    <col min="11269" max="11269" width="13.44140625" style="1154" customWidth="1"/>
    <col min="11270" max="11270" width="9" style="1154"/>
    <col min="11271" max="11271" width="9.33203125" style="1154" bestFit="1" customWidth="1"/>
    <col min="11272" max="11273" width="9" style="1154"/>
    <col min="11274" max="11274" width="9.33203125" style="1154" bestFit="1" customWidth="1"/>
    <col min="11275" max="11275" width="4" style="1154" customWidth="1"/>
    <col min="11276" max="11276" width="5.109375" style="1154" customWidth="1"/>
    <col min="11277" max="11277" width="13.77734375" style="1154" customWidth="1"/>
    <col min="11278" max="11520" width="9" style="1154"/>
    <col min="11521" max="11521" width="4.88671875" style="1154" customWidth="1"/>
    <col min="11522" max="11522" width="13.21875" style="1154" customWidth="1"/>
    <col min="11523" max="11523" width="15.6640625" style="1154" customWidth="1"/>
    <col min="11524" max="11524" width="9.33203125" style="1154" bestFit="1" customWidth="1"/>
    <col min="11525" max="11525" width="13.44140625" style="1154" customWidth="1"/>
    <col min="11526" max="11526" width="9" style="1154"/>
    <col min="11527" max="11527" width="9.33203125" style="1154" bestFit="1" customWidth="1"/>
    <col min="11528" max="11529" width="9" style="1154"/>
    <col min="11530" max="11530" width="9.33203125" style="1154" bestFit="1" customWidth="1"/>
    <col min="11531" max="11531" width="4" style="1154" customWidth="1"/>
    <col min="11532" max="11532" width="5.109375" style="1154" customWidth="1"/>
    <col min="11533" max="11533" width="13.77734375" style="1154" customWidth="1"/>
    <col min="11534" max="11776" width="9" style="1154"/>
    <col min="11777" max="11777" width="4.88671875" style="1154" customWidth="1"/>
    <col min="11778" max="11778" width="13.21875" style="1154" customWidth="1"/>
    <col min="11779" max="11779" width="15.6640625" style="1154" customWidth="1"/>
    <col min="11780" max="11780" width="9.33203125" style="1154" bestFit="1" customWidth="1"/>
    <col min="11781" max="11781" width="13.44140625" style="1154" customWidth="1"/>
    <col min="11782" max="11782" width="9" style="1154"/>
    <col min="11783" max="11783" width="9.33203125" style="1154" bestFit="1" customWidth="1"/>
    <col min="11784" max="11785" width="9" style="1154"/>
    <col min="11786" max="11786" width="9.33203125" style="1154" bestFit="1" customWidth="1"/>
    <col min="11787" max="11787" width="4" style="1154" customWidth="1"/>
    <col min="11788" max="11788" width="5.109375" style="1154" customWidth="1"/>
    <col min="11789" max="11789" width="13.77734375" style="1154" customWidth="1"/>
    <col min="11790" max="12032" width="9" style="1154"/>
    <col min="12033" max="12033" width="4.88671875" style="1154" customWidth="1"/>
    <col min="12034" max="12034" width="13.21875" style="1154" customWidth="1"/>
    <col min="12035" max="12035" width="15.6640625" style="1154" customWidth="1"/>
    <col min="12036" max="12036" width="9.33203125" style="1154" bestFit="1" customWidth="1"/>
    <col min="12037" max="12037" width="13.44140625" style="1154" customWidth="1"/>
    <col min="12038" max="12038" width="9" style="1154"/>
    <col min="12039" max="12039" width="9.33203125" style="1154" bestFit="1" customWidth="1"/>
    <col min="12040" max="12041" width="9" style="1154"/>
    <col min="12042" max="12042" width="9.33203125" style="1154" bestFit="1" customWidth="1"/>
    <col min="12043" max="12043" width="4" style="1154" customWidth="1"/>
    <col min="12044" max="12044" width="5.109375" style="1154" customWidth="1"/>
    <col min="12045" max="12045" width="13.77734375" style="1154" customWidth="1"/>
    <col min="12046" max="12288" width="9" style="1154"/>
    <col min="12289" max="12289" width="4.88671875" style="1154" customWidth="1"/>
    <col min="12290" max="12290" width="13.21875" style="1154" customWidth="1"/>
    <col min="12291" max="12291" width="15.6640625" style="1154" customWidth="1"/>
    <col min="12292" max="12292" width="9.33203125" style="1154" bestFit="1" customWidth="1"/>
    <col min="12293" max="12293" width="13.44140625" style="1154" customWidth="1"/>
    <col min="12294" max="12294" width="9" style="1154"/>
    <col min="12295" max="12295" width="9.33203125" style="1154" bestFit="1" customWidth="1"/>
    <col min="12296" max="12297" width="9" style="1154"/>
    <col min="12298" max="12298" width="9.33203125" style="1154" bestFit="1" customWidth="1"/>
    <col min="12299" max="12299" width="4" style="1154" customWidth="1"/>
    <col min="12300" max="12300" width="5.109375" style="1154" customWidth="1"/>
    <col min="12301" max="12301" width="13.77734375" style="1154" customWidth="1"/>
    <col min="12302" max="12544" width="9" style="1154"/>
    <col min="12545" max="12545" width="4.88671875" style="1154" customWidth="1"/>
    <col min="12546" max="12546" width="13.21875" style="1154" customWidth="1"/>
    <col min="12547" max="12547" width="15.6640625" style="1154" customWidth="1"/>
    <col min="12548" max="12548" width="9.33203125" style="1154" bestFit="1" customWidth="1"/>
    <col min="12549" max="12549" width="13.44140625" style="1154" customWidth="1"/>
    <col min="12550" max="12550" width="9" style="1154"/>
    <col min="12551" max="12551" width="9.33203125" style="1154" bestFit="1" customWidth="1"/>
    <col min="12552" max="12553" width="9" style="1154"/>
    <col min="12554" max="12554" width="9.33203125" style="1154" bestFit="1" customWidth="1"/>
    <col min="12555" max="12555" width="4" style="1154" customWidth="1"/>
    <col min="12556" max="12556" width="5.109375" style="1154" customWidth="1"/>
    <col min="12557" max="12557" width="13.77734375" style="1154" customWidth="1"/>
    <col min="12558" max="12800" width="9" style="1154"/>
    <col min="12801" max="12801" width="4.88671875" style="1154" customWidth="1"/>
    <col min="12802" max="12802" width="13.21875" style="1154" customWidth="1"/>
    <col min="12803" max="12803" width="15.6640625" style="1154" customWidth="1"/>
    <col min="12804" max="12804" width="9.33203125" style="1154" bestFit="1" customWidth="1"/>
    <col min="12805" max="12805" width="13.44140625" style="1154" customWidth="1"/>
    <col min="12806" max="12806" width="9" style="1154"/>
    <col min="12807" max="12807" width="9.33203125" style="1154" bestFit="1" customWidth="1"/>
    <col min="12808" max="12809" width="9" style="1154"/>
    <col min="12810" max="12810" width="9.33203125" style="1154" bestFit="1" customWidth="1"/>
    <col min="12811" max="12811" width="4" style="1154" customWidth="1"/>
    <col min="12812" max="12812" width="5.109375" style="1154" customWidth="1"/>
    <col min="12813" max="12813" width="13.77734375" style="1154" customWidth="1"/>
    <col min="12814" max="13056" width="9" style="1154"/>
    <col min="13057" max="13057" width="4.88671875" style="1154" customWidth="1"/>
    <col min="13058" max="13058" width="13.21875" style="1154" customWidth="1"/>
    <col min="13059" max="13059" width="15.6640625" style="1154" customWidth="1"/>
    <col min="13060" max="13060" width="9.33203125" style="1154" bestFit="1" customWidth="1"/>
    <col min="13061" max="13061" width="13.44140625" style="1154" customWidth="1"/>
    <col min="13062" max="13062" width="9" style="1154"/>
    <col min="13063" max="13063" width="9.33203125" style="1154" bestFit="1" customWidth="1"/>
    <col min="13064" max="13065" width="9" style="1154"/>
    <col min="13066" max="13066" width="9.33203125" style="1154" bestFit="1" customWidth="1"/>
    <col min="13067" max="13067" width="4" style="1154" customWidth="1"/>
    <col min="13068" max="13068" width="5.109375" style="1154" customWidth="1"/>
    <col min="13069" max="13069" width="13.77734375" style="1154" customWidth="1"/>
    <col min="13070" max="13312" width="9" style="1154"/>
    <col min="13313" max="13313" width="4.88671875" style="1154" customWidth="1"/>
    <col min="13314" max="13314" width="13.21875" style="1154" customWidth="1"/>
    <col min="13315" max="13315" width="15.6640625" style="1154" customWidth="1"/>
    <col min="13316" max="13316" width="9.33203125" style="1154" bestFit="1" customWidth="1"/>
    <col min="13317" max="13317" width="13.44140625" style="1154" customWidth="1"/>
    <col min="13318" max="13318" width="9" style="1154"/>
    <col min="13319" max="13319" width="9.33203125" style="1154" bestFit="1" customWidth="1"/>
    <col min="13320" max="13321" width="9" style="1154"/>
    <col min="13322" max="13322" width="9.33203125" style="1154" bestFit="1" customWidth="1"/>
    <col min="13323" max="13323" width="4" style="1154" customWidth="1"/>
    <col min="13324" max="13324" width="5.109375" style="1154" customWidth="1"/>
    <col min="13325" max="13325" width="13.77734375" style="1154" customWidth="1"/>
    <col min="13326" max="13568" width="9" style="1154"/>
    <col min="13569" max="13569" width="4.88671875" style="1154" customWidth="1"/>
    <col min="13570" max="13570" width="13.21875" style="1154" customWidth="1"/>
    <col min="13571" max="13571" width="15.6640625" style="1154" customWidth="1"/>
    <col min="13572" max="13572" width="9.33203125" style="1154" bestFit="1" customWidth="1"/>
    <col min="13573" max="13573" width="13.44140625" style="1154" customWidth="1"/>
    <col min="13574" max="13574" width="9" style="1154"/>
    <col min="13575" max="13575" width="9.33203125" style="1154" bestFit="1" customWidth="1"/>
    <col min="13576" max="13577" width="9" style="1154"/>
    <col min="13578" max="13578" width="9.33203125" style="1154" bestFit="1" customWidth="1"/>
    <col min="13579" max="13579" width="4" style="1154" customWidth="1"/>
    <col min="13580" max="13580" width="5.109375" style="1154" customWidth="1"/>
    <col min="13581" max="13581" width="13.77734375" style="1154" customWidth="1"/>
    <col min="13582" max="13824" width="9" style="1154"/>
    <col min="13825" max="13825" width="4.88671875" style="1154" customWidth="1"/>
    <col min="13826" max="13826" width="13.21875" style="1154" customWidth="1"/>
    <col min="13827" max="13827" width="15.6640625" style="1154" customWidth="1"/>
    <col min="13828" max="13828" width="9.33203125" style="1154" bestFit="1" customWidth="1"/>
    <col min="13829" max="13829" width="13.44140625" style="1154" customWidth="1"/>
    <col min="13830" max="13830" width="9" style="1154"/>
    <col min="13831" max="13831" width="9.33203125" style="1154" bestFit="1" customWidth="1"/>
    <col min="13832" max="13833" width="9" style="1154"/>
    <col min="13834" max="13834" width="9.33203125" style="1154" bestFit="1" customWidth="1"/>
    <col min="13835" max="13835" width="4" style="1154" customWidth="1"/>
    <col min="13836" max="13836" width="5.109375" style="1154" customWidth="1"/>
    <col min="13837" max="13837" width="13.77734375" style="1154" customWidth="1"/>
    <col min="13838" max="14080" width="9" style="1154"/>
    <col min="14081" max="14081" width="4.88671875" style="1154" customWidth="1"/>
    <col min="14082" max="14082" width="13.21875" style="1154" customWidth="1"/>
    <col min="14083" max="14083" width="15.6640625" style="1154" customWidth="1"/>
    <col min="14084" max="14084" width="9.33203125" style="1154" bestFit="1" customWidth="1"/>
    <col min="14085" max="14085" width="13.44140625" style="1154" customWidth="1"/>
    <col min="14086" max="14086" width="9" style="1154"/>
    <col min="14087" max="14087" width="9.33203125" style="1154" bestFit="1" customWidth="1"/>
    <col min="14088" max="14089" width="9" style="1154"/>
    <col min="14090" max="14090" width="9.33203125" style="1154" bestFit="1" customWidth="1"/>
    <col min="14091" max="14091" width="4" style="1154" customWidth="1"/>
    <col min="14092" max="14092" width="5.109375" style="1154" customWidth="1"/>
    <col min="14093" max="14093" width="13.77734375" style="1154" customWidth="1"/>
    <col min="14094" max="14336" width="9" style="1154"/>
    <col min="14337" max="14337" width="4.88671875" style="1154" customWidth="1"/>
    <col min="14338" max="14338" width="13.21875" style="1154" customWidth="1"/>
    <col min="14339" max="14339" width="15.6640625" style="1154" customWidth="1"/>
    <col min="14340" max="14340" width="9.33203125" style="1154" bestFit="1" customWidth="1"/>
    <col min="14341" max="14341" width="13.44140625" style="1154" customWidth="1"/>
    <col min="14342" max="14342" width="9" style="1154"/>
    <col min="14343" max="14343" width="9.33203125" style="1154" bestFit="1" customWidth="1"/>
    <col min="14344" max="14345" width="9" style="1154"/>
    <col min="14346" max="14346" width="9.33203125" style="1154" bestFit="1" customWidth="1"/>
    <col min="14347" max="14347" width="4" style="1154" customWidth="1"/>
    <col min="14348" max="14348" width="5.109375" style="1154" customWidth="1"/>
    <col min="14349" max="14349" width="13.77734375" style="1154" customWidth="1"/>
    <col min="14350" max="14592" width="9" style="1154"/>
    <col min="14593" max="14593" width="4.88671875" style="1154" customWidth="1"/>
    <col min="14594" max="14594" width="13.21875" style="1154" customWidth="1"/>
    <col min="14595" max="14595" width="15.6640625" style="1154" customWidth="1"/>
    <col min="14596" max="14596" width="9.33203125" style="1154" bestFit="1" customWidth="1"/>
    <col min="14597" max="14597" width="13.44140625" style="1154" customWidth="1"/>
    <col min="14598" max="14598" width="9" style="1154"/>
    <col min="14599" max="14599" width="9.33203125" style="1154" bestFit="1" customWidth="1"/>
    <col min="14600" max="14601" width="9" style="1154"/>
    <col min="14602" max="14602" width="9.33203125" style="1154" bestFit="1" customWidth="1"/>
    <col min="14603" max="14603" width="4" style="1154" customWidth="1"/>
    <col min="14604" max="14604" width="5.109375" style="1154" customWidth="1"/>
    <col min="14605" max="14605" width="13.77734375" style="1154" customWidth="1"/>
    <col min="14606" max="14848" width="9" style="1154"/>
    <col min="14849" max="14849" width="4.88671875" style="1154" customWidth="1"/>
    <col min="14850" max="14850" width="13.21875" style="1154" customWidth="1"/>
    <col min="14851" max="14851" width="15.6640625" style="1154" customWidth="1"/>
    <col min="14852" max="14852" width="9.33203125" style="1154" bestFit="1" customWidth="1"/>
    <col min="14853" max="14853" width="13.44140625" style="1154" customWidth="1"/>
    <col min="14854" max="14854" width="9" style="1154"/>
    <col min="14855" max="14855" width="9.33203125" style="1154" bestFit="1" customWidth="1"/>
    <col min="14856" max="14857" width="9" style="1154"/>
    <col min="14858" max="14858" width="9.33203125" style="1154" bestFit="1" customWidth="1"/>
    <col min="14859" max="14859" width="4" style="1154" customWidth="1"/>
    <col min="14860" max="14860" width="5.109375" style="1154" customWidth="1"/>
    <col min="14861" max="14861" width="13.77734375" style="1154" customWidth="1"/>
    <col min="14862" max="15104" width="9" style="1154"/>
    <col min="15105" max="15105" width="4.88671875" style="1154" customWidth="1"/>
    <col min="15106" max="15106" width="13.21875" style="1154" customWidth="1"/>
    <col min="15107" max="15107" width="15.6640625" style="1154" customWidth="1"/>
    <col min="15108" max="15108" width="9.33203125" style="1154" bestFit="1" customWidth="1"/>
    <col min="15109" max="15109" width="13.44140625" style="1154" customWidth="1"/>
    <col min="15110" max="15110" width="9" style="1154"/>
    <col min="15111" max="15111" width="9.33203125" style="1154" bestFit="1" customWidth="1"/>
    <col min="15112" max="15113" width="9" style="1154"/>
    <col min="15114" max="15114" width="9.33203125" style="1154" bestFit="1" customWidth="1"/>
    <col min="15115" max="15115" width="4" style="1154" customWidth="1"/>
    <col min="15116" max="15116" width="5.109375" style="1154" customWidth="1"/>
    <col min="15117" max="15117" width="13.77734375" style="1154" customWidth="1"/>
    <col min="15118" max="15360" width="9" style="1154"/>
    <col min="15361" max="15361" width="4.88671875" style="1154" customWidth="1"/>
    <col min="15362" max="15362" width="13.21875" style="1154" customWidth="1"/>
    <col min="15363" max="15363" width="15.6640625" style="1154" customWidth="1"/>
    <col min="15364" max="15364" width="9.33203125" style="1154" bestFit="1" customWidth="1"/>
    <col min="15365" max="15365" width="13.44140625" style="1154" customWidth="1"/>
    <col min="15366" max="15366" width="9" style="1154"/>
    <col min="15367" max="15367" width="9.33203125" style="1154" bestFit="1" customWidth="1"/>
    <col min="15368" max="15369" width="9" style="1154"/>
    <col min="15370" max="15370" width="9.33203125" style="1154" bestFit="1" customWidth="1"/>
    <col min="15371" max="15371" width="4" style="1154" customWidth="1"/>
    <col min="15372" max="15372" width="5.109375" style="1154" customWidth="1"/>
    <col min="15373" max="15373" width="13.77734375" style="1154" customWidth="1"/>
    <col min="15374" max="15616" width="9" style="1154"/>
    <col min="15617" max="15617" width="4.88671875" style="1154" customWidth="1"/>
    <col min="15618" max="15618" width="13.21875" style="1154" customWidth="1"/>
    <col min="15619" max="15619" width="15.6640625" style="1154" customWidth="1"/>
    <col min="15620" max="15620" width="9.33203125" style="1154" bestFit="1" customWidth="1"/>
    <col min="15621" max="15621" width="13.44140625" style="1154" customWidth="1"/>
    <col min="15622" max="15622" width="9" style="1154"/>
    <col min="15623" max="15623" width="9.33203125" style="1154" bestFit="1" customWidth="1"/>
    <col min="15624" max="15625" width="9" style="1154"/>
    <col min="15626" max="15626" width="9.33203125" style="1154" bestFit="1" customWidth="1"/>
    <col min="15627" max="15627" width="4" style="1154" customWidth="1"/>
    <col min="15628" max="15628" width="5.109375" style="1154" customWidth="1"/>
    <col min="15629" max="15629" width="13.77734375" style="1154" customWidth="1"/>
    <col min="15630" max="15872" width="9" style="1154"/>
    <col min="15873" max="15873" width="4.88671875" style="1154" customWidth="1"/>
    <col min="15874" max="15874" width="13.21875" style="1154" customWidth="1"/>
    <col min="15875" max="15875" width="15.6640625" style="1154" customWidth="1"/>
    <col min="15876" max="15876" width="9.33203125" style="1154" bestFit="1" customWidth="1"/>
    <col min="15877" max="15877" width="13.44140625" style="1154" customWidth="1"/>
    <col min="15878" max="15878" width="9" style="1154"/>
    <col min="15879" max="15879" width="9.33203125" style="1154" bestFit="1" customWidth="1"/>
    <col min="15880" max="15881" width="9" style="1154"/>
    <col min="15882" max="15882" width="9.33203125" style="1154" bestFit="1" customWidth="1"/>
    <col min="15883" max="15883" width="4" style="1154" customWidth="1"/>
    <col min="15884" max="15884" width="5.109375" style="1154" customWidth="1"/>
    <col min="15885" max="15885" width="13.77734375" style="1154" customWidth="1"/>
    <col min="15886" max="16128" width="9" style="1154"/>
    <col min="16129" max="16129" width="4.88671875" style="1154" customWidth="1"/>
    <col min="16130" max="16130" width="13.21875" style="1154" customWidth="1"/>
    <col min="16131" max="16131" width="15.6640625" style="1154" customWidth="1"/>
    <col min="16132" max="16132" width="9.33203125" style="1154" bestFit="1" customWidth="1"/>
    <col min="16133" max="16133" width="13.44140625" style="1154" customWidth="1"/>
    <col min="16134" max="16134" width="9" style="1154"/>
    <col min="16135" max="16135" width="9.33203125" style="1154" bestFit="1" customWidth="1"/>
    <col min="16136" max="16137" width="9" style="1154"/>
    <col min="16138" max="16138" width="9.33203125" style="1154" bestFit="1" customWidth="1"/>
    <col min="16139" max="16139" width="4" style="1154" customWidth="1"/>
    <col min="16140" max="16140" width="5.109375" style="1154" customWidth="1"/>
    <col min="16141" max="16141" width="13.77734375" style="1154" customWidth="1"/>
    <col min="16142" max="16384" width="9" style="1154"/>
  </cols>
  <sheetData>
    <row r="1" spans="1:257" s="1214" customFormat="1" ht="15" thickBot="1">
      <c r="A1" s="1208"/>
      <c r="B1" s="1215" t="s">
        <v>602</v>
      </c>
      <c r="C1" s="1209">
        <f>项目基本情况!D3</f>
        <v>45793</v>
      </c>
      <c r="D1" s="1215" t="s">
        <v>603</v>
      </c>
      <c r="E1" s="1210">
        <f>'数据-取费表'!B22</f>
        <v>2</v>
      </c>
      <c r="F1" s="1215" t="s">
        <v>604</v>
      </c>
      <c r="G1" s="1211">
        <f ca="1">INDIRECT("d"&amp;$K$1)/100</f>
        <v>3.1E-2</v>
      </c>
      <c r="H1" s="1215" t="s">
        <v>634</v>
      </c>
      <c r="I1" s="1211">
        <f ca="1">F4/100</f>
        <v>1.4999999999999999E-2</v>
      </c>
      <c r="J1" s="1216">
        <f>IF(C1&gt;C13,0,MATCH(C1,C$13:C$114,-1))+IF(SUMIF(C13:C114,C1,D13:D114)=0,13,12)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6"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3.1</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3.1</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3.1</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3.1</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5" thickBot="1">
      <c r="B7" s="1169" t="s">
        <v>611</v>
      </c>
      <c r="C7" s="1170">
        <v>5</v>
      </c>
      <c r="D7" s="1171">
        <f ca="1">INDIRECT("h"&amp;$J$1)</f>
        <v>3.6</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399999999999999">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2">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31.2">
      <c r="A13" s="1197"/>
      <c r="B13" s="1198" t="s">
        <v>632</v>
      </c>
      <c r="C13" s="2571">
        <v>45586</v>
      </c>
      <c r="D13" s="1199">
        <v>3.1</v>
      </c>
      <c r="E13" s="1199">
        <f>D13</f>
        <v>3.1</v>
      </c>
      <c r="F13" s="1199">
        <f>D13</f>
        <v>3.1</v>
      </c>
      <c r="G13" s="1199">
        <f>D13</f>
        <v>3.1</v>
      </c>
      <c r="H13" s="1199">
        <v>3.6</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5.6">
      <c r="A14" s="1197"/>
      <c r="B14" s="1198"/>
      <c r="C14" s="1204">
        <v>45495</v>
      </c>
      <c r="D14" s="1203">
        <v>3.35</v>
      </c>
      <c r="E14" s="1203">
        <f>D14</f>
        <v>3.35</v>
      </c>
      <c r="F14" s="1203">
        <f>D14</f>
        <v>3.35</v>
      </c>
      <c r="G14" s="1203">
        <f>D14</f>
        <v>3.35</v>
      </c>
      <c r="H14" s="1203">
        <v>3.85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5.6">
      <c r="A15" s="1197"/>
      <c r="B15" s="1198"/>
      <c r="C15" s="1204">
        <v>45342</v>
      </c>
      <c r="D15" s="1203">
        <v>3.45</v>
      </c>
      <c r="E15" s="1203">
        <f>D15</f>
        <v>3.45</v>
      </c>
      <c r="F15" s="1203">
        <f>D15</f>
        <v>3.45</v>
      </c>
      <c r="G15" s="1203">
        <f>D15</f>
        <v>3.45</v>
      </c>
      <c r="H15" s="1203">
        <v>3.95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5.6">
      <c r="A16" s="1197"/>
      <c r="B16" s="1198"/>
      <c r="C16" s="1204">
        <v>45159</v>
      </c>
      <c r="D16" s="1203">
        <v>3.45</v>
      </c>
      <c r="E16" s="1203">
        <f>D16</f>
        <v>3.45</v>
      </c>
      <c r="F16" s="1203">
        <f>D16</f>
        <v>3.45</v>
      </c>
      <c r="G16" s="1203">
        <f>D16</f>
        <v>3.45</v>
      </c>
      <c r="H16" s="1203">
        <v>4.2</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5.6">
      <c r="A17" s="1197"/>
      <c r="B17" s="1198"/>
      <c r="C17" s="1204">
        <v>45097</v>
      </c>
      <c r="D17" s="1203">
        <v>3.55</v>
      </c>
      <c r="E17" s="1203">
        <f>D17</f>
        <v>3.55</v>
      </c>
      <c r="F17" s="1203">
        <f>D17</f>
        <v>3.55</v>
      </c>
      <c r="G17" s="1203">
        <f>D17</f>
        <v>3.55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6.8">
      <c r="A18" s="1197"/>
      <c r="B18" s="1198"/>
      <c r="C18" s="1204">
        <v>44795</v>
      </c>
      <c r="D18" s="1203">
        <v>3.65</v>
      </c>
      <c r="E18" s="1203">
        <v>3.65</v>
      </c>
      <c r="F18" s="1203">
        <v>3.65</v>
      </c>
      <c r="G18" s="1203">
        <v>3.65</v>
      </c>
      <c r="H18" s="1203">
        <v>4.3</v>
      </c>
      <c r="I18" s="1199"/>
      <c r="J18" s="1199"/>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5.6">
      <c r="A19" s="1197"/>
      <c r="B19" s="1198"/>
      <c r="C19" s="1204">
        <v>44701</v>
      </c>
      <c r="D19" s="1203">
        <v>3.7</v>
      </c>
      <c r="E19" s="1203">
        <f>D19</f>
        <v>3.7</v>
      </c>
      <c r="F19" s="1203">
        <f>D19</f>
        <v>3.7</v>
      </c>
      <c r="G19" s="1203">
        <f>D19</f>
        <v>3.7</v>
      </c>
      <c r="H19" s="1203">
        <v>4.45</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5.6">
      <c r="A20" s="1197"/>
      <c r="B20" s="1198"/>
      <c r="C20" s="1204">
        <v>44581</v>
      </c>
      <c r="D20" s="1203">
        <v>3.7</v>
      </c>
      <c r="E20" s="1203">
        <f>D20</f>
        <v>3.7</v>
      </c>
      <c r="F20" s="1203">
        <f>D20</f>
        <v>3.7</v>
      </c>
      <c r="G20" s="1203">
        <f>D20</f>
        <v>3.7</v>
      </c>
      <c r="H20" s="1203">
        <v>4.5999999999999996</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5.6">
      <c r="A21" s="1197"/>
      <c r="B21" s="1203"/>
      <c r="C21" s="1204">
        <v>44550</v>
      </c>
      <c r="D21" s="1203">
        <v>3.8</v>
      </c>
      <c r="E21" s="1203">
        <f>D21</f>
        <v>3.8</v>
      </c>
      <c r="F21" s="1203">
        <f>D21</f>
        <v>3.8</v>
      </c>
      <c r="G21" s="1203">
        <f>D21</f>
        <v>3.8</v>
      </c>
      <c r="H21" s="1203">
        <v>4.6500000000000004</v>
      </c>
      <c r="I21" s="1203"/>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5.6">
      <c r="A22" s="1197"/>
      <c r="B22" s="1203"/>
      <c r="C22" s="1204">
        <v>43941</v>
      </c>
      <c r="D22" s="1203">
        <v>3.85</v>
      </c>
      <c r="E22" s="1203">
        <v>3.85</v>
      </c>
      <c r="F22" s="1203">
        <v>3.85</v>
      </c>
      <c r="G22" s="1203">
        <v>3.85</v>
      </c>
      <c r="H22" s="1203">
        <v>4.6500000000000004</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5.6">
      <c r="A23" s="2572"/>
      <c r="B23" s="1203"/>
      <c r="C23" s="1204">
        <v>43881</v>
      </c>
      <c r="D23" s="1203">
        <v>4.05</v>
      </c>
      <c r="E23" s="1203">
        <v>4.05</v>
      </c>
      <c r="F23" s="1203">
        <v>4.05</v>
      </c>
      <c r="G23" s="1203">
        <v>4.05</v>
      </c>
      <c r="H23" s="1203">
        <v>4.75</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43789</v>
      </c>
      <c r="D24" s="1203">
        <v>4.1500000000000004</v>
      </c>
      <c r="E24" s="1203">
        <v>4.1500000000000004</v>
      </c>
      <c r="F24" s="1203">
        <v>4.1500000000000004</v>
      </c>
      <c r="G24" s="1203">
        <v>4.1500000000000004</v>
      </c>
      <c r="H24" s="1203">
        <v>4.8</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43728</v>
      </c>
      <c r="D25" s="1203">
        <v>4.2</v>
      </c>
      <c r="E25" s="1203">
        <v>4.2</v>
      </c>
      <c r="F25" s="1203">
        <v>4.2</v>
      </c>
      <c r="G25" s="1203">
        <v>4.2</v>
      </c>
      <c r="H25" s="1203">
        <v>4.8499999999999996</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ht="15.6">
      <c r="B26" s="1198" t="s">
        <v>2304</v>
      </c>
      <c r="C26" s="1205">
        <v>43697</v>
      </c>
      <c r="D26" s="2570">
        <v>4.25</v>
      </c>
      <c r="E26" s="2570">
        <v>4.25</v>
      </c>
      <c r="F26" s="2570">
        <v>4.25</v>
      </c>
      <c r="G26" s="2570">
        <v>4.25</v>
      </c>
      <c r="H26" s="2570">
        <v>4.8499999999999996</v>
      </c>
      <c r="I26" s="2570"/>
      <c r="J26" s="2570"/>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5.6">
      <c r="B27" s="2573"/>
      <c r="C27" s="2574">
        <v>42301</v>
      </c>
      <c r="D27" s="2575">
        <v>4.3499999999999996</v>
      </c>
      <c r="E27" s="2575">
        <v>4.3499999999999996</v>
      </c>
      <c r="F27" s="2575">
        <v>4.75</v>
      </c>
      <c r="G27" s="2575">
        <v>4.75</v>
      </c>
      <c r="H27" s="2575">
        <v>4.9000000000000004</v>
      </c>
      <c r="I27" s="2575"/>
      <c r="J27" s="2575"/>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42242</v>
      </c>
      <c r="D28" s="1203">
        <v>4.5999999999999996</v>
      </c>
      <c r="E28" s="1203">
        <v>4.5999999999999996</v>
      </c>
      <c r="F28" s="1203">
        <v>5</v>
      </c>
      <c r="G28" s="1203">
        <v>5</v>
      </c>
      <c r="H28" s="1203">
        <v>5.15</v>
      </c>
      <c r="I28" s="1203">
        <v>2.75</v>
      </c>
      <c r="J28" s="1203">
        <v>3.25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42183</v>
      </c>
      <c r="D29" s="1203">
        <v>4.8499999999999996</v>
      </c>
      <c r="E29" s="1203">
        <v>4.8499999999999996</v>
      </c>
      <c r="F29" s="1203">
        <v>5.25</v>
      </c>
      <c r="G29" s="1203">
        <v>5.25</v>
      </c>
      <c r="H29" s="1203">
        <v>5.4</v>
      </c>
      <c r="I29" s="1203">
        <v>3</v>
      </c>
      <c r="J29" s="1203">
        <v>3.5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42135</v>
      </c>
      <c r="D30" s="1203">
        <v>5.0999999999999996</v>
      </c>
      <c r="E30" s="1203">
        <v>5.0999999999999996</v>
      </c>
      <c r="F30" s="1203">
        <v>5.5</v>
      </c>
      <c r="G30" s="1203">
        <v>5.5</v>
      </c>
      <c r="H30" s="1203">
        <v>5.65</v>
      </c>
      <c r="I30" s="1203">
        <v>3.25</v>
      </c>
      <c r="J30" s="1203">
        <v>3.75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42064</v>
      </c>
      <c r="D31" s="1203">
        <v>5.35</v>
      </c>
      <c r="E31" s="1203">
        <v>5.35</v>
      </c>
      <c r="F31" s="1203">
        <v>5.75</v>
      </c>
      <c r="G31" s="1203">
        <v>5.75</v>
      </c>
      <c r="H31" s="1203">
        <v>5.9</v>
      </c>
      <c r="I31" s="1203"/>
      <c r="J31" s="1203"/>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41965</v>
      </c>
      <c r="D32" s="1203">
        <v>5.6</v>
      </c>
      <c r="E32" s="1203">
        <v>5.6</v>
      </c>
      <c r="F32" s="1203">
        <v>6</v>
      </c>
      <c r="G32" s="1203">
        <v>6</v>
      </c>
      <c r="H32" s="1203">
        <v>6.15</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41096</v>
      </c>
      <c r="D33" s="1203">
        <v>5.6</v>
      </c>
      <c r="E33" s="1203">
        <v>6</v>
      </c>
      <c r="F33" s="1203">
        <v>6.15</v>
      </c>
      <c r="G33" s="1203">
        <v>6.4</v>
      </c>
      <c r="H33" s="1203">
        <v>6.55</v>
      </c>
      <c r="I33" s="1203">
        <v>4</v>
      </c>
      <c r="J33" s="1203">
        <v>4.5</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41068</v>
      </c>
      <c r="D34" s="1203">
        <v>5.85</v>
      </c>
      <c r="E34" s="1203">
        <v>6.31</v>
      </c>
      <c r="F34" s="1203">
        <v>6.4</v>
      </c>
      <c r="G34" s="1203">
        <v>6.65</v>
      </c>
      <c r="H34" s="1203">
        <v>6.8</v>
      </c>
      <c r="I34" s="1203">
        <v>4.2</v>
      </c>
      <c r="J34" s="1203">
        <v>4.7</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40731</v>
      </c>
      <c r="D35" s="1203">
        <v>6.1</v>
      </c>
      <c r="E35" s="1203">
        <v>6.56</v>
      </c>
      <c r="F35" s="1203">
        <v>6.65</v>
      </c>
      <c r="G35" s="1203">
        <v>6.9</v>
      </c>
      <c r="H35" s="1203">
        <v>7.05</v>
      </c>
      <c r="I35" s="1203">
        <v>4.45</v>
      </c>
      <c r="J35" s="1203">
        <v>4.9000000000000004</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40639</v>
      </c>
      <c r="D36" s="1203">
        <v>5.85</v>
      </c>
      <c r="E36" s="1203">
        <v>6.31</v>
      </c>
      <c r="F36" s="1203">
        <v>6.4</v>
      </c>
      <c r="G36" s="1203">
        <v>6.65</v>
      </c>
      <c r="H36" s="1203">
        <v>6.8</v>
      </c>
      <c r="I36" s="1203">
        <v>4.2</v>
      </c>
      <c r="J36" s="1203">
        <v>4.7</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40583</v>
      </c>
      <c r="D37" s="1203">
        <v>5.6</v>
      </c>
      <c r="E37" s="1203">
        <v>6.06</v>
      </c>
      <c r="F37" s="1203">
        <v>6.1</v>
      </c>
      <c r="G37" s="1203">
        <v>6.45</v>
      </c>
      <c r="H37" s="1203">
        <v>6.6</v>
      </c>
      <c r="I37" s="1203">
        <v>4</v>
      </c>
      <c r="J37" s="1203">
        <v>4.5</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40538</v>
      </c>
      <c r="D38" s="1203">
        <v>5.35</v>
      </c>
      <c r="E38" s="1203">
        <v>5.81</v>
      </c>
      <c r="F38" s="1203">
        <v>5.85</v>
      </c>
      <c r="G38" s="1203">
        <v>6.22</v>
      </c>
      <c r="H38" s="1203">
        <v>6.4</v>
      </c>
      <c r="I38" s="1203">
        <v>3.75</v>
      </c>
      <c r="J38" s="1203">
        <v>4.3</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40471</v>
      </c>
      <c r="D39" s="1203">
        <v>5.0999999999999996</v>
      </c>
      <c r="E39" s="1203">
        <v>5.56</v>
      </c>
      <c r="F39" s="1203">
        <v>5.6</v>
      </c>
      <c r="G39" s="1203">
        <v>5.96</v>
      </c>
      <c r="H39" s="1203">
        <v>6.14</v>
      </c>
      <c r="I39" s="1203">
        <v>3.5</v>
      </c>
      <c r="J39" s="1203">
        <v>4.05</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39805</v>
      </c>
      <c r="D40" s="1203">
        <v>4.8600000000000003</v>
      </c>
      <c r="E40" s="1203">
        <v>5.31</v>
      </c>
      <c r="F40" s="1203">
        <v>5.4</v>
      </c>
      <c r="G40" s="1203">
        <v>5.76</v>
      </c>
      <c r="H40" s="1203">
        <v>5.94</v>
      </c>
      <c r="I40" s="1203">
        <v>3.33</v>
      </c>
      <c r="J40" s="1203">
        <v>3.87</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39779</v>
      </c>
      <c r="D41" s="1203">
        <v>5.04</v>
      </c>
      <c r="E41" s="1203">
        <v>5.58</v>
      </c>
      <c r="F41" s="1203">
        <v>5.67</v>
      </c>
      <c r="G41" s="1203">
        <v>5.94</v>
      </c>
      <c r="H41" s="1203">
        <v>6.12</v>
      </c>
      <c r="I41" s="1203">
        <v>3.51</v>
      </c>
      <c r="J41" s="1203">
        <v>4.05</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39751</v>
      </c>
      <c r="D42" s="1203">
        <v>6.03</v>
      </c>
      <c r="E42" s="1203">
        <v>6.66</v>
      </c>
      <c r="F42" s="1203">
        <v>6.75</v>
      </c>
      <c r="G42" s="1203">
        <v>7.02</v>
      </c>
      <c r="H42" s="1203">
        <v>7.2</v>
      </c>
      <c r="I42" s="1203">
        <v>4.05</v>
      </c>
      <c r="J42" s="1203">
        <v>4.59</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5">
        <v>39748</v>
      </c>
      <c r="D43" s="1203">
        <v>6.12</v>
      </c>
      <c r="E43" s="1203">
        <v>6.93</v>
      </c>
      <c r="F43" s="1203">
        <v>7.02</v>
      </c>
      <c r="G43" s="1203">
        <v>7.29</v>
      </c>
      <c r="H43" s="1203">
        <v>7.47</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39730</v>
      </c>
      <c r="D44" s="1203">
        <v>6.12</v>
      </c>
      <c r="E44" s="1203">
        <v>6.93</v>
      </c>
      <c r="F44" s="1203">
        <v>7.02</v>
      </c>
      <c r="G44" s="1203">
        <v>7.29</v>
      </c>
      <c r="H44" s="1203">
        <v>7.47</v>
      </c>
      <c r="I44" s="1203">
        <v>4.32</v>
      </c>
      <c r="J44" s="1203">
        <v>4.8600000000000003</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39707</v>
      </c>
      <c r="D45" s="1203">
        <v>6.21</v>
      </c>
      <c r="E45" s="1203">
        <v>7.2</v>
      </c>
      <c r="F45" s="1203">
        <v>7.29</v>
      </c>
      <c r="G45" s="1203">
        <v>7.56</v>
      </c>
      <c r="H45" s="1203">
        <v>7.74</v>
      </c>
      <c r="I45" s="1203">
        <v>4.59</v>
      </c>
      <c r="J45" s="1203">
        <v>5.13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39437</v>
      </c>
      <c r="D46" s="1203">
        <v>6.57</v>
      </c>
      <c r="E46" s="1203">
        <v>7.47</v>
      </c>
      <c r="F46" s="1203">
        <v>7.56</v>
      </c>
      <c r="G46" s="1203">
        <v>7.74</v>
      </c>
      <c r="H46" s="1203">
        <v>7.83</v>
      </c>
      <c r="I46" s="1203">
        <v>4.7699999999999996</v>
      </c>
      <c r="J46" s="1203">
        <v>5.22</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39340</v>
      </c>
      <c r="D47" s="1203">
        <v>6.48</v>
      </c>
      <c r="E47" s="1203">
        <v>7.29</v>
      </c>
      <c r="F47" s="1203">
        <v>7.47</v>
      </c>
      <c r="G47" s="1203">
        <v>7.65</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39316</v>
      </c>
      <c r="D48" s="1203">
        <v>6.21</v>
      </c>
      <c r="E48" s="1203">
        <v>7.02</v>
      </c>
      <c r="F48" s="1203">
        <v>7.2</v>
      </c>
      <c r="G48" s="1203">
        <v>7.38</v>
      </c>
      <c r="H48" s="1203">
        <v>7.56</v>
      </c>
      <c r="I48" s="1203">
        <v>4.59</v>
      </c>
      <c r="J48" s="1203">
        <v>5.04</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39284</v>
      </c>
      <c r="D49" s="1203">
        <v>6.03</v>
      </c>
      <c r="E49" s="1203">
        <v>6.84</v>
      </c>
      <c r="F49" s="1203">
        <v>7.02</v>
      </c>
      <c r="G49" s="1203">
        <v>7.2</v>
      </c>
      <c r="H49" s="1203">
        <v>7.38</v>
      </c>
      <c r="I49" s="1203">
        <v>4.5</v>
      </c>
      <c r="J49" s="1203">
        <v>4.95</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39221</v>
      </c>
      <c r="D50" s="1203">
        <v>5.85</v>
      </c>
      <c r="E50" s="1203">
        <v>6.57</v>
      </c>
      <c r="F50" s="1203">
        <v>6.75</v>
      </c>
      <c r="G50" s="1203">
        <v>6.93</v>
      </c>
      <c r="H50" s="1203">
        <v>7.2</v>
      </c>
      <c r="I50" s="1203">
        <v>4.41</v>
      </c>
      <c r="J50" s="1203">
        <v>4.8600000000000003</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39159</v>
      </c>
      <c r="D51" s="1203">
        <v>5.67</v>
      </c>
      <c r="E51" s="1203">
        <v>6.39</v>
      </c>
      <c r="F51" s="1203">
        <v>6.57</v>
      </c>
      <c r="G51" s="1203">
        <v>6.75</v>
      </c>
      <c r="H51" s="1203">
        <v>7.11</v>
      </c>
      <c r="I51" s="1203">
        <v>4.32</v>
      </c>
      <c r="J51" s="1203">
        <v>4.7699999999999996</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38948</v>
      </c>
      <c r="D52" s="1203">
        <v>5.58</v>
      </c>
      <c r="E52" s="1203">
        <v>6.12</v>
      </c>
      <c r="F52" s="1203">
        <v>6.3</v>
      </c>
      <c r="G52" s="1203">
        <v>6.48</v>
      </c>
      <c r="H52" s="1203">
        <v>6.84</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38835</v>
      </c>
      <c r="D53" s="1203">
        <v>5.4</v>
      </c>
      <c r="E53" s="1203">
        <v>5.85</v>
      </c>
      <c r="F53" s="1203">
        <v>6.03</v>
      </c>
      <c r="G53" s="1203">
        <v>6.12</v>
      </c>
      <c r="H53" s="1203">
        <v>6.39</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38428</v>
      </c>
      <c r="D54" s="1203">
        <v>5.22</v>
      </c>
      <c r="E54" s="1203">
        <v>5.58</v>
      </c>
      <c r="F54" s="1203">
        <v>5.76</v>
      </c>
      <c r="G54" s="1203">
        <v>5.85</v>
      </c>
      <c r="H54" s="1203">
        <v>6.12</v>
      </c>
      <c r="I54" s="1203">
        <v>3.96</v>
      </c>
      <c r="J54" s="1203">
        <v>4.41</v>
      </c>
      <c r="L54" s="1203"/>
      <c r="M54" s="1204"/>
      <c r="N54" s="1203"/>
      <c r="O54" s="1203"/>
      <c r="P54" s="1203"/>
      <c r="Q54" s="1203"/>
      <c r="R54" s="1203"/>
      <c r="S54" s="1203"/>
      <c r="T54" s="1203"/>
      <c r="U54" s="1203"/>
      <c r="V54" s="1203"/>
      <c r="W54" s="1203"/>
      <c r="X54" s="1203"/>
      <c r="Y54" s="1203"/>
      <c r="Z54" s="1203"/>
    </row>
    <row r="55" spans="2:26">
      <c r="B55" s="1203"/>
      <c r="C55" s="1204">
        <v>38289</v>
      </c>
      <c r="D55" s="1203">
        <v>5.22</v>
      </c>
      <c r="E55" s="1203">
        <v>5.58</v>
      </c>
      <c r="F55" s="1203">
        <v>5.76</v>
      </c>
      <c r="G55" s="1203">
        <v>5.85</v>
      </c>
      <c r="H55" s="1203">
        <v>6.12</v>
      </c>
      <c r="I55" s="1203">
        <v>3.78</v>
      </c>
      <c r="J55" s="1203">
        <v>4.2300000000000004</v>
      </c>
      <c r="L55" s="1203"/>
      <c r="M55" s="1204"/>
      <c r="N55" s="1203"/>
      <c r="O55" s="1203"/>
      <c r="P55" s="1203"/>
      <c r="Q55" s="1203"/>
      <c r="R55" s="1203"/>
      <c r="S55" s="1203"/>
      <c r="T55" s="1203"/>
      <c r="U55" s="1203"/>
      <c r="V55" s="1203"/>
      <c r="W55" s="1203"/>
      <c r="X55" s="1203"/>
      <c r="Y55" s="1203"/>
      <c r="Z55" s="1203"/>
    </row>
    <row r="56" spans="2:26">
      <c r="B56" s="1203"/>
      <c r="C56" s="1204">
        <v>37308</v>
      </c>
      <c r="D56" s="1203">
        <v>5.04</v>
      </c>
      <c r="E56" s="1203">
        <v>5.31</v>
      </c>
      <c r="F56" s="1203">
        <v>5.49</v>
      </c>
      <c r="G56" s="1203">
        <v>5.58</v>
      </c>
      <c r="H56" s="1203">
        <v>5.76</v>
      </c>
      <c r="I56" s="1203">
        <v>3.6</v>
      </c>
      <c r="J56" s="1203">
        <v>4.05</v>
      </c>
      <c r="L56" s="1203"/>
      <c r="M56" s="1204"/>
      <c r="N56" s="1203"/>
      <c r="O56" s="1203"/>
      <c r="P56" s="1203"/>
      <c r="Q56" s="1203"/>
      <c r="R56" s="1203"/>
      <c r="S56" s="1203"/>
      <c r="T56" s="1203"/>
      <c r="U56" s="1203"/>
      <c r="V56" s="1203"/>
      <c r="W56" s="1203"/>
      <c r="X56" s="1203"/>
      <c r="Y56" s="1203"/>
      <c r="Z56" s="1203"/>
    </row>
    <row r="57" spans="2:26">
      <c r="B57" s="1203"/>
      <c r="C57" s="1204">
        <v>36321</v>
      </c>
      <c r="D57" s="1203">
        <v>5.58</v>
      </c>
      <c r="E57" s="1203">
        <v>5.85</v>
      </c>
      <c r="F57" s="1203">
        <v>5.94</v>
      </c>
      <c r="G57" s="1203">
        <v>6.03</v>
      </c>
      <c r="H57" s="1203">
        <v>6.21</v>
      </c>
      <c r="I57" s="1203">
        <v>4.1399999999999997</v>
      </c>
      <c r="J57" s="1203">
        <v>4.59</v>
      </c>
      <c r="L57" s="1203"/>
      <c r="M57" s="1204"/>
      <c r="N57" s="1203"/>
      <c r="O57" s="1203"/>
      <c r="P57" s="1203"/>
      <c r="Q57" s="1203"/>
      <c r="R57" s="1203"/>
      <c r="S57" s="1203"/>
      <c r="T57" s="1203"/>
      <c r="U57" s="1203"/>
      <c r="V57" s="1203"/>
      <c r="W57" s="1203"/>
      <c r="X57" s="1203"/>
      <c r="Y57" s="1203"/>
      <c r="Z57" s="1203"/>
    </row>
    <row r="58" spans="2:26">
      <c r="B58" s="1203"/>
      <c r="C58" s="1204">
        <v>36136</v>
      </c>
      <c r="D58" s="1203">
        <v>6.12</v>
      </c>
      <c r="E58" s="1203">
        <v>6.39</v>
      </c>
      <c r="F58" s="1203">
        <v>6.66</v>
      </c>
      <c r="G58" s="1203">
        <v>7.2</v>
      </c>
      <c r="H58" s="1203">
        <v>7.56</v>
      </c>
      <c r="I58" s="1203">
        <v>0</v>
      </c>
      <c r="J58" s="1203">
        <v>0</v>
      </c>
    </row>
    <row r="59" spans="2:26">
      <c r="B59" s="1203"/>
      <c r="C59" s="1204">
        <v>35977</v>
      </c>
      <c r="D59" s="1203">
        <v>6.57</v>
      </c>
      <c r="E59" s="1203">
        <v>6.93</v>
      </c>
      <c r="F59" s="1203">
        <v>7.11</v>
      </c>
      <c r="G59" s="1203">
        <v>7.65</v>
      </c>
      <c r="H59" s="1203">
        <v>8.01</v>
      </c>
      <c r="I59" s="1203">
        <v>0</v>
      </c>
      <c r="J59" s="1203">
        <v>0</v>
      </c>
    </row>
    <row r="60" spans="2:26">
      <c r="B60" s="1203"/>
      <c r="C60" s="1204">
        <v>35879</v>
      </c>
      <c r="D60" s="1203">
        <v>7.02</v>
      </c>
      <c r="E60" s="1203">
        <v>7.92</v>
      </c>
      <c r="F60" s="1203">
        <v>9</v>
      </c>
      <c r="G60" s="1203">
        <v>9.7200000000000006</v>
      </c>
      <c r="H60" s="1203">
        <v>10.35</v>
      </c>
      <c r="I60" s="1203">
        <v>0</v>
      </c>
      <c r="J60" s="1203">
        <v>0</v>
      </c>
    </row>
    <row r="61" spans="2:26">
      <c r="B61" s="1203"/>
      <c r="C61" s="1204">
        <v>35726</v>
      </c>
      <c r="D61" s="1203">
        <v>7.65</v>
      </c>
      <c r="E61" s="1203">
        <v>8.64</v>
      </c>
      <c r="F61" s="1203">
        <v>9.36</v>
      </c>
      <c r="G61" s="1203">
        <v>9.9</v>
      </c>
      <c r="H61" s="1203">
        <v>10.53</v>
      </c>
      <c r="I61" s="1203">
        <v>0</v>
      </c>
      <c r="J61" s="1203">
        <v>0</v>
      </c>
    </row>
    <row r="62" spans="2:26">
      <c r="B62" s="1203"/>
      <c r="C62" s="1204">
        <v>35300</v>
      </c>
      <c r="D62" s="1203">
        <v>9.18</v>
      </c>
      <c r="E62" s="1203">
        <v>10.08</v>
      </c>
      <c r="F62" s="1203">
        <v>10.98</v>
      </c>
      <c r="G62" s="1203">
        <v>11.7</v>
      </c>
      <c r="H62" s="1203">
        <v>12.42</v>
      </c>
      <c r="I62" s="1203">
        <v>0</v>
      </c>
      <c r="J62" s="1203">
        <v>0</v>
      </c>
    </row>
    <row r="63" spans="2:26">
      <c r="B63" s="1203"/>
      <c r="C63" s="1204">
        <v>35186</v>
      </c>
      <c r="D63" s="1203">
        <v>9.7200000000000006</v>
      </c>
      <c r="E63" s="1203">
        <v>10.98</v>
      </c>
      <c r="F63" s="1203">
        <v>13.14</v>
      </c>
      <c r="G63" s="1203">
        <v>14.94</v>
      </c>
      <c r="H63" s="1203">
        <v>15.12</v>
      </c>
      <c r="I63" s="1203">
        <v>0</v>
      </c>
      <c r="J63" s="1203">
        <v>0</v>
      </c>
    </row>
    <row r="64" spans="2:26">
      <c r="B64" s="1203"/>
      <c r="C64" s="1204">
        <v>34881</v>
      </c>
      <c r="D64" s="1203">
        <v>10.08</v>
      </c>
      <c r="E64" s="1203">
        <v>12.06</v>
      </c>
      <c r="F64" s="1203">
        <v>13.5</v>
      </c>
      <c r="G64" s="1203">
        <v>15.12</v>
      </c>
      <c r="H64" s="1203">
        <v>15.3</v>
      </c>
      <c r="I64" s="1203">
        <v>0</v>
      </c>
      <c r="J64" s="1203">
        <v>0</v>
      </c>
    </row>
    <row r="65" spans="2:10">
      <c r="B65" s="1203"/>
      <c r="C65" s="1204">
        <v>34700</v>
      </c>
      <c r="D65" s="1203">
        <v>9</v>
      </c>
      <c r="E65" s="1203">
        <v>10.98</v>
      </c>
      <c r="F65" s="1203">
        <v>12.96</v>
      </c>
      <c r="G65" s="1203">
        <v>14.58</v>
      </c>
      <c r="H65" s="1203">
        <v>14.76</v>
      </c>
      <c r="I65" s="1203">
        <v>0</v>
      </c>
      <c r="J65" s="1203">
        <v>0</v>
      </c>
    </row>
    <row r="66" spans="2:10">
      <c r="B66" s="1203"/>
      <c r="C66" s="1204">
        <v>34161</v>
      </c>
      <c r="D66" s="1203">
        <v>9</v>
      </c>
      <c r="E66" s="1203">
        <v>10.98</v>
      </c>
      <c r="F66" s="1203">
        <v>12.24</v>
      </c>
      <c r="G66" s="1203">
        <v>13.86</v>
      </c>
      <c r="H66" s="1203">
        <v>14.04</v>
      </c>
      <c r="I66" s="1203">
        <v>0</v>
      </c>
      <c r="J66" s="1203">
        <v>0</v>
      </c>
    </row>
    <row r="67" spans="2:10">
      <c r="B67" s="1203"/>
      <c r="C67" s="1204">
        <v>34104</v>
      </c>
      <c r="D67" s="1203">
        <v>8.82</v>
      </c>
      <c r="E67" s="1203">
        <v>9.36</v>
      </c>
      <c r="F67" s="1203">
        <v>10.8</v>
      </c>
      <c r="G67" s="1203">
        <v>12.06</v>
      </c>
      <c r="H67" s="1203">
        <v>12.24</v>
      </c>
      <c r="I67" s="1203">
        <v>0</v>
      </c>
      <c r="J67" s="1203">
        <v>0</v>
      </c>
    </row>
    <row r="68" spans="2:10">
      <c r="B68" s="1203"/>
      <c r="C68" s="1204">
        <v>33349</v>
      </c>
      <c r="D68" s="1203">
        <v>8.1</v>
      </c>
      <c r="E68" s="1203">
        <v>8.64</v>
      </c>
      <c r="F68" s="1203">
        <v>9</v>
      </c>
      <c r="G68" s="1203">
        <v>9.5399999999999991</v>
      </c>
      <c r="H68" s="1203">
        <v>9.7200000000000006</v>
      </c>
      <c r="I68" s="1203">
        <v>0</v>
      </c>
      <c r="J68" s="1203">
        <v>0</v>
      </c>
    </row>
    <row r="69" spans="2:10">
      <c r="B69" s="1203"/>
      <c r="C69" s="1204">
        <v>33318</v>
      </c>
      <c r="D69" s="1203">
        <v>9</v>
      </c>
      <c r="E69" s="1203">
        <v>10.08</v>
      </c>
      <c r="F69" s="1203">
        <v>10.8</v>
      </c>
      <c r="G69" s="1203">
        <v>11.52</v>
      </c>
      <c r="H69" s="1203">
        <v>11.88</v>
      </c>
      <c r="I69" s="1203" t="s">
        <v>633</v>
      </c>
      <c r="J69" s="1203" t="s">
        <v>633</v>
      </c>
    </row>
    <row r="70" spans="2:10">
      <c r="B70" s="1203"/>
      <c r="C70" s="1204">
        <v>33106</v>
      </c>
      <c r="D70" s="1203">
        <v>8.64</v>
      </c>
      <c r="E70" s="1203">
        <v>9.36</v>
      </c>
      <c r="F70" s="1203">
        <v>10.08</v>
      </c>
      <c r="G70" s="1203">
        <v>10.8</v>
      </c>
      <c r="H70" s="1203">
        <v>11.16</v>
      </c>
      <c r="I70" s="1203">
        <v>0</v>
      </c>
      <c r="J70" s="1203">
        <v>0</v>
      </c>
    </row>
    <row r="71" spans="2:10">
      <c r="B71" s="1203"/>
      <c r="C71" s="1204">
        <v>32540</v>
      </c>
      <c r="D71" s="1203">
        <v>11.34</v>
      </c>
      <c r="E71" s="1203">
        <v>11.34</v>
      </c>
      <c r="F71" s="1203">
        <v>12.78</v>
      </c>
      <c r="G71" s="1203">
        <v>14.4</v>
      </c>
      <c r="H71" s="1203">
        <v>19.260000000000002</v>
      </c>
      <c r="I71" s="1203">
        <v>0</v>
      </c>
      <c r="J71" s="1203">
        <v>0</v>
      </c>
    </row>
    <row r="72" spans="2:10">
      <c r="B72" s="1203"/>
      <c r="C72" s="1204"/>
      <c r="D72" s="1203"/>
      <c r="E72" s="1203"/>
      <c r="F72" s="1203"/>
      <c r="G72" s="1203"/>
      <c r="H72" s="1203"/>
      <c r="I72" s="1203"/>
      <c r="J72" s="1203"/>
    </row>
    <row r="73" spans="2:10">
      <c r="B73" s="1206"/>
      <c r="C73" s="1207"/>
      <c r="D73" s="1206"/>
      <c r="E73" s="1206"/>
      <c r="F73" s="1206"/>
      <c r="G73" s="1206"/>
      <c r="H73" s="1206"/>
      <c r="I73" s="1206"/>
      <c r="J73" s="1206"/>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157"/>
      <c r="C76" s="1157"/>
      <c r="D76" s="1157"/>
      <c r="E76" s="1157"/>
      <c r="F76" s="1157"/>
      <c r="G76" s="1157"/>
      <c r="H76" s="1157"/>
      <c r="I76" s="1157"/>
      <c r="J76" s="1157"/>
    </row>
    <row r="77" spans="2:10">
      <c r="B77" s="1157"/>
      <c r="C77" s="1157"/>
      <c r="D77" s="1157"/>
      <c r="E77" s="1157"/>
      <c r="F77" s="1157"/>
      <c r="G77" s="1157"/>
      <c r="H77" s="1157"/>
      <c r="I77" s="1157"/>
      <c r="J77" s="11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00" t="str">
        <f>IF(项目基本情况!B9="房地产市场价值","估价结果一览表","结果表-2")</f>
        <v>结果表-2</v>
      </c>
      <c r="B1" s="3200"/>
      <c r="C1" s="3200"/>
      <c r="D1" s="3200"/>
      <c r="E1" s="3200"/>
      <c r="F1" s="3200"/>
      <c r="G1" s="3200"/>
      <c r="H1" s="3200"/>
      <c r="I1" s="3200"/>
    </row>
    <row r="2" spans="1:9" ht="30" customHeight="1" thickTop="1">
      <c r="A2" s="3201" t="s">
        <v>928</v>
      </c>
      <c r="B2" s="3201" t="s">
        <v>929</v>
      </c>
      <c r="C2" s="3201" t="s">
        <v>930</v>
      </c>
      <c r="D2" s="3201" t="str">
        <f>结果表!D116</f>
        <v>出让国有建设用地使用权价值</v>
      </c>
      <c r="E2" s="3201"/>
      <c r="F2" s="3201" t="str">
        <f>结果表!F116</f>
        <v>在建建筑物价值</v>
      </c>
      <c r="G2" s="3201"/>
      <c r="H2" s="3201" t="str">
        <f>IF(项目基本情况!B9="房地产市场价值","房地产市场价值","房地产价值")</f>
        <v>房地产价值</v>
      </c>
      <c r="I2" s="3201"/>
    </row>
    <row r="3" spans="1:9" ht="15.6">
      <c r="A3" s="3196"/>
      <c r="B3" s="3196"/>
      <c r="C3" s="3196"/>
      <c r="D3" s="801" t="s">
        <v>925</v>
      </c>
      <c r="E3" s="801" t="s">
        <v>931</v>
      </c>
      <c r="F3" s="801" t="s">
        <v>925</v>
      </c>
      <c r="G3" s="801" t="s">
        <v>926</v>
      </c>
      <c r="H3" s="801" t="s">
        <v>925</v>
      </c>
      <c r="I3" s="801" t="s">
        <v>926</v>
      </c>
    </row>
    <row r="4" spans="1:9" ht="45">
      <c r="A4" s="1401" t="str">
        <f>项目基本情况!S2</f>
        <v>北京市石景山区古城西路68号院3号楼1至2层102、105房地产</v>
      </c>
      <c r="B4" s="801">
        <f>项目基本情况!C17</f>
        <v>245.74</v>
      </c>
      <c r="C4" s="801">
        <f>项目基本情况!C18</f>
        <v>0</v>
      </c>
      <c r="D4" s="801">
        <f>结果表!D118</f>
        <v>0</v>
      </c>
      <c r="E4" s="801">
        <f>结果表!E118</f>
        <v>0</v>
      </c>
      <c r="F4" s="801">
        <f>结果表!F118</f>
        <v>0</v>
      </c>
      <c r="G4" s="801">
        <f>结果表!G118</f>
        <v>0</v>
      </c>
      <c r="H4" s="801">
        <f ca="1">结果表!H118</f>
        <v>887</v>
      </c>
      <c r="I4" s="801">
        <f ca="1">结果表!I118</f>
        <v>36113</v>
      </c>
    </row>
    <row r="5" spans="1:9" ht="30" customHeight="1">
      <c r="A5" s="3196" t="s">
        <v>927</v>
      </c>
      <c r="B5" s="3196"/>
      <c r="C5" s="3196"/>
      <c r="D5" s="3196" t="str">
        <f>结果表!D119</f>
        <v>零元整</v>
      </c>
      <c r="E5" s="3196"/>
      <c r="F5" s="3196" t="str">
        <f>结果表!F119</f>
        <v>零元整</v>
      </c>
      <c r="G5" s="3196"/>
      <c r="H5" s="3196" t="str">
        <f ca="1">结果表!H119</f>
        <v>捌佰捌拾柒万元整</v>
      </c>
      <c r="I5" s="3196"/>
    </row>
    <row r="6" spans="1:9" ht="15.6">
      <c r="A6" s="3195" t="str">
        <f>结果表!A120</f>
        <v>估价师知悉的法定优先受偿款</v>
      </c>
      <c r="B6" s="3195"/>
      <c r="C6" s="3195"/>
      <c r="D6" s="3195">
        <f>结果表!D120</f>
        <v>0</v>
      </c>
      <c r="E6" s="3195"/>
      <c r="F6" s="3195"/>
      <c r="G6" s="3195"/>
      <c r="H6" s="3195"/>
      <c r="I6" s="3195"/>
    </row>
    <row r="7" spans="1:9" ht="15">
      <c r="A7" s="3196" t="s">
        <v>927</v>
      </c>
      <c r="B7" s="3196"/>
      <c r="C7" s="3196"/>
      <c r="D7" s="3197" t="str">
        <f>结果表!D121</f>
        <v>零元整</v>
      </c>
      <c r="E7" s="3198"/>
      <c r="F7" s="3198"/>
      <c r="G7" s="3198"/>
      <c r="H7" s="3198"/>
      <c r="I7" s="3199"/>
    </row>
    <row r="8" spans="1:9" ht="15.6">
      <c r="A8" s="3195" t="str">
        <f>结果表!A122</f>
        <v>房地产抵押价值</v>
      </c>
      <c r="B8" s="3195"/>
      <c r="C8" s="3195"/>
      <c r="D8" s="3195">
        <f ca="1">结果表!D122</f>
        <v>887</v>
      </c>
      <c r="E8" s="3195"/>
      <c r="F8" s="3195"/>
      <c r="G8" s="3195"/>
      <c r="H8" s="3195"/>
      <c r="I8" s="3195"/>
    </row>
    <row r="9" spans="1:9" ht="15">
      <c r="A9" s="3196" t="s">
        <v>927</v>
      </c>
      <c r="B9" s="3196"/>
      <c r="C9" s="3196"/>
      <c r="D9" s="3196" t="str">
        <f ca="1">结果表!D123</f>
        <v>捌佰捌拾柒万元整</v>
      </c>
      <c r="E9" s="3196"/>
      <c r="F9" s="3196"/>
      <c r="G9" s="3196"/>
      <c r="H9" s="3196"/>
      <c r="I9" s="3196"/>
    </row>
    <row r="10" spans="1:9" ht="15.6">
      <c r="A10" s="3195" t="str">
        <f>结果表!A124</f>
        <v/>
      </c>
      <c r="B10" s="3195"/>
      <c r="C10" s="3195"/>
      <c r="D10" s="3195" t="str">
        <f>结果表!D124</f>
        <v>——</v>
      </c>
      <c r="E10" s="3195"/>
      <c r="F10" s="3195"/>
      <c r="G10" s="3195"/>
      <c r="H10" s="3195"/>
      <c r="I10" s="3195"/>
    </row>
    <row r="11" spans="1:9" ht="15">
      <c r="A11" s="3196" t="s">
        <v>927</v>
      </c>
      <c r="B11" s="3196"/>
      <c r="C11" s="3196"/>
      <c r="D11" s="3196" t="e">
        <f>结果表!D125</f>
        <v>#VALUE!</v>
      </c>
      <c r="E11" s="3196"/>
      <c r="F11" s="3196"/>
      <c r="G11" s="3196"/>
      <c r="H11" s="3196"/>
      <c r="I11" s="3196"/>
    </row>
    <row r="12" spans="1:9" ht="15.6">
      <c r="A12" s="3195" t="str">
        <f>结果表!A126</f>
        <v/>
      </c>
      <c r="B12" s="3195"/>
      <c r="C12" s="3195"/>
      <c r="D12" s="3195" t="str">
        <f>结果表!D126</f>
        <v>——</v>
      </c>
      <c r="E12" s="3195"/>
      <c r="F12" s="3195"/>
      <c r="G12" s="3195"/>
      <c r="H12" s="3195"/>
      <c r="I12" s="3195"/>
    </row>
    <row r="13" spans="1:9" ht="15.6" thickBot="1">
      <c r="A13" s="3193" t="s">
        <v>927</v>
      </c>
      <c r="B13" s="3193"/>
      <c r="C13" s="3193"/>
      <c r="D13" s="3193" t="e">
        <f>结果表!D127</f>
        <v>#VALUE!</v>
      </c>
      <c r="E13" s="3193"/>
      <c r="F13" s="3193"/>
      <c r="G13" s="3193"/>
      <c r="H13" s="3193"/>
      <c r="I13" s="3193"/>
    </row>
    <row r="14" spans="1:9" ht="14.4" thickTop="1">
      <c r="A14" s="3194" t="s">
        <v>932</v>
      </c>
      <c r="B14" s="3194"/>
      <c r="C14" s="3194"/>
      <c r="D14" s="3194"/>
      <c r="E14" s="3194"/>
      <c r="F14" s="3194"/>
      <c r="G14" s="3194"/>
      <c r="H14" s="3194"/>
      <c r="I14" s="3194"/>
    </row>
    <row r="16" spans="1:9" ht="17.399999999999999">
      <c r="A16" s="1402"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8" t="s">
        <v>949</v>
      </c>
      <c r="B1" s="3208"/>
      <c r="C1" s="3208"/>
      <c r="D1" s="3208"/>
    </row>
    <row r="2" spans="1:4" ht="17.399999999999999">
      <c r="A2" s="3209" t="s">
        <v>933</v>
      </c>
      <c r="B2" s="3209"/>
      <c r="C2" s="3209"/>
      <c r="D2" s="3209"/>
    </row>
    <row r="3" spans="1:4" ht="17.399999999999999">
      <c r="A3" s="1405" t="s">
        <v>934</v>
      </c>
      <c r="B3" s="1405" t="s">
        <v>935</v>
      </c>
      <c r="C3" s="1405" t="s">
        <v>936</v>
      </c>
      <c r="D3" s="1405" t="s">
        <v>937</v>
      </c>
    </row>
    <row r="4" spans="1:4" ht="56.25" customHeight="1">
      <c r="A4" s="1406" t="str">
        <f>项目基本情况!B4</f>
        <v>郑燚</v>
      </c>
      <c r="B4" s="1407">
        <f ca="1">项目基本情况!C4</f>
        <v>1120070131</v>
      </c>
      <c r="C4" s="1408"/>
      <c r="D4" s="1409" t="s">
        <v>938</v>
      </c>
    </row>
    <row r="5" spans="1:4" ht="56.25" customHeight="1">
      <c r="A5" s="1406" t="str">
        <f>项目基本情况!D4</f>
        <v>吴薇</v>
      </c>
      <c r="B5" s="1407">
        <f ca="1">项目基本情况!E4</f>
        <v>1419970001</v>
      </c>
      <c r="C5" s="1410"/>
      <c r="D5" s="1409" t="s">
        <v>938</v>
      </c>
    </row>
    <row r="6" spans="1:4" ht="17.399999999999999">
      <c r="A6" s="3209" t="s">
        <v>939</v>
      </c>
      <c r="B6" s="3209"/>
      <c r="C6" s="3209"/>
      <c r="D6" s="3209"/>
    </row>
    <row r="7" spans="1:4" ht="17.399999999999999">
      <c r="A7" s="1405" t="s">
        <v>934</v>
      </c>
      <c r="B7" s="1407" t="s">
        <v>940</v>
      </c>
      <c r="C7" s="1405" t="s">
        <v>936</v>
      </c>
      <c r="D7" s="1405" t="s">
        <v>937</v>
      </c>
    </row>
    <row r="8" spans="1:4" ht="56.25" customHeight="1">
      <c r="A8" s="1411" t="s">
        <v>390</v>
      </c>
      <c r="B8" s="1411" t="s">
        <v>0</v>
      </c>
      <c r="C8" s="1408"/>
      <c r="D8" s="1409" t="s">
        <v>938</v>
      </c>
    </row>
    <row r="10" spans="1:4" ht="17.399999999999999">
      <c r="A10" s="1412" t="s">
        <v>941</v>
      </c>
    </row>
    <row r="11" spans="1:4" ht="30" customHeight="1">
      <c r="A11" s="3210" t="s">
        <v>942</v>
      </c>
      <c r="B11" s="3202"/>
      <c r="C11" s="3202"/>
      <c r="D11" s="3202"/>
    </row>
    <row r="12" spans="1:4" ht="15.6">
      <c r="A12" s="32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7"/>
      <c r="C12" s="3207"/>
      <c r="D12" s="3207"/>
    </row>
    <row r="13" spans="1:4" ht="30" customHeight="1">
      <c r="A13" s="32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7"/>
      <c r="C13" s="3207"/>
      <c r="D13" s="3207"/>
    </row>
    <row r="14" spans="1:4" ht="15.75" customHeight="1">
      <c r="A14" s="3202" t="str">
        <f>IF(项目基本情况!B8="抵押","4.本次评估估价师所知悉的法定优先受偿款情况说明如下：","——")</f>
        <v>4.本次评估估价师所知悉的法定优先受偿款情况说明如下：</v>
      </c>
      <c r="B14" s="3207"/>
      <c r="C14" s="3207"/>
      <c r="D14" s="3207"/>
    </row>
    <row r="15" spans="1:4" ht="42" customHeight="1">
      <c r="A15" s="320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2"/>
      <c r="C15" s="3202"/>
      <c r="D15" s="3202"/>
    </row>
    <row r="16" spans="1:4" ht="30" customHeight="1">
      <c r="A16" s="3204" t="s">
        <v>943</v>
      </c>
      <c r="B16" s="3204"/>
      <c r="C16" s="3204"/>
      <c r="D16" s="3204"/>
    </row>
    <row r="17" spans="1:4" ht="144" customHeight="1">
      <c r="A17" s="3204" t="s">
        <v>944</v>
      </c>
      <c r="B17" s="3204"/>
      <c r="C17" s="3204"/>
      <c r="D17" s="3204"/>
    </row>
    <row r="18" spans="1:4" ht="15.75" customHeight="1">
      <c r="A18" s="3202" t="str">
        <f>IF(项目基本情况!B8="抵押",结果表!K120,"——")</f>
        <v>故，本次评估不存在估价师知悉的法定优先受偿款</v>
      </c>
      <c r="B18" s="3202"/>
      <c r="C18" s="3202"/>
      <c r="D18" s="3202"/>
    </row>
    <row r="19" spans="1:4" ht="46.5" customHeight="1">
      <c r="A19" s="32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57.75" customHeight="1">
      <c r="A20" s="32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2"/>
      <c r="C20" s="3202"/>
      <c r="D20" s="3202"/>
    </row>
    <row r="21" spans="1:4" ht="57.75" customHeight="1">
      <c r="A21" s="32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5"/>
      <c r="C21" s="3205"/>
      <c r="D21" s="3205"/>
    </row>
    <row r="22" spans="1:4" ht="18.75" customHeight="1">
      <c r="A22" s="3206" t="s">
        <v>945</v>
      </c>
      <c r="B22" s="3206"/>
      <c r="C22" s="3206"/>
      <c r="D22" s="3206"/>
    </row>
    <row r="23" spans="1:4">
      <c r="A23" s="1413"/>
      <c r="B23" s="459"/>
      <c r="C23" s="459"/>
      <c r="D23" s="459"/>
    </row>
    <row r="24" spans="1:4">
      <c r="A24" s="1413"/>
      <c r="B24" s="459"/>
      <c r="C24" s="459"/>
      <c r="D24" s="459"/>
    </row>
    <row r="25" spans="1:4" ht="17.399999999999999">
      <c r="A25" s="1414" t="s">
        <v>946</v>
      </c>
    </row>
    <row r="26" spans="1:4" ht="17.399999999999999">
      <c r="A26" s="1385"/>
    </row>
    <row r="27" spans="1:4" ht="17.399999999999999">
      <c r="A27" s="1385" t="s">
        <v>947</v>
      </c>
    </row>
    <row r="30" spans="1:4" ht="17.399999999999999">
      <c r="D30" s="1414" t="s">
        <v>948</v>
      </c>
    </row>
    <row r="31" spans="1:4" ht="13.5" customHeight="1">
      <c r="C31" s="3203">
        <v>42551</v>
      </c>
      <c r="D31" s="32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7" customWidth="1"/>
    <col min="3" max="10" width="12.44140625" style="1377" customWidth="1"/>
    <col min="11" max="16384" width="9" style="1377"/>
  </cols>
  <sheetData>
    <row r="1" spans="1:1" ht="17.399999999999999">
      <c r="A1" s="1404" t="s">
        <v>391</v>
      </c>
    </row>
    <row r="2" spans="1:1" ht="17.399999999999999">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0" customWidth="1"/>
    <col min="2" max="16384" width="14.44140625" style="1403"/>
  </cols>
  <sheetData>
    <row r="1" spans="1:7" s="1417" customFormat="1" ht="17.399999999999999">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4.4">
      <c r="A15" s="3216" t="s">
        <v>956</v>
      </c>
      <c r="B15" s="3211" t="s">
        <v>109</v>
      </c>
      <c r="C15" s="3212"/>
    </row>
    <row r="16" spans="1:7" ht="14.4">
      <c r="A16" s="3217"/>
      <c r="B16" s="3211" t="s">
        <v>42</v>
      </c>
      <c r="C16" s="3212"/>
    </row>
    <row r="17" spans="1:3" ht="14.4">
      <c r="A17" s="3217"/>
      <c r="B17" s="3214" t="s">
        <v>957</v>
      </c>
      <c r="C17" s="1427" t="s">
        <v>956</v>
      </c>
    </row>
    <row r="18" spans="1:3" ht="14.4">
      <c r="A18" s="3217"/>
      <c r="B18" s="3214"/>
      <c r="C18" s="1427" t="s">
        <v>958</v>
      </c>
    </row>
    <row r="19" spans="1:3" ht="14.4">
      <c r="A19" s="3217"/>
      <c r="B19" s="3214"/>
      <c r="C19" s="1427" t="s">
        <v>959</v>
      </c>
    </row>
    <row r="20" spans="1:3" ht="14.4">
      <c r="A20" s="3218"/>
      <c r="B20" s="3213" t="s">
        <v>960</v>
      </c>
      <c r="C20" s="3212"/>
    </row>
    <row r="21" spans="1:3" ht="14.4">
      <c r="A21" s="1428" t="s">
        <v>961</v>
      </c>
      <c r="B21" s="1429"/>
      <c r="C21" s="1430"/>
    </row>
    <row r="22" spans="1:3" ht="14.4">
      <c r="A22" s="3215" t="s">
        <v>962</v>
      </c>
      <c r="B22" s="3213" t="s">
        <v>963</v>
      </c>
      <c r="C22" s="3212"/>
    </row>
    <row r="23" spans="1:3" ht="14.4">
      <c r="A23" s="3215"/>
      <c r="B23" s="3213" t="s">
        <v>964</v>
      </c>
      <c r="C23" s="3212"/>
    </row>
    <row r="24" spans="1:3" ht="14.4">
      <c r="A24" s="3215"/>
      <c r="B24" s="3213" t="s">
        <v>965</v>
      </c>
      <c r="C24" s="3212"/>
    </row>
    <row r="25" spans="1:3" ht="14.4">
      <c r="A25" s="3215"/>
      <c r="B25" s="3214" t="s">
        <v>966</v>
      </c>
      <c r="C25" s="1427" t="s">
        <v>967</v>
      </c>
    </row>
    <row r="26" spans="1:3" ht="14.4">
      <c r="A26" s="3215"/>
      <c r="B26" s="3214"/>
      <c r="C26" s="1427" t="s">
        <v>968</v>
      </c>
    </row>
    <row r="27" spans="1:3" ht="14.4">
      <c r="A27" s="3215"/>
      <c r="B27" s="3214"/>
      <c r="C27" s="1427" t="s">
        <v>969</v>
      </c>
    </row>
    <row r="28" spans="1:3" ht="14.4">
      <c r="A28" s="3215"/>
      <c r="B28" s="3214"/>
      <c r="C28" s="1427" t="s">
        <v>970</v>
      </c>
    </row>
    <row r="29" spans="1:3" ht="14.4">
      <c r="A29" s="3215"/>
      <c r="B29" s="3214"/>
      <c r="C29" s="1427" t="s">
        <v>971</v>
      </c>
    </row>
    <row r="30" spans="1:3" ht="14.4">
      <c r="A30" s="3215"/>
      <c r="B30" s="3214"/>
      <c r="C30" s="1427" t="s">
        <v>972</v>
      </c>
    </row>
    <row r="31" spans="1:3" ht="14.4">
      <c r="A31" s="3215"/>
      <c r="B31" s="3214"/>
      <c r="C31" s="1427" t="s">
        <v>973</v>
      </c>
    </row>
    <row r="32" spans="1:3" ht="14.4">
      <c r="A32" s="3215"/>
      <c r="B32" s="3214"/>
      <c r="C32" s="1427" t="s">
        <v>974</v>
      </c>
    </row>
    <row r="33" spans="1:3" ht="14.4">
      <c r="A33" s="3215"/>
      <c r="B33" s="3214"/>
      <c r="C33" s="1427" t="s">
        <v>975</v>
      </c>
    </row>
    <row r="34" spans="1:3">
      <c r="A34" s="1431" t="s">
        <v>49</v>
      </c>
    </row>
    <row r="37" spans="1:3">
      <c r="A37" s="1431" t="s">
        <v>976</v>
      </c>
    </row>
    <row r="38" spans="1:3" ht="14.4">
      <c r="A38" s="1432" t="s">
        <v>50</v>
      </c>
    </row>
    <row r="39" spans="1:3" ht="14.4">
      <c r="A39" s="1432" t="s">
        <v>51</v>
      </c>
    </row>
    <row r="40" spans="1:3" ht="14.4">
      <c r="A40" s="1432" t="s">
        <v>52</v>
      </c>
    </row>
    <row r="41" spans="1:3" ht="14.4">
      <c r="A41" s="1433" t="s">
        <v>53</v>
      </c>
    </row>
    <row r="42" spans="1:3" ht="14.4">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2134</v>
      </c>
      <c r="B2" s="2154">
        <f ca="1">TODAY()</f>
        <v>45796</v>
      </c>
      <c r="C2" s="2155" t="s">
        <v>2135</v>
      </c>
      <c r="D2" s="2155"/>
      <c r="E2" s="2155"/>
      <c r="F2" s="2151"/>
      <c r="G2" s="2151"/>
      <c r="H2" s="2151"/>
    </row>
    <row r="3" spans="1:8" ht="24" customHeight="1">
      <c r="A3" s="2156" t="s">
        <v>2136</v>
      </c>
      <c r="B3" s="1217" t="s">
        <v>2137</v>
      </c>
      <c r="C3" s="1217" t="s">
        <v>2138</v>
      </c>
      <c r="D3" s="2157" t="s">
        <v>2139</v>
      </c>
      <c r="E3" s="2158" t="s">
        <v>2140</v>
      </c>
      <c r="F3" s="1217" t="s">
        <v>2141</v>
      </c>
      <c r="G3" s="1217" t="s">
        <v>2138</v>
      </c>
      <c r="H3" s="2157" t="s">
        <v>2142</v>
      </c>
    </row>
    <row r="4" spans="1:8" ht="24" customHeight="1">
      <c r="A4" s="1217" t="s">
        <v>2143</v>
      </c>
      <c r="B4" s="1217">
        <f ca="1">IF(C4&lt;B2,"已过期",1119970066)</f>
        <v>1119970066</v>
      </c>
      <c r="C4" s="2159">
        <v>45937</v>
      </c>
      <c r="D4" s="2160" t="str">
        <f ca="1">A4&amp;"（注册号："&amp;B4&amp;"）"</f>
        <v>梁津（注册号：1119970066）</v>
      </c>
      <c r="E4" s="2161" t="s">
        <v>2143</v>
      </c>
      <c r="F4" s="1217">
        <f ca="1">IF(G4&lt;B2,"已过期",96010014)</f>
        <v>96010014</v>
      </c>
      <c r="G4" s="2162">
        <v>47118</v>
      </c>
      <c r="H4" s="2163" t="str">
        <f ca="1">E4&amp;"（注册号："&amp;F4&amp;"）"</f>
        <v>梁津（注册号：96010014）</v>
      </c>
    </row>
    <row r="5" spans="1:8" ht="24" customHeight="1">
      <c r="A5" s="1217" t="s">
        <v>2144</v>
      </c>
      <c r="B5" s="1217">
        <f ca="1">IF(C5&lt;B2,"已过期",1119970111)</f>
        <v>1119970111</v>
      </c>
      <c r="C5" s="2159">
        <v>45937</v>
      </c>
      <c r="D5" s="2160" t="str">
        <f t="shared" ref="D5:D15" ca="1" si="0">A5&amp;"（注册号："&amp;B5&amp;"）"</f>
        <v>叶凌（注册号：1119970111）</v>
      </c>
      <c r="E5" s="2161" t="s">
        <v>2144</v>
      </c>
      <c r="F5" s="1217">
        <f ca="1">IF(G5&lt;B2,"已过期",94010078)</f>
        <v>94010078</v>
      </c>
      <c r="G5" s="2162">
        <v>46387</v>
      </c>
      <c r="H5" s="2163" t="str">
        <f t="shared" ref="H5:H16" ca="1" si="1">E5&amp;"（注册号："&amp;F5&amp;"）"</f>
        <v>叶凌（注册号：94010078）</v>
      </c>
    </row>
    <row r="6" spans="1:8" ht="24" customHeight="1">
      <c r="A6" s="1217" t="s">
        <v>2145</v>
      </c>
      <c r="B6" s="1217" t="str">
        <f ca="1">IF(C6&lt;B2,"已过期",1120050019)</f>
        <v>已过期</v>
      </c>
      <c r="C6" s="2159">
        <v>45410</v>
      </c>
      <c r="D6" s="2160" t="str">
        <f t="shared" ca="1" si="0"/>
        <v>王鹏（注册号：已过期）</v>
      </c>
      <c r="E6" s="2161" t="s">
        <v>2145</v>
      </c>
      <c r="F6" s="1217">
        <f ca="1">IF(G6&lt;B2,"已过期",2002110030)</f>
        <v>2002110030</v>
      </c>
      <c r="G6" s="2162">
        <v>46387</v>
      </c>
      <c r="H6" s="2163" t="str">
        <f t="shared" ca="1" si="1"/>
        <v>王鹏（注册号：2002110030）</v>
      </c>
    </row>
    <row r="7" spans="1:8" ht="24" customHeight="1">
      <c r="A7" s="1217" t="s">
        <v>2146</v>
      </c>
      <c r="B7" s="1217">
        <f ca="1">IF(C7&lt;B2,"已过期",1120000080)</f>
        <v>1120000080</v>
      </c>
      <c r="C7" s="2159">
        <v>45937</v>
      </c>
      <c r="D7" s="2160" t="str">
        <f t="shared" ca="1" si="0"/>
        <v>欧红伟（注册号：1120000080）</v>
      </c>
      <c r="E7" s="2161" t="s">
        <v>2146</v>
      </c>
      <c r="F7" s="1217">
        <f ca="1">IF(G7&lt;B2,"已过期",2000110082)</f>
        <v>2000110082</v>
      </c>
      <c r="G7" s="2162">
        <v>46387</v>
      </c>
      <c r="H7" s="2163" t="str">
        <f t="shared" ca="1" si="1"/>
        <v>欧红伟（注册号：2000110082）</v>
      </c>
    </row>
    <row r="8" spans="1:8" ht="24" customHeight="1">
      <c r="A8" s="1217" t="s">
        <v>2147</v>
      </c>
      <c r="B8" s="1217">
        <f ca="1">IF(C8&lt;B2,"已过期",1419970001)</f>
        <v>1419970001</v>
      </c>
      <c r="C8" s="2159">
        <v>45937</v>
      </c>
      <c r="D8" s="2160" t="str">
        <f t="shared" ca="1" si="0"/>
        <v>吴薇（注册号：1419970001）</v>
      </c>
      <c r="E8" s="2161" t="s">
        <v>2147</v>
      </c>
      <c r="F8" s="1217">
        <f ca="1">IF(G8&lt;B2,"已过期",2002110125)</f>
        <v>2002110125</v>
      </c>
      <c r="G8" s="2162">
        <v>47118</v>
      </c>
      <c r="H8" s="2163" t="str">
        <f t="shared" ca="1" si="1"/>
        <v>吴薇（注册号：2002110125）</v>
      </c>
    </row>
    <row r="9" spans="1:8" ht="24" customHeight="1">
      <c r="A9" s="1217" t="s">
        <v>2148</v>
      </c>
      <c r="B9" s="1217" t="str">
        <f ca="1">IF(C9&lt;B2,"已过期",1120060040)</f>
        <v>已过期</v>
      </c>
      <c r="C9" s="2164">
        <v>45592</v>
      </c>
      <c r="D9" s="2160" t="str">
        <f t="shared" ca="1" si="0"/>
        <v>陈颖（注册号：已过期）</v>
      </c>
      <c r="E9" s="2161" t="s">
        <v>2148</v>
      </c>
      <c r="F9" s="1217">
        <f ca="1">IF(G9&lt;B2,"已过期",2004110096)</f>
        <v>2004110096</v>
      </c>
      <c r="G9" s="2162">
        <v>47118</v>
      </c>
      <c r="H9" s="2163" t="str">
        <f t="shared" ca="1" si="1"/>
        <v>陈颖（注册号：2004110096）</v>
      </c>
    </row>
    <row r="10" spans="1:8" ht="24" customHeight="1">
      <c r="A10" s="1217" t="s">
        <v>2149</v>
      </c>
      <c r="B10" s="1217" t="str">
        <f ca="1">IF(C10&lt;B2,"已过期",1120100036)</f>
        <v>已过期</v>
      </c>
      <c r="C10" s="2164">
        <v>45752</v>
      </c>
      <c r="D10" s="2160" t="str">
        <f t="shared" ca="1" si="0"/>
        <v>崔锴（注册号：已过期）</v>
      </c>
      <c r="E10" s="2161" t="s">
        <v>2149</v>
      </c>
      <c r="F10" s="1217">
        <f ca="1">IF(G10&lt;B2,"已过期",2010110070)</f>
        <v>2010110070</v>
      </c>
      <c r="G10" s="2162">
        <v>47907</v>
      </c>
      <c r="H10" s="2163" t="str">
        <f t="shared" ca="1" si="1"/>
        <v>崔锴（注册号：2010110070）</v>
      </c>
    </row>
    <row r="11" spans="1:8" ht="24" customHeight="1">
      <c r="A11" s="1217" t="s">
        <v>2150</v>
      </c>
      <c r="B11" s="1217">
        <f ca="1">IF(C11&lt;B2,"已过期",1120070131)</f>
        <v>1120070131</v>
      </c>
      <c r="C11" s="2159">
        <v>45937</v>
      </c>
      <c r="D11" s="2160" t="str">
        <f t="shared" ca="1" si="0"/>
        <v>郑燚（注册号：1120070131）</v>
      </c>
      <c r="E11" s="2161" t="s">
        <v>2150</v>
      </c>
      <c r="F11" s="1217">
        <f ca="1">IF(G11&lt;B2,"已过期",2014110011)</f>
        <v>2014110011</v>
      </c>
      <c r="G11" s="2162">
        <v>49302</v>
      </c>
      <c r="H11" s="2163" t="str">
        <f t="shared" ca="1" si="1"/>
        <v>郑燚（注册号：2014110011）</v>
      </c>
    </row>
    <row r="12" spans="1:8" ht="24" customHeight="1">
      <c r="A12" s="1217" t="s">
        <v>2151</v>
      </c>
      <c r="B12" s="1217">
        <f ca="1">IF(C12&lt;B2,"已过期",1120040230)</f>
        <v>1120040230</v>
      </c>
      <c r="C12" s="2164">
        <v>45937</v>
      </c>
      <c r="D12" s="2160" t="str">
        <f t="shared" ca="1" si="0"/>
        <v>苏海（注册号：1120040230）</v>
      </c>
      <c r="E12" s="2161" t="s">
        <v>2151</v>
      </c>
      <c r="F12" s="1217">
        <f ca="1">IF(G12&lt;B2,"已过期",98030020)</f>
        <v>98030020</v>
      </c>
      <c r="G12" s="2162">
        <v>47118</v>
      </c>
      <c r="H12" s="2163" t="str">
        <f t="shared" ca="1" si="1"/>
        <v>苏海（注册号：98030020）</v>
      </c>
    </row>
    <row r="13" spans="1:8" ht="24" customHeight="1">
      <c r="A13" s="1217" t="s">
        <v>2152</v>
      </c>
      <c r="B13" s="1217" t="str">
        <f ca="1">IF(C13&lt;B2,"已过期",1120020033)</f>
        <v>已过期</v>
      </c>
      <c r="C13" s="2159">
        <v>45375</v>
      </c>
      <c r="D13" s="2160" t="str">
        <f t="shared" ca="1" si="0"/>
        <v>刘敬东（注册号：已过期）</v>
      </c>
      <c r="E13" s="2161" t="s">
        <v>2152</v>
      </c>
      <c r="F13" s="1217">
        <f ca="1">IF(G13&lt;B2,"已过期",2000110137)</f>
        <v>2000110137</v>
      </c>
      <c r="G13" s="2162">
        <v>46387</v>
      </c>
      <c r="H13" s="2163" t="str">
        <f t="shared" ca="1" si="1"/>
        <v>刘敬东（注册号：2000110137）</v>
      </c>
    </row>
    <row r="14" spans="1:8" ht="24" customHeight="1">
      <c r="A14" s="1217" t="s">
        <v>2153</v>
      </c>
      <c r="B14" s="1217" t="str">
        <f ca="1">IF(C14&lt;B2,"已过期",1119980106)</f>
        <v>已过期</v>
      </c>
      <c r="C14" s="2164">
        <v>44969</v>
      </c>
      <c r="D14" s="2160" t="str">
        <f t="shared" ca="1" si="0"/>
        <v>刘俊财（注册号：已过期）</v>
      </c>
      <c r="E14" s="2161" t="s">
        <v>2153</v>
      </c>
      <c r="F14" s="1217">
        <f ca="1">IF(G14&lt;B2,"已过期",96010063)</f>
        <v>96010063</v>
      </c>
      <c r="G14" s="2162">
        <v>47483</v>
      </c>
      <c r="H14" s="2163" t="str">
        <f t="shared" ca="1" si="1"/>
        <v>刘俊财（注册号：96010063）</v>
      </c>
    </row>
    <row r="15" spans="1:8" ht="24" customHeight="1">
      <c r="A15" s="1217" t="s">
        <v>2432</v>
      </c>
      <c r="B15" s="1217">
        <v>1120210056</v>
      </c>
      <c r="C15" s="2164">
        <v>45410</v>
      </c>
      <c r="D15" s="2160" t="str">
        <f t="shared" si="0"/>
        <v>宁小鳗（注册号：1120210056）</v>
      </c>
      <c r="E15" s="2161" t="s">
        <v>2154</v>
      </c>
      <c r="F15" s="1217">
        <f ca="1">IF(G15&lt;B2,"已过期",2011110090)</f>
        <v>2011110090</v>
      </c>
      <c r="G15" s="2162">
        <v>48302</v>
      </c>
      <c r="H15" s="2163" t="str">
        <f t="shared" ca="1" si="1"/>
        <v>赵雯（注册号：2011110090）</v>
      </c>
    </row>
    <row r="16" spans="1:8" ht="24" customHeight="1">
      <c r="A16" s="1217"/>
      <c r="B16" s="1217"/>
      <c r="C16" s="1217"/>
      <c r="D16" s="2160" t="str">
        <f>A16&amp;"（注册号："&amp;B16&amp;"）"</f>
        <v>（注册号：）</v>
      </c>
      <c r="E16" s="2161"/>
      <c r="F16" s="1217"/>
      <c r="G16" s="1217"/>
      <c r="H16" s="2165" t="str">
        <f t="shared" si="1"/>
        <v>（注册号：）</v>
      </c>
    </row>
    <row r="17" spans="1:8" ht="24" customHeight="1">
      <c r="A17" s="3219" t="s">
        <v>2155</v>
      </c>
      <c r="B17" s="3219"/>
      <c r="C17" s="3219"/>
      <c r="D17" s="3219"/>
      <c r="E17" s="3219"/>
      <c r="F17" s="3219"/>
      <c r="G17" s="3219"/>
      <c r="H17" s="3219"/>
    </row>
    <row r="18" spans="1:8" ht="24" customHeight="1">
      <c r="A18" s="3220" t="s">
        <v>2156</v>
      </c>
      <c r="B18" s="3220"/>
      <c r="C18" s="3220"/>
      <c r="D18" s="2157"/>
      <c r="E18" s="3221" t="s">
        <v>2157</v>
      </c>
      <c r="F18" s="3220"/>
      <c r="G18" s="3220"/>
    </row>
    <row r="19" spans="1:8" s="2167" customFormat="1" ht="24" customHeight="1">
      <c r="A19" s="2166" t="s">
        <v>2158</v>
      </c>
      <c r="B19" s="1217" t="s">
        <v>2159</v>
      </c>
      <c r="C19" s="1217" t="s">
        <v>2138</v>
      </c>
      <c r="D19" s="2157"/>
      <c r="E19" s="2161" t="s">
        <v>2158</v>
      </c>
      <c r="F19" s="1217" t="s">
        <v>2159</v>
      </c>
      <c r="G19" s="1217" t="s">
        <v>2138</v>
      </c>
    </row>
    <row r="20" spans="1:8" s="2167" customFormat="1" ht="24" customHeight="1">
      <c r="A20" s="2168" t="s">
        <v>2160</v>
      </c>
      <c r="B20" s="2168" t="s">
        <v>2161</v>
      </c>
      <c r="C20" s="2162">
        <v>45898</v>
      </c>
      <c r="D20" s="2169"/>
      <c r="E20" s="2170" t="s">
        <v>2162</v>
      </c>
      <c r="F20" s="2173" t="s">
        <v>2433</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典型户型修正</vt:lpstr>
      <vt:lpstr>信息</vt:lpstr>
      <vt:lpstr>租约</vt:lpstr>
      <vt:lpstr>假设开发法</vt:lpstr>
      <vt:lpstr>收益法</vt:lpstr>
      <vt:lpstr>案例</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分户平面图计算各层面积</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2025-05-19T07:54:38Z</dcterms:modified>
</cp:coreProperties>
</file>