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土地比较法-住宅、综合" sheetId="39"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9" i="69" l="1"/>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S22" i="31"/>
  <c r="C19" i="9"/>
  <c r="B2" i="67"/>
  <c r="D19" i="9"/>
  <c r="G19" i="9"/>
  <c r="C32" i="9"/>
  <c r="H118" i="9"/>
  <c r="H101" i="9"/>
  <c r="H107" i="9"/>
  <c r="D122" i="9"/>
  <c r="G14" i="74"/>
  <c r="G15" i="74"/>
  <c r="D14" i="74"/>
  <c r="D15" i="74"/>
  <c r="C15" i="74"/>
  <c r="B15" i="74"/>
  <c r="R22" i="31"/>
  <c r="H285" i="79"/>
  <c r="I285" i="79"/>
  <c r="D285" i="79"/>
  <c r="A3" i="3"/>
  <c r="E289" i="77"/>
  <c r="D289" i="77"/>
  <c r="B3" i="4"/>
  <c r="K6" i="1"/>
  <c r="I14" i="3"/>
  <c r="F20" i="6"/>
  <c r="E20" i="6"/>
  <c r="BB14" i="3"/>
  <c r="BA14" i="3"/>
  <c r="BA5" i="3"/>
  <c r="E27" i="6"/>
  <c r="K19" i="6"/>
  <c r="S6" i="1"/>
  <c r="E10" i="69"/>
  <c r="B29"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D3" i="39"/>
  <c r="I46" i="39"/>
  <c r="G46" i="39"/>
  <c r="E46" i="39"/>
  <c r="I38" i="39"/>
  <c r="G38" i="39"/>
  <c r="E38" i="39"/>
  <c r="C38" i="39"/>
  <c r="BB5" i="3"/>
  <c r="E8" i="6"/>
  <c r="F27" i="6"/>
  <c r="F31" i="6"/>
  <c r="AZ14" i="3"/>
  <c r="AZ5" i="3"/>
  <c r="H14" i="3"/>
  <c r="G14" i="3"/>
  <c r="G5" i="3"/>
  <c r="B3" i="3"/>
  <c r="AY6" i="3"/>
  <c r="D3" i="6"/>
  <c r="E3" i="6"/>
  <c r="D19" i="6"/>
  <c r="D20" i="6"/>
  <c r="D21" i="6"/>
  <c r="D22" i="6"/>
  <c r="D23" i="6"/>
  <c r="D24" i="6"/>
  <c r="D25" i="6"/>
  <c r="D26" i="6"/>
  <c r="D27" i="6"/>
  <c r="D28" i="6"/>
  <c r="D29" i="6"/>
  <c r="D30" i="6"/>
  <c r="D31" i="6"/>
  <c r="I6" i="6"/>
  <c r="I7" i="39"/>
  <c r="G7" i="39"/>
  <c r="E7" i="39"/>
  <c r="I5" i="39"/>
  <c r="G5" i="39"/>
  <c r="E5" i="39"/>
  <c r="C13" i="3"/>
  <c r="C19" i="6"/>
  <c r="A6" i="1"/>
  <c r="G1" i="69"/>
  <c r="E9" i="69"/>
  <c r="I13" i="3"/>
  <c r="F19" i="6"/>
  <c r="E19" i="6"/>
  <c r="C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1" i="6"/>
  <c r="E22" i="6"/>
  <c r="E23" i="6"/>
  <c r="E24" i="6"/>
  <c r="E25" i="6"/>
  <c r="E26" i="6"/>
  <c r="BB13" i="3"/>
  <c r="BC13" i="3"/>
  <c r="BD13" i="3"/>
  <c r="BE13" i="3"/>
  <c r="BF13" i="3"/>
  <c r="BG13" i="3"/>
  <c r="BH13" i="3"/>
  <c r="BI13" i="3"/>
  <c r="BJ13" i="3"/>
  <c r="BK13" i="3"/>
  <c r="BA13"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F8" i="39"/>
  <c r="AA8" i="39"/>
  <c r="F9" i="39"/>
  <c r="AA9" i="39"/>
  <c r="T46" i="39"/>
  <c r="H7" i="39"/>
  <c r="AB7" i="39"/>
  <c r="H8" i="39"/>
  <c r="AB8" i="39"/>
  <c r="H9" i="39"/>
  <c r="AB9" i="39"/>
  <c r="V46" i="39"/>
  <c r="J7" i="39"/>
  <c r="AC7" i="39"/>
  <c r="J8" i="39"/>
  <c r="AC8" i="39"/>
  <c r="J9" i="39"/>
  <c r="AC9" i="39"/>
  <c r="C1" i="73"/>
  <c r="J1" i="73"/>
  <c r="B22" i="1"/>
  <c r="E1" i="73"/>
  <c r="K1" i="73"/>
  <c r="C19" i="69"/>
  <c r="F21" i="69"/>
  <c r="C21" i="69"/>
  <c r="F35" i="69"/>
  <c r="E37" i="69"/>
  <c r="F38" i="69"/>
  <c r="F20" i="69"/>
  <c r="C40" i="69"/>
  <c r="B43" i="1"/>
  <c r="B41" i="1"/>
  <c r="F30" i="69"/>
  <c r="C42" i="1"/>
  <c r="C48" i="69"/>
  <c r="M6" i="1"/>
  <c r="A7" i="1"/>
  <c r="K7" i="1"/>
  <c r="M7" i="1"/>
  <c r="A8" i="1"/>
  <c r="K8" i="1"/>
  <c r="M8" i="1"/>
  <c r="A9" i="1"/>
  <c r="K9" i="1"/>
  <c r="M9" i="1"/>
  <c r="A10" i="1"/>
  <c r="K10" i="1"/>
  <c r="M10" i="1"/>
  <c r="A11" i="1"/>
  <c r="K11" i="1"/>
  <c r="M11" i="1"/>
  <c r="A12" i="1"/>
  <c r="K12" i="1"/>
  <c r="M12" i="1"/>
  <c r="A13" i="1"/>
  <c r="K13" i="1"/>
  <c r="M13" i="1"/>
  <c r="K14" i="1"/>
  <c r="M14" i="1"/>
  <c r="M16" i="1"/>
  <c r="N6" i="1"/>
  <c r="N7" i="1"/>
  <c r="N16" i="1"/>
  <c r="B24" i="1"/>
  <c r="F50" i="69"/>
  <c r="G1" i="67"/>
  <c r="L1" i="73"/>
  <c r="F32" i="67"/>
  <c r="F33" i="67"/>
  <c r="BM13" i="3"/>
  <c r="BN13" i="3"/>
  <c r="BO13" i="3"/>
  <c r="BP13" i="3"/>
  <c r="BL13" i="3"/>
  <c r="AZ13" i="3"/>
  <c r="BM14" i="3"/>
  <c r="BN14" i="3"/>
  <c r="BO14" i="3"/>
  <c r="BP14" i="3"/>
  <c r="BL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19" i="6"/>
  <c r="M19" i="6"/>
  <c r="I19" i="6"/>
  <c r="H19" i="6"/>
  <c r="R19" i="6"/>
  <c r="B52" i="1"/>
  <c r="F34" i="67"/>
  <c r="F15" i="67"/>
  <c r="F17" i="67"/>
  <c r="F18" i="67"/>
  <c r="F20" i="67"/>
  <c r="F23" i="67"/>
  <c r="F21" i="67"/>
  <c r="F28" i="67"/>
  <c r="C28" i="67"/>
  <c r="E15" i="4"/>
  <c r="F6" i="1"/>
  <c r="M47" i="67"/>
  <c r="J50" i="67"/>
  <c r="J51" i="67"/>
  <c r="C17" i="9"/>
  <c r="D17" i="9"/>
  <c r="C18" i="9"/>
  <c r="D18" i="9"/>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D9" i="68"/>
  <c r="E6" i="6"/>
  <c r="D10" i="68"/>
  <c r="D19" i="68"/>
  <c r="B31" i="1"/>
  <c r="E19" i="68"/>
  <c r="C19" i="68"/>
  <c r="F7" i="68"/>
  <c r="C7" i="68"/>
  <c r="C8" i="68"/>
  <c r="C5" i="68"/>
  <c r="F20" i="68"/>
  <c r="C20" i="68"/>
  <c r="F22" i="68"/>
  <c r="B23" i="1"/>
  <c r="C23" i="68"/>
  <c r="C24" i="68"/>
  <c r="C25" i="68"/>
  <c r="C22" i="68"/>
  <c r="Q16" i="1"/>
  <c r="F27" i="68"/>
  <c r="C28" i="68"/>
  <c r="C27" i="68"/>
  <c r="F21" i="68"/>
  <c r="C26" i="68"/>
  <c r="D22" i="68"/>
  <c r="C21" i="68"/>
  <c r="C29" i="68"/>
  <c r="D27" i="68"/>
  <c r="F30" i="68"/>
  <c r="C30" i="68"/>
  <c r="C31" i="68"/>
  <c r="F34" i="68"/>
  <c r="C34" i="68"/>
  <c r="F35" i="68"/>
  <c r="C35" i="68"/>
  <c r="F36" i="68"/>
  <c r="C36" i="68"/>
  <c r="D37" i="68"/>
  <c r="E37" i="68"/>
  <c r="C37" i="68"/>
  <c r="F38" i="68"/>
  <c r="C38" i="68"/>
  <c r="C33" i="68"/>
  <c r="C39" i="68"/>
  <c r="C42" i="68"/>
  <c r="C43" i="68"/>
  <c r="C41" i="68"/>
  <c r="C46" i="68"/>
  <c r="C45" i="68"/>
  <c r="C40" i="68"/>
  <c r="C44" i="68"/>
  <c r="D41" i="68"/>
  <c r="C47" i="68"/>
  <c r="D45" i="68"/>
  <c r="C48" i="68"/>
  <c r="C49" i="68"/>
  <c r="F50" i="68"/>
  <c r="C51" i="68"/>
  <c r="C52" i="68"/>
  <c r="B2" i="68"/>
  <c r="B3" i="68"/>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M47" i="15"/>
  <c r="J53" i="15"/>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F7" i="69"/>
  <c r="AC21" i="37"/>
  <c r="W21" i="37"/>
  <c r="AC21" i="34"/>
  <c r="W21" i="34"/>
  <c r="AC21" i="33"/>
  <c r="W21" i="33"/>
  <c r="AB21" i="21"/>
  <c r="U21" i="21"/>
  <c r="G83" i="21"/>
  <c r="J21" i="21"/>
  <c r="E10" i="68"/>
  <c r="E9" i="68"/>
  <c r="W21" i="21"/>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C43" i="31"/>
  <c r="Q43" i="31"/>
  <c r="E43" i="31"/>
  <c r="C44" i="31"/>
  <c r="Q44" i="31"/>
  <c r="E44" i="31"/>
  <c r="C45" i="31"/>
  <c r="Q45" i="31"/>
  <c r="E45" i="31"/>
  <c r="C46" i="31"/>
  <c r="Q46" i="31"/>
  <c r="E46" i="31"/>
  <c r="C47" i="31"/>
  <c r="Q47" i="31"/>
  <c r="E47" i="31"/>
  <c r="C48" i="31"/>
  <c r="Q48" i="31"/>
  <c r="E48" i="31"/>
  <c r="C49" i="31"/>
  <c r="Q49" i="31"/>
  <c r="E49" i="31"/>
  <c r="C50" i="31"/>
  <c r="Q50" i="31"/>
  <c r="E50" i="31"/>
  <c r="C51" i="31"/>
  <c r="Q51" i="31"/>
  <c r="E51" i="31"/>
  <c r="C52" i="31"/>
  <c r="Q52" i="31"/>
  <c r="E52" i="31"/>
  <c r="C53" i="31"/>
  <c r="Q53" i="31"/>
  <c r="E53" i="31"/>
  <c r="C54" i="31"/>
  <c r="Q54" i="31"/>
  <c r="E54" i="31"/>
  <c r="C55" i="31"/>
  <c r="Q55" i="31"/>
  <c r="E55" i="31"/>
  <c r="C56" i="31"/>
  <c r="Q56" i="31"/>
  <c r="E56" i="31"/>
  <c r="C57" i="31"/>
  <c r="Q57" i="31"/>
  <c r="E57" i="31"/>
  <c r="C58" i="31"/>
  <c r="Q58" i="31"/>
  <c r="E58" i="31"/>
  <c r="C59" i="31"/>
  <c r="Q59" i="31"/>
  <c r="E59" i="31"/>
  <c r="C60" i="31"/>
  <c r="Q60" i="31"/>
  <c r="E60" i="31"/>
  <c r="C61" i="31"/>
  <c r="Q61" i="31"/>
  <c r="E61" i="31"/>
  <c r="C62" i="31"/>
  <c r="Q62" i="31"/>
  <c r="E62" i="31"/>
  <c r="C63" i="31"/>
  <c r="Q63" i="31"/>
  <c r="E63" i="31"/>
  <c r="C64" i="31"/>
  <c r="Q64" i="31"/>
  <c r="E64" i="31"/>
  <c r="C65" i="31"/>
  <c r="Q65" i="31"/>
  <c r="E65" i="31"/>
  <c r="C66" i="31"/>
  <c r="Q66" i="31"/>
  <c r="E66" i="31"/>
  <c r="C67" i="31"/>
  <c r="Q67" i="31"/>
  <c r="E67" i="31"/>
  <c r="C68" i="31"/>
  <c r="Q68" i="31"/>
  <c r="E68" i="31"/>
  <c r="C69" i="31"/>
  <c r="Q69" i="31"/>
  <c r="E69" i="31"/>
  <c r="C70" i="31"/>
  <c r="Q70" i="31"/>
  <c r="E70" i="31"/>
  <c r="C71" i="31"/>
  <c r="Q71" i="31"/>
  <c r="E71" i="31"/>
  <c r="C72" i="31"/>
  <c r="Q72" i="31"/>
  <c r="E72" i="31"/>
  <c r="C73" i="31"/>
  <c r="Q73" i="31"/>
  <c r="E73" i="31"/>
  <c r="C74" i="31"/>
  <c r="Q74" i="31"/>
  <c r="E74" i="31"/>
  <c r="C75" i="31"/>
  <c r="Q75" i="31"/>
  <c r="E75" i="31"/>
  <c r="C76" i="31"/>
  <c r="Q76" i="31"/>
  <c r="E76" i="31"/>
  <c r="C77" i="31"/>
  <c r="Q77" i="31"/>
  <c r="E77" i="31"/>
  <c r="C78" i="31"/>
  <c r="Q78" i="31"/>
  <c r="E78" i="31"/>
  <c r="C79" i="31"/>
  <c r="Q79" i="31"/>
  <c r="E79" i="31"/>
  <c r="C80" i="31"/>
  <c r="Q80" i="31"/>
  <c r="E80" i="31"/>
  <c r="C81" i="31"/>
  <c r="Q81" i="31"/>
  <c r="E81" i="31"/>
  <c r="C82" i="31"/>
  <c r="Q82" i="31"/>
  <c r="E82" i="31"/>
  <c r="C83" i="31"/>
  <c r="Q83" i="31"/>
  <c r="E83" i="31"/>
  <c r="C84" i="31"/>
  <c r="Q84" i="31"/>
  <c r="E84" i="31"/>
  <c r="C85" i="31"/>
  <c r="Q85" i="31"/>
  <c r="E85" i="31"/>
  <c r="C86" i="31"/>
  <c r="Q86" i="31"/>
  <c r="E86" i="31"/>
  <c r="C87" i="31"/>
  <c r="Q87" i="31"/>
  <c r="E87" i="31"/>
  <c r="C88" i="31"/>
  <c r="Q88" i="31"/>
  <c r="E88" i="31"/>
  <c r="C89" i="31"/>
  <c r="Q89" i="31"/>
  <c r="E89" i="31"/>
  <c r="C90" i="31"/>
  <c r="Q90" i="31"/>
  <c r="E90" i="31"/>
  <c r="C91" i="31"/>
  <c r="Q91" i="31"/>
  <c r="E91" i="31"/>
  <c r="C92" i="31"/>
  <c r="Q92" i="31"/>
  <c r="E92" i="31"/>
  <c r="C93" i="31"/>
  <c r="Q93" i="31"/>
  <c r="E93" i="31"/>
  <c r="C94" i="31"/>
  <c r="Q94" i="31"/>
  <c r="E94" i="31"/>
  <c r="C95" i="31"/>
  <c r="Q95" i="31"/>
  <c r="E95" i="31"/>
  <c r="C96" i="31"/>
  <c r="Q96" i="31"/>
  <c r="E96" i="31"/>
  <c r="C97" i="31"/>
  <c r="Q97" i="31"/>
  <c r="E97" i="31"/>
  <c r="C98" i="31"/>
  <c r="Q98" i="31"/>
  <c r="E98" i="31"/>
  <c r="C99" i="31"/>
  <c r="Q99" i="31"/>
  <c r="E99" i="31"/>
  <c r="C100" i="31"/>
  <c r="Q100" i="31"/>
  <c r="E100" i="31"/>
  <c r="C101" i="31"/>
  <c r="Q101" i="31"/>
  <c r="E101" i="31"/>
  <c r="C102" i="31"/>
  <c r="Q102" i="31"/>
  <c r="E102" i="31"/>
  <c r="C103" i="31"/>
  <c r="Q103" i="31"/>
  <c r="E103" i="31"/>
  <c r="C104" i="31"/>
  <c r="Q104" i="31"/>
  <c r="E104" i="31"/>
  <c r="C105" i="31"/>
  <c r="Q105" i="31"/>
  <c r="E105" i="31"/>
  <c r="C106" i="31"/>
  <c r="Q106" i="31"/>
  <c r="E106" i="31"/>
  <c r="C107" i="31"/>
  <c r="Q107" i="31"/>
  <c r="E107" i="31"/>
  <c r="C108" i="31"/>
  <c r="Q108" i="31"/>
  <c r="E108" i="31"/>
  <c r="C109" i="31"/>
  <c r="Q109" i="31"/>
  <c r="E109" i="31"/>
  <c r="C110" i="31"/>
  <c r="Q110" i="31"/>
  <c r="E110" i="31"/>
  <c r="C111" i="31"/>
  <c r="Q111" i="31"/>
  <c r="E111" i="31"/>
  <c r="C112" i="31"/>
  <c r="Q112" i="31"/>
  <c r="E112" i="31"/>
  <c r="C113" i="31"/>
  <c r="Q113" i="31"/>
  <c r="E113" i="31"/>
  <c r="C114" i="31"/>
  <c r="Q114" i="31"/>
  <c r="E114" i="31"/>
  <c r="C115" i="31"/>
  <c r="Q115" i="31"/>
  <c r="E115" i="31"/>
  <c r="C116" i="31"/>
  <c r="Q116" i="31"/>
  <c r="E116" i="31"/>
  <c r="C117" i="31"/>
  <c r="Q117" i="31"/>
  <c r="E117" i="31"/>
  <c r="C118" i="31"/>
  <c r="Q118" i="31"/>
  <c r="E118" i="31"/>
  <c r="C119" i="31"/>
  <c r="Q119" i="31"/>
  <c r="E119" i="31"/>
  <c r="C120" i="31"/>
  <c r="Q120" i="31"/>
  <c r="E120" i="31"/>
  <c r="C121" i="31"/>
  <c r="Q121" i="31"/>
  <c r="E121" i="31"/>
  <c r="C122" i="31"/>
  <c r="Q122" i="31"/>
  <c r="E122" i="31"/>
  <c r="C123" i="31"/>
  <c r="Q123" i="31"/>
  <c r="E123" i="31"/>
  <c r="C124" i="31"/>
  <c r="Q124" i="31"/>
  <c r="E124" i="31"/>
  <c r="C125" i="31"/>
  <c r="Q125" i="31"/>
  <c r="E125" i="31"/>
  <c r="C126" i="31"/>
  <c r="Q126" i="31"/>
  <c r="E126" i="31"/>
  <c r="C127" i="31"/>
  <c r="Q127" i="31"/>
  <c r="E127" i="31"/>
  <c r="C128" i="31"/>
  <c r="Q128" i="31"/>
  <c r="E128" i="31"/>
  <c r="C129" i="31"/>
  <c r="Q129" i="31"/>
  <c r="E129" i="31"/>
  <c r="C130" i="31"/>
  <c r="Q130" i="31"/>
  <c r="E130" i="31"/>
  <c r="C131" i="31"/>
  <c r="Q131" i="31"/>
  <c r="E131" i="31"/>
  <c r="C132" i="31"/>
  <c r="Q132" i="31"/>
  <c r="E132" i="31"/>
  <c r="C133" i="31"/>
  <c r="Q133" i="31"/>
  <c r="E133" i="31"/>
  <c r="C134" i="31"/>
  <c r="Q134" i="31"/>
  <c r="E134" i="31"/>
  <c r="C135" i="31"/>
  <c r="Q135" i="31"/>
  <c r="E135" i="31"/>
  <c r="C136" i="31"/>
  <c r="Q136" i="31"/>
  <c r="E136" i="31"/>
  <c r="C137" i="31"/>
  <c r="Q137" i="31"/>
  <c r="E137" i="31"/>
  <c r="C138" i="31"/>
  <c r="Q138" i="31"/>
  <c r="E138" i="31"/>
  <c r="C139" i="31"/>
  <c r="Q139" i="31"/>
  <c r="E139" i="31"/>
  <c r="C140" i="31"/>
  <c r="Q140" i="31"/>
  <c r="E140" i="31"/>
  <c r="C141" i="31"/>
  <c r="Q141" i="31"/>
  <c r="E141" i="31"/>
  <c r="C142" i="31"/>
  <c r="Q142" i="31"/>
  <c r="E142" i="31"/>
  <c r="C143" i="31"/>
  <c r="Q143" i="31"/>
  <c r="E143" i="31"/>
  <c r="C144" i="31"/>
  <c r="Q144" i="31"/>
  <c r="E144" i="31"/>
  <c r="C145" i="31"/>
  <c r="Q145" i="31"/>
  <c r="E145" i="31"/>
  <c r="C146" i="31"/>
  <c r="Q146" i="31"/>
  <c r="E146" i="31"/>
  <c r="C147" i="31"/>
  <c r="Q147" i="31"/>
  <c r="E147" i="31"/>
  <c r="C148" i="31"/>
  <c r="Q148" i="31"/>
  <c r="E148" i="31"/>
  <c r="C149" i="31"/>
  <c r="Q149" i="31"/>
  <c r="E149" i="31"/>
  <c r="C150" i="31"/>
  <c r="Q150" i="31"/>
  <c r="E150" i="31"/>
  <c r="C151" i="31"/>
  <c r="Q151" i="31"/>
  <c r="E151" i="31"/>
  <c r="C152" i="31"/>
  <c r="Q152" i="31"/>
  <c r="E152" i="31"/>
  <c r="C153" i="31"/>
  <c r="Q153" i="31"/>
  <c r="E153" i="31"/>
  <c r="C154" i="31"/>
  <c r="Q154" i="31"/>
  <c r="E154" i="31"/>
  <c r="C155" i="31"/>
  <c r="Q155" i="31"/>
  <c r="E155" i="31"/>
  <c r="C156" i="31"/>
  <c r="Q156" i="31"/>
  <c r="E156" i="31"/>
  <c r="C157" i="31"/>
  <c r="Q157" i="31"/>
  <c r="E157" i="31"/>
  <c r="C158" i="31"/>
  <c r="Q158" i="31"/>
  <c r="E158" i="31"/>
  <c r="C159" i="31"/>
  <c r="Q159" i="31"/>
  <c r="E159" i="31"/>
  <c r="C160" i="31"/>
  <c r="Q160" i="31"/>
  <c r="E160" i="31"/>
  <c r="C161" i="31"/>
  <c r="Q161" i="31"/>
  <c r="E161" i="31"/>
  <c r="C162" i="31"/>
  <c r="Q162" i="31"/>
  <c r="E162" i="31"/>
  <c r="C163" i="31"/>
  <c r="Q163" i="31"/>
  <c r="E163" i="31"/>
  <c r="C164" i="31"/>
  <c r="Q164" i="31"/>
  <c r="E164" i="31"/>
  <c r="C165" i="31"/>
  <c r="Q165" i="31"/>
  <c r="E165" i="31"/>
  <c r="C166" i="31"/>
  <c r="Q166" i="31"/>
  <c r="E166" i="31"/>
  <c r="C167" i="31"/>
  <c r="Q167" i="31"/>
  <c r="E167" i="31"/>
  <c r="C168" i="31"/>
  <c r="Q168" i="31"/>
  <c r="E168" i="31"/>
  <c r="C169" i="31"/>
  <c r="Q169" i="31"/>
  <c r="E169" i="31"/>
  <c r="C170" i="31"/>
  <c r="Q170" i="31"/>
  <c r="E170" i="31"/>
  <c r="C171" i="31"/>
  <c r="Q171" i="31"/>
  <c r="E171" i="31"/>
  <c r="C172" i="31"/>
  <c r="Q172" i="31"/>
  <c r="E172" i="31"/>
  <c r="C173" i="31"/>
  <c r="Q173" i="31"/>
  <c r="E173" i="31"/>
  <c r="C174" i="31"/>
  <c r="Q174" i="31"/>
  <c r="E174" i="31"/>
  <c r="C175" i="31"/>
  <c r="Q175" i="31"/>
  <c r="E175" i="31"/>
  <c r="C176" i="31"/>
  <c r="Q176" i="31"/>
  <c r="E176" i="31"/>
  <c r="C177" i="31"/>
  <c r="Q177" i="31"/>
  <c r="E177" i="31"/>
  <c r="C178" i="31"/>
  <c r="Q178" i="31"/>
  <c r="E178" i="31"/>
  <c r="C179" i="31"/>
  <c r="Q179" i="31"/>
  <c r="E179" i="31"/>
  <c r="C180" i="31"/>
  <c r="Q180" i="31"/>
  <c r="E180" i="31"/>
  <c r="C181" i="31"/>
  <c r="Q181" i="31"/>
  <c r="E181" i="31"/>
  <c r="C182" i="31"/>
  <c r="Q182" i="31"/>
  <c r="E182" i="31"/>
  <c r="C183" i="31"/>
  <c r="Q183" i="31"/>
  <c r="E183" i="31"/>
  <c r="C184" i="31"/>
  <c r="Q184" i="31"/>
  <c r="E184" i="31"/>
  <c r="C185" i="31"/>
  <c r="Q185" i="31"/>
  <c r="E185" i="31"/>
  <c r="C186" i="31"/>
  <c r="Q186" i="31"/>
  <c r="E186" i="31"/>
  <c r="C187" i="31"/>
  <c r="Q187" i="31"/>
  <c r="E187" i="31"/>
  <c r="C188" i="31"/>
  <c r="Q188" i="31"/>
  <c r="E188" i="31"/>
  <c r="C189" i="31"/>
  <c r="Q189" i="31"/>
  <c r="E189" i="31"/>
  <c r="C190" i="31"/>
  <c r="Q190" i="31"/>
  <c r="E190" i="31"/>
  <c r="C191" i="31"/>
  <c r="Q191" i="31"/>
  <c r="E191" i="31"/>
  <c r="C192" i="31"/>
  <c r="Q192" i="31"/>
  <c r="E192" i="31"/>
  <c r="C193" i="31"/>
  <c r="Q193" i="31"/>
  <c r="E193" i="31"/>
  <c r="C194" i="31"/>
  <c r="Q194" i="31"/>
  <c r="E194" i="31"/>
  <c r="C195" i="31"/>
  <c r="Q195" i="31"/>
  <c r="E195" i="31"/>
  <c r="C196" i="31"/>
  <c r="Q196" i="31"/>
  <c r="E196" i="31"/>
  <c r="C197" i="31"/>
  <c r="Q197" i="31"/>
  <c r="E197" i="31"/>
  <c r="C198" i="31"/>
  <c r="Q198" i="31"/>
  <c r="E198" i="31"/>
  <c r="C199" i="31"/>
  <c r="Q199" i="31"/>
  <c r="E199" i="31"/>
  <c r="C200" i="31"/>
  <c r="Q200" i="31"/>
  <c r="E200" i="31"/>
  <c r="C201" i="31"/>
  <c r="Q201" i="31"/>
  <c r="E201" i="31"/>
  <c r="C202" i="31"/>
  <c r="Q202" i="31"/>
  <c r="E202" i="31"/>
  <c r="C203" i="31"/>
  <c r="Q203" i="31"/>
  <c r="E203" i="31"/>
  <c r="C204" i="31"/>
  <c r="Q204" i="31"/>
  <c r="E204" i="31"/>
  <c r="C205" i="31"/>
  <c r="Q205" i="31"/>
  <c r="E205" i="31"/>
  <c r="C206" i="31"/>
  <c r="Q206" i="31"/>
  <c r="E206" i="31"/>
  <c r="C207" i="31"/>
  <c r="Q207" i="31"/>
  <c r="E207" i="31"/>
  <c r="C208" i="31"/>
  <c r="Q208" i="31"/>
  <c r="E208" i="31"/>
  <c r="C209" i="31"/>
  <c r="Q209" i="31"/>
  <c r="E209" i="31"/>
  <c r="C210" i="31"/>
  <c r="Q210" i="31"/>
  <c r="E210" i="31"/>
  <c r="C211" i="31"/>
  <c r="Q211" i="31"/>
  <c r="E211" i="31"/>
  <c r="C212" i="31"/>
  <c r="Q212" i="31"/>
  <c r="E212" i="31"/>
  <c r="C213" i="31"/>
  <c r="Q213" i="31"/>
  <c r="E213" i="31"/>
  <c r="C214" i="31"/>
  <c r="Q214" i="31"/>
  <c r="E214" i="31"/>
  <c r="C215" i="31"/>
  <c r="Q215" i="31"/>
  <c r="E215" i="31"/>
  <c r="C216" i="31"/>
  <c r="Q216" i="31"/>
  <c r="E216" i="31"/>
  <c r="C217" i="31"/>
  <c r="Q217" i="31"/>
  <c r="E217" i="31"/>
  <c r="C218" i="31"/>
  <c r="Q218" i="31"/>
  <c r="E218" i="31"/>
  <c r="C219" i="31"/>
  <c r="Q219" i="31"/>
  <c r="E219" i="31"/>
  <c r="C220" i="31"/>
  <c r="Q220" i="31"/>
  <c r="E220" i="31"/>
  <c r="C221" i="31"/>
  <c r="Q221" i="31"/>
  <c r="E221" i="31"/>
  <c r="C222" i="31"/>
  <c r="Q222" i="31"/>
  <c r="E222" i="31"/>
  <c r="C223" i="31"/>
  <c r="Q223" i="31"/>
  <c r="E223" i="31"/>
  <c r="C224" i="31"/>
  <c r="Q224" i="31"/>
  <c r="E224" i="31"/>
  <c r="C225" i="31"/>
  <c r="Q225" i="31"/>
  <c r="E225" i="31"/>
  <c r="C226" i="31"/>
  <c r="Q226" i="31"/>
  <c r="E226" i="31"/>
  <c r="C227" i="31"/>
  <c r="Q227" i="31"/>
  <c r="E227" i="31"/>
  <c r="C228" i="31"/>
  <c r="Q228" i="31"/>
  <c r="E228" i="31"/>
  <c r="C229" i="31"/>
  <c r="Q229" i="31"/>
  <c r="E229" i="31"/>
  <c r="C230" i="31"/>
  <c r="Q230" i="31"/>
  <c r="E230" i="31"/>
  <c r="C231" i="31"/>
  <c r="Q231" i="31"/>
  <c r="E231" i="31"/>
  <c r="C232" i="31"/>
  <c r="Q232" i="31"/>
  <c r="E232" i="31"/>
  <c r="C233" i="31"/>
  <c r="Q233" i="31"/>
  <c r="E233" i="31"/>
  <c r="C234" i="31"/>
  <c r="Q234" i="31"/>
  <c r="E234" i="31"/>
  <c r="C235" i="31"/>
  <c r="Q235" i="31"/>
  <c r="E235" i="31"/>
  <c r="C236" i="31"/>
  <c r="Q236" i="31"/>
  <c r="E236" i="31"/>
  <c r="C237" i="31"/>
  <c r="Q237" i="31"/>
  <c r="E237" i="31"/>
  <c r="C238" i="31"/>
  <c r="Q238" i="31"/>
  <c r="E238" i="31"/>
  <c r="C239" i="31"/>
  <c r="Q239" i="31"/>
  <c r="E239" i="31"/>
  <c r="C240" i="31"/>
  <c r="Q240" i="31"/>
  <c r="E240" i="31"/>
  <c r="C241" i="31"/>
  <c r="Q241" i="31"/>
  <c r="E241" i="31"/>
  <c r="C242" i="31"/>
  <c r="Q242" i="31"/>
  <c r="E242" i="31"/>
  <c r="C243" i="31"/>
  <c r="Q243" i="31"/>
  <c r="E243" i="31"/>
  <c r="C244" i="31"/>
  <c r="Q244" i="31"/>
  <c r="E244" i="31"/>
  <c r="C245" i="31"/>
  <c r="Q245" i="31"/>
  <c r="E245" i="31"/>
  <c r="C246" i="31"/>
  <c r="Q246" i="31"/>
  <c r="E246" i="31"/>
  <c r="C247" i="31"/>
  <c r="Q247" i="31"/>
  <c r="E247" i="31"/>
  <c r="C248" i="31"/>
  <c r="Q248" i="31"/>
  <c r="E248" i="31"/>
  <c r="C249" i="31"/>
  <c r="Q249" i="31"/>
  <c r="E249" i="31"/>
  <c r="C250" i="31"/>
  <c r="Q250" i="31"/>
  <c r="E250" i="31"/>
  <c r="C251" i="31"/>
  <c r="Q251" i="31"/>
  <c r="E251" i="31"/>
  <c r="C252" i="31"/>
  <c r="Q252" i="31"/>
  <c r="E252" i="31"/>
  <c r="C253" i="31"/>
  <c r="Q253" i="31"/>
  <c r="E253" i="31"/>
  <c r="C254" i="31"/>
  <c r="Q254" i="31"/>
  <c r="E254" i="31"/>
  <c r="C255" i="31"/>
  <c r="Q255" i="31"/>
  <c r="E255" i="31"/>
  <c r="C256" i="31"/>
  <c r="Q256" i="31"/>
  <c r="E256" i="31"/>
  <c r="C257" i="31"/>
  <c r="Q257" i="31"/>
  <c r="E257" i="31"/>
  <c r="C258" i="31"/>
  <c r="Q258" i="31"/>
  <c r="E258" i="31"/>
  <c r="C259" i="31"/>
  <c r="Q259" i="31"/>
  <c r="E259" i="31"/>
  <c r="C260" i="31"/>
  <c r="Q260" i="31"/>
  <c r="E260" i="31"/>
  <c r="C261" i="31"/>
  <c r="Q261" i="31"/>
  <c r="E261" i="31"/>
  <c r="C262" i="31"/>
  <c r="Q262" i="31"/>
  <c r="E262" i="31"/>
  <c r="C263" i="31"/>
  <c r="Q263" i="31"/>
  <c r="E263" i="31"/>
  <c r="C264" i="31"/>
  <c r="Q264" i="31"/>
  <c r="E264" i="31"/>
  <c r="C265" i="31"/>
  <c r="Q265" i="31"/>
  <c r="E265" i="31"/>
  <c r="C266" i="31"/>
  <c r="Q266" i="31"/>
  <c r="E266" i="31"/>
  <c r="C267" i="31"/>
  <c r="Q267" i="31"/>
  <c r="E267" i="31"/>
  <c r="C268" i="31"/>
  <c r="Q268" i="31"/>
  <c r="E268" i="31"/>
  <c r="C269" i="31"/>
  <c r="Q269" i="31"/>
  <c r="E269" i="31"/>
  <c r="C270" i="31"/>
  <c r="Q270" i="31"/>
  <c r="E270" i="31"/>
  <c r="C271" i="31"/>
  <c r="Q271" i="31"/>
  <c r="E271" i="31"/>
  <c r="C272" i="31"/>
  <c r="Q272" i="31"/>
  <c r="E272" i="31"/>
  <c r="C273" i="31"/>
  <c r="Q273" i="31"/>
  <c r="E273" i="31"/>
  <c r="C274" i="31"/>
  <c r="Q274" i="31"/>
  <c r="E274" i="31"/>
  <c r="C275" i="31"/>
  <c r="Q275" i="31"/>
  <c r="E275" i="31"/>
  <c r="C276" i="31"/>
  <c r="Q276" i="31"/>
  <c r="E276" i="31"/>
  <c r="C277" i="31"/>
  <c r="Q277" i="31"/>
  <c r="E277" i="31"/>
  <c r="C278" i="31"/>
  <c r="Q278" i="31"/>
  <c r="E278" i="31"/>
  <c r="C279" i="31"/>
  <c r="Q279" i="31"/>
  <c r="E279" i="31"/>
  <c r="C280" i="31"/>
  <c r="Q280" i="31"/>
  <c r="E280" i="31"/>
  <c r="C281" i="31"/>
  <c r="Q281" i="31"/>
  <c r="E281" i="31"/>
  <c r="C282" i="31"/>
  <c r="Q282" i="31"/>
  <c r="E282" i="31"/>
  <c r="C283" i="31"/>
  <c r="Q283" i="31"/>
  <c r="E283" i="31"/>
  <c r="C284" i="31"/>
  <c r="Q284" i="31"/>
  <c r="E284" i="31"/>
  <c r="C285" i="31"/>
  <c r="Q285" i="31"/>
  <c r="E285" i="31"/>
  <c r="C286" i="31"/>
  <c r="Q286" i="31"/>
  <c r="E286" i="31"/>
  <c r="C287" i="31"/>
  <c r="Q287" i="31"/>
  <c r="E287" i="31"/>
  <c r="C288" i="31"/>
  <c r="Q288" i="31"/>
  <c r="E288" i="31"/>
  <c r="C289" i="31"/>
  <c r="Q289" i="31"/>
  <c r="E289" i="31"/>
  <c r="C290" i="31"/>
  <c r="Q290" i="31"/>
  <c r="E290" i="31"/>
  <c r="C291" i="31"/>
  <c r="Q291" i="31"/>
  <c r="E291" i="31"/>
  <c r="C292" i="31"/>
  <c r="Q292" i="31"/>
  <c r="E292" i="31"/>
  <c r="C293" i="31"/>
  <c r="Q293" i="31"/>
  <c r="E293" i="31"/>
  <c r="C294" i="31"/>
  <c r="Q294" i="31"/>
  <c r="E294" i="31"/>
  <c r="C295" i="31"/>
  <c r="Q295" i="31"/>
  <c r="E295" i="31"/>
  <c r="C296" i="31"/>
  <c r="Q296" i="31"/>
  <c r="E296" i="31"/>
  <c r="C297" i="31"/>
  <c r="Q297" i="31"/>
  <c r="E297" i="31"/>
  <c r="C298" i="31"/>
  <c r="Q298" i="31"/>
  <c r="E298" i="31"/>
  <c r="C299" i="31"/>
  <c r="Q299" i="31"/>
  <c r="E299" i="31"/>
  <c r="C300" i="31"/>
  <c r="Q300" i="31"/>
  <c r="E300" i="31"/>
  <c r="C301" i="31"/>
  <c r="Q301" i="31"/>
  <c r="E301" i="31"/>
  <c r="C302" i="31"/>
  <c r="Q302" i="31"/>
  <c r="E302" i="31"/>
  <c r="C303" i="31"/>
  <c r="Q303" i="31"/>
  <c r="E303" i="31"/>
  <c r="C304" i="31"/>
  <c r="Q304" i="31"/>
  <c r="E304" i="31"/>
  <c r="C305" i="31"/>
  <c r="Q305" i="31"/>
  <c r="E305" i="31"/>
  <c r="C306" i="31"/>
  <c r="Q306" i="31"/>
  <c r="E306" i="31"/>
  <c r="C307" i="31"/>
  <c r="Q307" i="31"/>
  <c r="E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O10" i="1"/>
  <c r="D78" i="9"/>
  <c r="F23" i="15"/>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F29"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O6" i="1"/>
  <c r="P6" i="1"/>
  <c r="F30" i="11"/>
  <c r="C48" i="11"/>
  <c r="F31" i="12"/>
  <c r="F52" i="9"/>
  <c r="C31" i="12"/>
  <c r="M18" i="67"/>
  <c r="F60" i="67"/>
  <c r="F32" i="15"/>
  <c r="F60" i="15"/>
  <c r="M18" i="15"/>
  <c r="F28" i="15"/>
  <c r="E63" i="39"/>
  <c r="T11" i="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O7" i="1"/>
  <c r="H16" i="1"/>
  <c r="K16" i="1"/>
  <c r="AB45" i="21"/>
  <c r="AC33" i="21"/>
  <c r="W33" i="21"/>
  <c r="S33" i="21"/>
  <c r="AA33" i="21"/>
  <c r="W32" i="21"/>
  <c r="AC32" i="21"/>
  <c r="AB9" i="21"/>
  <c r="U9" i="21"/>
  <c r="AA32" i="21"/>
  <c r="S32" i="21"/>
  <c r="W9" i="21"/>
  <c r="AC9" i="21"/>
  <c r="AB32" i="21"/>
  <c r="U32" i="21"/>
  <c r="AA10" i="21"/>
  <c r="S10" i="21"/>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F24" i="15"/>
  <c r="C24" i="15"/>
  <c r="F22" i="11"/>
  <c r="F25" i="12"/>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38" i="15"/>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F35" i="15"/>
  <c r="I5" i="6"/>
  <c r="C49" i="21"/>
  <c r="F63" i="67"/>
  <c r="C62" i="67"/>
  <c r="J20" i="67"/>
  <c r="J20" i="15"/>
  <c r="F63" i="15"/>
  <c r="C62" i="15"/>
  <c r="C34" i="15"/>
  <c r="R16" i="1"/>
  <c r="C22" i="12"/>
  <c r="C30" i="12"/>
  <c r="C28" i="12"/>
  <c r="I63" i="40"/>
  <c r="H65" i="40"/>
  <c r="C39" i="11"/>
  <c r="C43" i="11"/>
  <c r="C41" i="11"/>
  <c r="C27" i="12"/>
  <c r="C25" i="12"/>
  <c r="C32" i="12"/>
  <c r="B2" i="12"/>
  <c r="B3" i="12"/>
  <c r="J63" i="40"/>
  <c r="I65" i="40"/>
  <c r="C46" i="11"/>
  <c r="C45" i="11"/>
  <c r="C49" i="11"/>
  <c r="C51" i="11"/>
  <c r="C52" i="11"/>
  <c r="B2" i="11"/>
  <c r="B3" i="11"/>
  <c r="K63" i="40"/>
  <c r="J65" i="40"/>
  <c r="C56" i="11"/>
  <c r="C57" i="11"/>
  <c r="C57" i="68"/>
  <c r="C56" i="68"/>
  <c r="L63" i="40"/>
  <c r="K65" i="40"/>
  <c r="E2" i="70"/>
  <c r="M63" i="40"/>
  <c r="L65" i="40"/>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D2" i="37"/>
  <c r="D2" i="36"/>
  <c r="D2" i="21"/>
  <c r="F20" i="31"/>
  <c r="D2" i="34"/>
  <c r="D2" i="33"/>
  <c r="E2" i="68"/>
  <c r="D2" i="35"/>
  <c r="B2" i="36"/>
  <c r="B3" i="36"/>
  <c r="B2" i="35"/>
  <c r="B3" i="35"/>
  <c r="B2" i="37"/>
  <c r="B3" i="37"/>
  <c r="B2" i="34"/>
  <c r="B3" i="34"/>
  <c r="B2" i="21"/>
  <c r="B3" i="21"/>
  <c r="B2" i="70"/>
  <c r="B3" i="70"/>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C6" i="69"/>
  <c r="C7" i="69"/>
  <c r="R213" i="31"/>
  <c r="S213" i="31"/>
  <c r="B21" i="31"/>
  <c r="H10" i="40"/>
  <c r="U10" i="40"/>
  <c r="AB10" i="40"/>
  <c r="S10" i="39"/>
  <c r="J10" i="40"/>
  <c r="W10" i="40"/>
  <c r="F10" i="40"/>
  <c r="AA10" i="40"/>
  <c r="AC10" i="40"/>
  <c r="S10" i="40"/>
  <c r="W10" i="39"/>
  <c r="U10" i="39"/>
  <c r="B20" i="31"/>
  <c r="C102" i="9"/>
  <c r="C21" i="9"/>
  <c r="D22" i="9"/>
  <c r="C103" i="9"/>
  <c r="G21" i="9"/>
  <c r="C57" i="69"/>
  <c r="C56" i="69"/>
  <c r="D34"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D45" i="9"/>
  <c r="D55" i="9"/>
  <c r="M53" i="9"/>
  <c r="C85" i="9"/>
  <c r="C93" i="9"/>
  <c r="C86" i="9"/>
  <c r="C95" i="9"/>
  <c r="C96" i="9"/>
  <c r="C97" i="9"/>
  <c r="D58" i="9"/>
  <c r="D56" i="9"/>
  <c r="M54" i="9"/>
  <c r="N57" i="9"/>
  <c r="N59" i="9"/>
  <c r="N61" i="9"/>
  <c r="D35" i="9"/>
  <c r="C35" i="9"/>
  <c r="F118" i="9"/>
  <c r="G118" i="9"/>
  <c r="G4" i="52"/>
  <c r="B52" i="72"/>
  <c r="C34" i="9"/>
  <c r="D118" i="9"/>
  <c r="D119" i="9"/>
  <c r="D5" i="52"/>
  <c r="B49" i="72"/>
  <c r="C104" i="9"/>
  <c r="M48" i="9"/>
  <c r="I118" i="9"/>
  <c r="C105" i="9"/>
  <c r="H119" i="9"/>
  <c r="H5" i="52"/>
  <c r="F4" i="52"/>
  <c r="B51" i="72"/>
  <c r="F119" i="9"/>
  <c r="F5" i="52"/>
  <c r="B53" i="72"/>
  <c r="H4" i="52"/>
  <c r="D4" i="52"/>
  <c r="B47" i="72"/>
  <c r="D53" i="9"/>
  <c r="I4" i="52"/>
  <c r="D5" i="53"/>
  <c r="B20" i="72"/>
  <c r="H102" i="9"/>
  <c r="D7" i="53"/>
  <c r="B21" i="72"/>
  <c r="E118" i="9"/>
  <c r="E4" i="52"/>
  <c r="B48" i="72"/>
  <c r="H108" i="9"/>
  <c r="D15" i="53"/>
  <c r="B31" i="72"/>
  <c r="E14" i="74"/>
  <c r="F14" i="74"/>
  <c r="D52" i="9"/>
  <c r="D6" i="53"/>
  <c r="B22" i="72"/>
  <c r="B5" i="74"/>
  <c r="D5" i="74"/>
  <c r="C5" i="74"/>
  <c r="D13" i="53"/>
  <c r="D14" i="53"/>
  <c r="B32" i="72"/>
  <c r="B30" i="72"/>
  <c r="D123" i="9"/>
  <c r="D9" i="52"/>
  <c r="D8" i="52"/>
  <c r="C64" i="9"/>
  <c r="C63" i="9"/>
  <c r="C67" i="9"/>
  <c r="C68" i="9"/>
  <c r="D54" i="9"/>
  <c r="C72" i="9"/>
  <c r="C78" i="9"/>
  <c r="C73" i="9"/>
  <c r="C79" i="9"/>
  <c r="C80" i="9"/>
  <c r="C81" i="9"/>
  <c r="B6" i="74"/>
  <c r="D6" i="74"/>
  <c r="C6" i="74"/>
  <c r="E96" i="9"/>
  <c r="E97" i="9"/>
  <c r="E80" i="9"/>
  <c r="E81" i="9"/>
  <c r="P57" i="9"/>
  <c r="N58" i="9"/>
  <c r="N60" i="9"/>
  <c r="B56" i="39"/>
  <c r="F56" i="39"/>
  <c r="B57" i="39"/>
  <c r="F57" i="39"/>
  <c r="B58" i="39"/>
  <c r="F58" i="39"/>
  <c r="B59" i="39"/>
  <c r="F59" i="39"/>
  <c r="B60" i="39"/>
  <c r="F60" i="39"/>
  <c r="B61" i="39"/>
  <c r="F61" i="39"/>
  <c r="B62" i="39"/>
  <c r="F62" i="39"/>
  <c r="B63" i="39"/>
  <c r="F63" i="39"/>
  <c r="B64" i="39"/>
  <c r="F64" i="39"/>
  <c r="B65" i="39"/>
  <c r="F65" i="39"/>
  <c r="F66" i="39"/>
  <c r="B2" i="39"/>
  <c r="B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<sst xmlns="http://schemas.openxmlformats.org/spreadsheetml/2006/main" count="8453" uniqueCount="3802">
  <si>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</si>
  <si>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</si>
  <si>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</si>
  <si>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</si>
  <si>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</si>
  <si>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</si>
  <si>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</si>
  <si>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</si>
  <si>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</si>
  <si>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</si>
  <si>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</si>
  <si>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</si>
  <si>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</si>
  <si>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</si>
  <si>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</si>
  <si>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</si>
  <si>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</si>
  <si>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</si>
  <si>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</si>
  <si>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</si>
  <si>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</si>
  <si>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</si>
  <si>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</si>
  <si>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</si>
  <si>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</si>
  <si>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</si>
  <si>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</si>
  <si>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</si>
  <si>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</si>
  <si>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</si>
  <si>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</si>
  <si>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</si>
  <si>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</si>
  <si>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</si>
  <si>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</si>
  <si>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</si>
  <si>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</si>
  <si>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</si>
  <si>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</si>
  <si>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</si>
  <si>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</si>
  <si>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</si>
  <si>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</si>
  <si>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</si>
  <si>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</si>
  <si>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</si>
  <si>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</si>
  <si>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</si>
  <si>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</si>
  <si>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</si>
  <si>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</si>
  <si>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</si>
  <si>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</si>
  <si>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</si>
  <si>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</si>
  <si>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</si>
  <si>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</si>
  <si>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</si>
  <si>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</si>
  <si>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</si>
  <si>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</si>
  <si>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</si>
  <si>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</si>
  <si>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</si>
  <si>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</si>
  <si>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</si>
  <si>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</si>
  <si>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</si>
  <si>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</si>
  <si>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</si>
  <si>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</si>
  <si>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</si>
  <si>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</si>
  <si>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</si>
  <si>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</si>
  <si>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</si>
  <si>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</si>
  <si>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</si>
  <si>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</si>
  <si>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</si>
  <si>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</si>
  <si>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</si>
  <si>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</si>
  <si>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</si>
  <si>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</si>
  <si>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</si>
  <si>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</si>
  <si>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</si>
  <si>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</si>
  <si>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</si>
  <si>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</si>
  <si>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</si>
  <si>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</si>
  <si>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</si>
  <si>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</si>
  <si>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</si>
  <si>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</si>
  <si>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</si>
  <si>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</si>
  <si>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</si>
  <si>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</si>
  <si>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</si>
  <si>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</si>
  <si>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</si>
  <si>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</si>
  <si>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</si>
  <si>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</si>
  <si>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</si>
  <si>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</si>
  <si>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</si>
  <si>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</si>
  <si>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</si>
  <si>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</si>
  <si>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</si>
  <si>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</si>
  <si>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</si>
  <si>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</si>
  <si>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</si>
  <si>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</si>
  <si>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</si>
  <si>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</si>
  <si>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</si>
  <si>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</si>
  <si>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</si>
  <si>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</si>
  <si>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</si>
  <si>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</si>
  <si>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</si>
  <si>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</si>
  <si>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</si>
  <si>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</si>
  <si>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</si>
  <si>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</si>
  <si>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</si>
  <si>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</si>
  <si>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</si>
  <si>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</si>
  <si>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</si>
  <si>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</si>
  <si>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</si>
  <si>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</si>
  <si>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</si>
  <si>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</si>
  <si>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</si>
  <si>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</si>
  <si>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</si>
  <si>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</si>
  <si>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</si>
  <si>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</si>
  <si>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</si>
  <si>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</si>
  <si>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</si>
  <si>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</si>
  <si>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</si>
  <si>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</si>
  <si>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</si>
  <si>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</si>
  <si>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</si>
  <si>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</si>
  <si>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</si>
  <si>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</si>
  <si>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</si>
  <si>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</si>
  <si>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</si>
  <si>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</si>
  <si>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</si>
  <si>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</si>
  <si>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</si>
  <si>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</si>
  <si>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</si>
  <si>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</si>
  <si>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</si>
  <si>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</si>
  <si>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</si>
  <si>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</si>
  <si>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</si>
  <si>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</si>
  <si>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</si>
  <si>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</si>
  <si>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</si>
  <si>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</si>
  <si>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</si>
  <si>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</si>
  <si>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</si>
  <si>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</si>
  <si>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</si>
  <si>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</si>
  <si>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</si>
  <si>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</si>
  <si>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</si>
  <si>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</si>
  <si>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</si>
  <si>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</si>
  <si>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</si>
  <si>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</si>
  <si>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</si>
  <si>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</si>
  <si>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</si>
  <si>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</si>
  <si>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</si>
  <si>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</si>
  <si>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</si>
  <si>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</si>
  <si>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</si>
  <si>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</si>
  <si>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</si>
  <si>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</si>
  <si>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</si>
  <si>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</si>
  <si>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</si>
  <si>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</si>
  <si>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</si>
  <si>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</si>
  <si>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</si>
  <si>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</si>
  <si>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</si>
  <si>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</si>
  <si>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</si>
  <si>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</si>
  <si>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</si>
  <si>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</si>
  <si>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</si>
  <si>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</si>
  <si>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</si>
  <si>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</si>
  <si>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</si>
  <si>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</si>
  <si>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</si>
  <si>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</si>
  <si>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</si>
  <si>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</si>
  <si>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</si>
  <si>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</si>
  <si>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</si>
  <si>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</si>
  <si>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</si>
  <si>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</si>
  <si>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</si>
  <si>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</si>
  <si>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</si>
  <si>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</si>
  <si>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</si>
  <si>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</si>
  <si>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</si>
  <si>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</si>
  <si>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</si>
  <si>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</si>
  <si>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</si>
  <si>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</si>
  <si>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</si>
  <si>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</si>
  <si>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</si>
  <si>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</si>
  <si>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</si>
  <si>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</si>
  <si>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</si>
  <si>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</si>
  <si>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</si>
  <si>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</si>
  <si>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</si>
  <si>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</si>
  <si>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</si>
  <si>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</si>
  <si>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</si>
  <si>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</si>
  <si>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</si>
  <si>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</si>
  <si>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</si>
  <si>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</si>
  <si>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</si>
  <si>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</si>
  <si>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</si>
  <si>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</si>
  <si>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</si>
  <si>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</si>
  <si>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</si>
  <si>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</si>
  <si>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</si>
  <si>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</si>
  <si>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</si>
  <si>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</si>
  <si>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</si>
  <si>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</si>
  <si>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</si>
  <si>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</si>
  <si>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</si>
  <si>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</si>
  <si>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</si>
  <si>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</si>
  <si>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</si>
  <si>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</si>
  <si>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</si>
  <si>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</si>
  <si>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</si>
  <si>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</si>
  <si>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</si>
  <si>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</si>
  <si>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</si>
  <si>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</si>
  <si>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</si>
  <si>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</si>
  <si>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</si>
  <si>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</si>
  <si>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</si>
  <si>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</si>
  <si>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</si>
  <si>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</si>
  <si>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</si>
  <si>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</si>
  <si>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</si>
  <si>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</si>
  <si>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</si>
  <si>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</si>
  <si>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</si>
  <si>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</si>
  <si>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</si>
  <si>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</si>
  <si>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</si>
  <si>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</si>
  <si>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</si>
  <si>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</si>
  <si>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</si>
  <si>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</si>
  <si>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</si>
  <si>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</si>
  <si>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</si>
  <si>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</si>
  <si>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</si>
  <si>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</si>
  <si>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</si>
  <si>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</si>
  <si>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</si>
  <si>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</si>
  <si>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</si>
  <si>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</si>
  <si>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</si>
  <si>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</si>
  <si>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</si>
  <si>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</si>
  <si>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</si>
  <si>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</si>
  <si>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</si>
  <si>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</si>
  <si>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</si>
  <si>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</si>
  <si>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</si>
  <si>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</si>
  <si>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</si>
  <si>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</si>
  <si>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</si>
  <si>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</si>
  <si>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</si>
  <si>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</si>
  <si>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</si>
  <si>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</si>
  <si>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</si>
  <si>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</si>
  <si>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</si>
  <si>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</si>
  <si>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</si>
  <si>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</si>
  <si>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</si>
  <si>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</si>
  <si>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</si>
  <si>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</si>
  <si>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</si>
  <si>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</si>
  <si>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</si>
  <si>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</si>
  <si>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</si>
  <si>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</si>
  <si>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</si>
  <si>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</si>
  <si>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</si>
  <si>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</si>
  <si>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</si>
  <si>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</si>
  <si>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</si>
  <si>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</si>
  <si>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</si>
  <si>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</si>
  <si>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</si>
  <si>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</si>
  <si>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</si>
  <si>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</si>
  <si>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</si>
  <si>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</si>
  <si>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</si>
  <si>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</si>
  <si>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</si>
  <si>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</si>
  <si>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</si>
  <si>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</si>
  <si>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</si>
  <si>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</si>
  <si>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</si>
  <si>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</si>
  <si>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</si>
  <si>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</si>
  <si>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</si>
  <si>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</si>
  <si>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</si>
  <si>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</si>
  <si>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</si>
  <si>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</si>
  <si>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</si>
  <si>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</si>
  <si>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</si>
  <si>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</si>
  <si>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</si>
  <si>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</si>
  <si>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</si>
  <si>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</si>
  <si>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</si>
  <si>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</si>
  <si>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</si>
  <si>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</si>
  <si>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</si>
  <si>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</si>
  <si>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</si>
  <si>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</si>
  <si>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</si>
  <si>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</si>
  <si>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</si>
  <si>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</si>
  <si>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</si>
  <si>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</si>
  <si>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</si>
  <si>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</si>
  <si>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</si>
  <si>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</si>
  <si>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</si>
  <si>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</si>
  <si>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</si>
  <si>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</si>
  <si>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</si>
  <si>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</si>
  <si>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</si>
  <si>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</si>
  <si>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</si>
  <si>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</si>
  <si>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</si>
  <si>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</si>
  <si>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</si>
  <si>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</si>
  <si>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</si>
  <si>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</si>
  <si>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</si>
  <si>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</si>
  <si>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</si>
  <si>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</si>
  <si>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</si>
  <si>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</si>
  <si>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</si>
  <si>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</si>
  <si>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</si>
  <si>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</si>
  <si>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</si>
  <si>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</si>
  <si>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</si>
  <si>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</si>
  <si>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</si>
  <si>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</si>
  <si>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</si>
  <si>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</si>
  <si>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</si>
  <si>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</si>
  <si>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</si>
  <si>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</si>
  <si>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</si>
  <si>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</si>
  <si>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</si>
  <si>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</si>
  <si>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</si>
  <si>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</si>
  <si>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</si>
  <si>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</si>
  <si>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</si>
  <si>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</si>
  <si>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</si>
  <si>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</si>
  <si>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</si>
  <si>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</si>
  <si>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</si>
  <si>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</si>
  <si>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</si>
  <si>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</si>
  <si>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</si>
  <si>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</si>
  <si>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</si>
  <si>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</si>
  <si>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</si>
  <si>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</si>
  <si>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</si>
  <si>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</si>
  <si>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</si>
  <si>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</si>
  <si>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</si>
  <si>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</si>
  <si>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</si>
  <si>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</si>
  <si>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</si>
  <si>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</si>
  <si>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</si>
  <si>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</si>
  <si>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</si>
  <si>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</si>
  <si>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</si>
  <si>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</si>
  <si>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</si>
  <si>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</si>
  <si>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</si>
  <si>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</si>
  <si>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</si>
  <si>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</si>
  <si>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</si>
  <si>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</si>
  <si>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</si>
  <si>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</si>
  <si>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</si>
  <si>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</si>
  <si>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</si>
  <si>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</si>
  <si>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</si>
  <si>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</si>
  <si>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</si>
  <si>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</si>
  <si>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</si>
  <si>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</si>
  <si>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</si>
  <si>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</si>
  <si>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</si>
  <si>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</si>
  <si>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</si>
  <si>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</si>
  <si>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</si>
  <si>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</si>
  <si>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</si>
  <si>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</si>
  <si>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</si>
  <si>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</si>
  <si>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</si>
  <si>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</si>
  <si>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</si>
  <si>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</si>
  <si>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</si>
  <si>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</si>
  <si>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</si>
  <si>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</si>
  <si>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</si>
  <si>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</si>
  <si>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</si>
  <si>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</si>
  <si>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</si>
  <si>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</si>
  <si>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</si>
  <si>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</si>
  <si>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</si>
  <si>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</si>
  <si>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</si>
  <si>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</si>
  <si>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</si>
  <si>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</si>
  <si>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</si>
  <si>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</si>
  <si>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</si>
  <si>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</si>
  <si>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</si>
  <si>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</si>
  <si>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</si>
  <si>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</si>
  <si>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</si>
  <si>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</si>
  <si>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</si>
  <si>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</si>
  <si>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</si>
  <si>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</si>
  <si>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</si>
  <si>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</si>
  <si>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</si>
  <si>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</si>
  <si>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</si>
  <si>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</si>
  <si>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</si>
  <si>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</si>
  <si>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</si>
  <si>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</si>
  <si>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</si>
  <si>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</si>
  <si>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</si>
  <si>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</si>
  <si>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</si>
  <si>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</si>
  <si>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</si>
  <si>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</si>
  <si>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</si>
  <si>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</si>
  <si>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</si>
  <si>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</si>
  <si>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</si>
  <si>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</si>
  <si>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</si>
  <si>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</si>
  <si>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</si>
  <si>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</si>
  <si>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</si>
  <si>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</si>
  <si>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</si>
  <si>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</si>
  <si>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</si>
  <si>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</si>
  <si>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</si>
  <si>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</si>
  <si>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</si>
  <si>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</si>
  <si>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</si>
  <si>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</si>
  <si>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</si>
  <si>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</si>
  <si>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</si>
  <si>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</si>
  <si>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</si>
  <si>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</si>
  <si>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</si>
  <si>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</si>
  <si>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</si>
  <si>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</si>
  <si>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</si>
  <si>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</si>
  <si>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</si>
  <si>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</si>
  <si>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</si>
  <si>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</si>
  <si>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</si>
  <si>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</si>
  <si>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</si>
  <si>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</si>
  <si>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</si>
  <si>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</si>
  <si>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</si>
  <si>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</si>
  <si>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</si>
  <si>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</si>
  <si>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</si>
  <si>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</si>
  <si>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</si>
  <si>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</si>
  <si>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</si>
  <si>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</si>
  <si>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</si>
  <si>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</si>
  <si>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</si>
  <si>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</si>
  <si>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</si>
  <si>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</si>
  <si>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</si>
  <si>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</si>
  <si>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</si>
  <si>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</si>
  <si>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</si>
  <si>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</si>
  <si>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</si>
  <si>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</si>
  <si>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</si>
  <si>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</si>
  <si>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</si>
  <si>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</si>
  <si>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</si>
  <si>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</si>
  <si>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</si>
  <si>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</si>
  <si>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</si>
  <si>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</si>
  <si>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</si>
  <si>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</si>
  <si>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</si>
  <si>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</si>
  <si>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</si>
  <si>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</si>
  <si>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</si>
  <si>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</si>
  <si>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</si>
  <si>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</si>
  <si>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</si>
  <si>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</si>
  <si>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</si>
  <si>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</si>
  <si>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</si>
  <si>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</si>
  <si>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</si>
  <si>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</si>
  <si>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</si>
  <si>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</si>
  <si>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</si>
  <si>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</si>
  <si>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</si>
  <si>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</si>
  <si>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</si>
  <si>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</si>
  <si>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</si>
  <si>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</si>
  <si>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</si>
  <si>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</si>
  <si>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</si>
  <si>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</si>
  <si>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</si>
  <si>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</si>
  <si>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</si>
  <si>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</si>
  <si>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</si>
  <si>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</si>
  <si>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</si>
  <si>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</si>
  <si>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</si>
  <si>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</si>
  <si>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</si>
  <si>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</si>
  <si>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</si>
  <si>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</si>
  <si>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</si>
  <si>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</si>
  <si>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</si>
  <si>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</si>
  <si>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</si>
  <si>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</si>
  <si>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</si>
  <si>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</si>
  <si>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</si>
  <si>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</si>
  <si>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</si>
  <si>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</si>
  <si>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</si>
  <si>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</si>
  <si>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</si>
  <si>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</si>
  <si>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</si>
  <si>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</si>
  <si>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</si>
  <si>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</si>
  <si>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</si>
  <si>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</si>
  <si>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</si>
  <si>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</si>
  <si>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</si>
  <si>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</si>
  <si>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</si>
  <si>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</si>
  <si>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</si>
  <si>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</si>
  <si>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</si>
  <si>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</si>
  <si>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</si>
  <si>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</si>
  <si>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</si>
  <si>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</si>
  <si>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</si>
  <si>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</si>
  <si>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</si>
  <si>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</si>
  <si>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</si>
  <si>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</si>
  <si>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</si>
  <si>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</si>
  <si>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</si>
  <si>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</si>
  <si>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</si>
  <si>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</si>
  <si>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</si>
  <si>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</si>
  <si>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</si>
  <si>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</si>
  <si>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</si>
  <si>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</si>
  <si>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</si>
  <si>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</si>
  <si>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</si>
  <si>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</si>
  <si>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</si>
  <si>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</si>
  <si>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</si>
  <si>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</si>
  <si>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</si>
  <si>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</si>
  <si>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</si>
  <si>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</si>
  <si>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</si>
  <si>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</si>
  <si>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</si>
  <si>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</si>
  <si>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</si>
  <si>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</si>
  <si>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</si>
  <si>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</si>
  <si>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</si>
  <si>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</si>
  <si>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</si>
  <si>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</si>
  <si>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</si>
  <si>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</si>
  <si>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</si>
  <si>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</si>
  <si>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</si>
  <si>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</si>
  <si>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</si>
  <si>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</si>
  <si>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</si>
  <si>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</si>
  <si>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</si>
  <si>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</si>
  <si>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</si>
  <si>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</si>
  <si>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</si>
  <si>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</si>
  <si>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</si>
  <si>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</si>
  <si>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</si>
  <si>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</si>
  <si>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</si>
  <si>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</si>
  <si>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</si>
  <si>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</si>
  <si>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</si>
  <si>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</si>
  <si>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</si>
  <si>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</si>
  <si>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</si>
  <si>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</si>
  <si>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</si>
  <si>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</si>
  <si>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</si>
  <si>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</si>
  <si>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</si>
  <si>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</si>
  <si>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</si>
  <si>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</si>
  <si>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</si>
  <si>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</si>
  <si>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</si>
  <si>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</si>
  <si>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</si>
  <si>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</si>
  <si>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</si>
  <si>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</si>
  <si>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</si>
  <si>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</si>
  <si>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</si>
  <si>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</si>
  <si>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</si>
  <si>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</si>
  <si>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</si>
  <si>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</si>
  <si>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</si>
  <si>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</si>
  <si>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</si>
  <si>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</si>
  <si>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</si>
  <si>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</si>
  <si>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</si>
  <si>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</si>
  <si>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</si>
  <si>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</si>
  <si>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</si>
  <si>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</si>
  <si>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</si>
  <si>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</si>
  <si>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</si>
  <si>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</si>
  <si>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</si>
  <si>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</si>
  <si>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</si>
  <si>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</si>
  <si>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</si>
  <si>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</si>
  <si>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</si>
  <si>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</si>
  <si>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</si>
  <si>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</si>
  <si>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</si>
  <si>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</si>
  <si>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</si>
  <si>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</si>
  <si>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</si>
  <si>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</si>
  <si>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</si>
  <si>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</si>
  <si>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</si>
  <si>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</si>
  <si>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</si>
  <si>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</si>
  <si>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</si>
  <si>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</si>
  <si>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</si>
  <si>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</si>
  <si>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</si>
  <si>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</si>
  <si>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</si>
  <si>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</si>
  <si>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</si>
  <si>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</si>
  <si>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</si>
  <si>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</si>
  <si>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</si>
  <si>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</si>
  <si>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</si>
  <si>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</si>
  <si>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</si>
  <si>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</si>
  <si>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</si>
  <si>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</si>
  <si>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</si>
  <si>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</si>
  <si>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</si>
  <si>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</si>
  <si>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</si>
  <si>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</si>
  <si>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</si>
  <si>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</si>
  <si>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</si>
  <si>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</si>
  <si>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</si>
  <si>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</si>
  <si>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</si>
  <si>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</si>
  <si>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</si>
  <si>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</si>
  <si>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</si>
  <si>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</si>
  <si>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</si>
  <si>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</si>
  <si>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</si>
  <si>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</si>
  <si>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</si>
  <si>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</si>
  <si>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</si>
  <si>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</si>
  <si>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</si>
  <si>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</si>
  <si>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</si>
  <si>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</si>
  <si>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</si>
  <si>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</si>
  <si>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</si>
  <si>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</si>
  <si>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</si>
  <si>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</si>
  <si>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</si>
  <si>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</si>
  <si>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</si>
  <si>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</si>
  <si>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</si>
  <si>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</si>
  <si>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</si>
  <si>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</si>
  <si>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</si>
  <si>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</si>
  <si>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</si>
  <si>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</si>
  <si>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</si>
  <si>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</si>
  <si>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</si>
  <si>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</si>
  <si>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</si>
  <si>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</si>
  <si>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</si>
  <si>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</si>
  <si>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</si>
  <si>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</si>
  <si>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</si>
  <si>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</si>
  <si>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</si>
  <si>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</si>
  <si>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</si>
  <si>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</si>
  <si>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</si>
  <si>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</si>
  <si>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</si>
  <si>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</si>
  <si>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</si>
  <si>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</si>
  <si>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</si>
  <si>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</si>
  <si>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</si>
  <si>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</si>
  <si>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</si>
  <si>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</si>
  <si>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</si>
  <si>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</si>
  <si>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</si>
  <si>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</si>
  <si>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</si>
  <si>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</si>
  <si>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</si>
  <si>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</si>
  <si>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</si>
  <si>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</si>
  <si>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</si>
  <si>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</si>
  <si>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</si>
  <si>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</si>
  <si>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</si>
  <si>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</si>
  <si>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</si>
  <si>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</si>
  <si>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</si>
  <si>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</si>
  <si>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</si>
  <si>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</si>
  <si>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</si>
  <si>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</si>
  <si>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</si>
  <si>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</si>
  <si>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</si>
  <si>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</si>
  <si>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</si>
  <si>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</si>
  <si>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</si>
  <si>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</si>
  <si>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</si>
  <si>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</si>
  <si>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</si>
  <si>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</si>
  <si>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</si>
  <si>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</si>
  <si>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</si>
  <si>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</si>
  <si>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</si>
  <si>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</si>
  <si>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</si>
  <si>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</si>
  <si>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</si>
  <si>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</si>
  <si>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</si>
  <si>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</si>
  <si>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</si>
  <si>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</si>
  <si>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</si>
  <si>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</si>
  <si>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</si>
  <si>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</si>
  <si>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</si>
  <si>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</si>
  <si>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</si>
  <si>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</si>
  <si>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</si>
  <si>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</si>
  <si>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</si>
  <si>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</si>
  <si>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</si>
  <si>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</si>
  <si>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</si>
  <si>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</si>
  <si>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</si>
  <si>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</si>
  <si>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</si>
  <si>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</si>
  <si>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</si>
  <si>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</si>
  <si>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</si>
  <si>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</si>
  <si>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</si>
  <si>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</si>
  <si>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</si>
  <si>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</si>
  <si>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</si>
  <si>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</si>
  <si>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</si>
  <si>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</si>
  <si>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</si>
  <si>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</si>
  <si>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</si>
  <si>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</si>
  <si>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</si>
  <si>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</si>
  <si>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</si>
  <si>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</si>
  <si>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</si>
  <si>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</si>
  <si>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</si>
  <si>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</si>
  <si>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</si>
  <si>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</si>
  <si>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</si>
  <si>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</si>
  <si>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</si>
  <si>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</si>
  <si>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</si>
  <si>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</si>
  <si>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</si>
  <si>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</si>
  <si>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</si>
  <si>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</si>
  <si>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</si>
  <si>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</si>
  <si>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</si>
  <si>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</si>
  <si>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</si>
  <si>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</si>
  <si>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</si>
  <si>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</si>
  <si>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</si>
  <si>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</si>
  <si>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</si>
  <si>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</si>
  <si>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</si>
  <si>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</si>
  <si>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</si>
  <si>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</si>
  <si>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</si>
  <si>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</si>
  <si>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</si>
  <si>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</si>
  <si>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</si>
  <si>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</si>
  <si>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</si>
  <si>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</si>
  <si>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</si>
  <si>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</si>
  <si>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</si>
  <si>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</si>
  <si>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</si>
  <si>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</si>
  <si>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</si>
  <si>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</si>
  <si>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</si>
  <si>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</si>
  <si>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</si>
  <si>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</si>
  <si>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</si>
  <si>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</si>
  <si>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</si>
  <si>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</si>
  <si>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</si>
  <si>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</si>
  <si>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</si>
  <si>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</si>
  <si>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</si>
  <si>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</si>
  <si>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</si>
  <si>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</si>
  <si>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</si>
  <si>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</si>
  <si>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</si>
  <si>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</si>
  <si>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</si>
  <si>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</si>
  <si>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</si>
  <si>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</si>
  <si>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</si>
  <si>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</si>
  <si>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</si>
  <si>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</si>
  <si>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</si>
  <si>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</si>
  <si>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</si>
  <si>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</si>
  <si>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</si>
  <si>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</si>
  <si>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</si>
  <si>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</si>
  <si>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</si>
  <si>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</si>
  <si>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</si>
  <si>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</si>
  <si>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</si>
  <si>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</si>
  <si>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</si>
  <si>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</si>
  <si>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</si>
  <si>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</si>
  <si>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</si>
  <si>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</si>
  <si>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</si>
  <si>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</si>
  <si>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</si>
  <si>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</si>
  <si>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</si>
  <si>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</si>
  <si>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</si>
  <si>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</si>
  <si>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</si>
  <si>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</si>
  <si>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</si>
  <si>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</si>
  <si>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</si>
  <si>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</si>
  <si>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</si>
  <si>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</si>
  <si>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</si>
  <si>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</si>
  <si>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</si>
  <si>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</si>
  <si>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</si>
  <si>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</si>
  <si>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</si>
  <si>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</si>
  <si>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</si>
  <si>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</si>
  <si>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</si>
  <si>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</si>
  <si>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</si>
  <si>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</si>
  <si>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</si>
  <si>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</si>
  <si>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</si>
  <si>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</si>
  <si>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</si>
  <si>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</si>
  <si>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</si>
  <si>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</si>
  <si>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</si>
  <si>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</si>
  <si>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</si>
  <si>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</si>
  <si>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</si>
  <si>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</si>
  <si>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</si>
  <si>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</si>
  <si>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</si>
  <si>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</si>
  <si>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</si>
  <si>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</si>
  <si>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</si>
  <si>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</si>
  <si>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</si>
  <si>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</si>
  <si>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</si>
  <si>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</si>
  <si>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</si>
  <si>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</si>
  <si>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</si>
  <si>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</si>
  <si>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</si>
  <si>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</si>
  <si>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</si>
  <si>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</si>
  <si>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</si>
  <si>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</si>
  <si>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</si>
  <si>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</si>
  <si>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</si>
  <si>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</si>
  <si>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</si>
  <si>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</si>
  <si>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</si>
  <si>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</si>
  <si>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</si>
  <si>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</si>
  <si>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</si>
  <si>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</si>
  <si>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</si>
  <si>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</si>
  <si>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</si>
  <si>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</si>
  <si>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</si>
  <si>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</si>
  <si>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</si>
  <si>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</si>
  <si>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</si>
  <si>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</si>
  <si>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</si>
  <si>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</si>
  <si>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</si>
  <si>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</si>
  <si>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</si>
  <si>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</si>
  <si>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</si>
  <si>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</si>
  <si>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</si>
  <si>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</si>
  <si>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</si>
  <si>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</si>
  <si>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</si>
  <si>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</si>
  <si>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</si>
  <si>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</si>
  <si>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</si>
  <si>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</si>
  <si>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</si>
  <si>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</si>
  <si>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</si>
  <si>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</si>
  <si>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</si>
  <si>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</si>
  <si>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</si>
  <si>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</si>
  <si>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</si>
  <si>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</si>
  <si>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</si>
  <si>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</si>
  <si>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</si>
  <si>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</si>
  <si>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</si>
  <si>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</si>
  <si>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</si>
  <si>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</si>
  <si>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</si>
  <si>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</si>
  <si>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</si>
  <si>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</si>
  <si>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</si>
  <si>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</si>
  <si>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</si>
  <si>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</si>
  <si>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</si>
  <si>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</si>
  <si>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</si>
  <si>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</si>
  <si>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</si>
  <si>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</si>
  <si>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</si>
  <si>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</si>
  <si>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</si>
  <si>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</si>
  <si>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</si>
  <si>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</si>
  <si>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</si>
  <si>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</si>
  <si>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</si>
  <si>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</si>
  <si>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</si>
  <si>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</si>
  <si>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</si>
  <si>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</si>
  <si>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</si>
  <si>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</si>
  <si>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</si>
  <si>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</si>
  <si>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</si>
  <si>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</si>
  <si>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</si>
  <si>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</si>
  <si>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</si>
  <si>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</si>
  <si>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</si>
  <si>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</si>
  <si>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</si>
  <si>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</si>
  <si>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</si>
  <si>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</si>
  <si>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</si>
  <si>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</si>
  <si>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</si>
  <si>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</si>
  <si>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</si>
  <si>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</si>
  <si>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</si>
  <si>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</si>
  <si>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</si>
  <si>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</si>
  <si>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</si>
  <si>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</si>
  <si>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</si>
  <si>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</si>
  <si>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</si>
  <si>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</si>
  <si>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</si>
  <si>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</si>
  <si>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</si>
  <si>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</si>
  <si>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</si>
  <si>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</si>
  <si>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</si>
  <si>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</si>
  <si>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</si>
  <si>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</si>
  <si>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</si>
  <si>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</si>
  <si>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</si>
  <si>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</si>
  <si>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</si>
  <si>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</si>
  <si>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</si>
  <si>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</si>
  <si>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</si>
  <si>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</si>
  <si>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</si>
  <si>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</si>
  <si>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</si>
  <si>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</si>
  <si>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</si>
  <si>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</si>
  <si>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</si>
  <si>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</si>
  <si>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</si>
  <si>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</si>
  <si>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</si>
  <si>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</si>
  <si>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</si>
  <si>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</si>
  <si>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</si>
  <si>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</si>
  <si>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</si>
  <si>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</si>
  <si>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</si>
  <si>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</si>
  <si>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</si>
  <si>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</si>
  <si>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</si>
  <si>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</si>
  <si>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</si>
  <si>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</si>
  <si>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</si>
  <si>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</si>
  <si>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</si>
  <si>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</si>
  <si>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</si>
  <si>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</si>
  <si>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</si>
  <si>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</si>
  <si>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</si>
  <si>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</si>
  <si>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</si>
  <si>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</si>
  <si>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</si>
  <si>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</si>
  <si>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</si>
  <si>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</si>
  <si>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</si>
  <si>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</si>
  <si>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</si>
  <si>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</si>
  <si>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</si>
  <si>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</si>
  <si>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</si>
  <si>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</si>
  <si>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</si>
  <si>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</si>
  <si>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</si>
  <si>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</si>
  <si>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</si>
  <si>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</si>
  <si>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</si>
  <si>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</si>
  <si>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</si>
  <si>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</si>
  <si>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</si>
  <si>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</si>
  <si>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</si>
  <si>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</si>
  <si>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</si>
  <si>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</si>
  <si>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</si>
  <si>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</si>
  <si>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</si>
  <si>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</si>
  <si>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</si>
  <si>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</si>
  <si>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</si>
  <si>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</si>
  <si>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</si>
  <si>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</si>
  <si>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</si>
  <si>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</si>
  <si>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</si>
  <si>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</si>
  <si>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</si>
  <si>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</si>
  <si>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</si>
  <si>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</si>
  <si>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</si>
  <si>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</si>
  <si>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</si>
  <si>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</si>
  <si>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</si>
  <si>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</si>
  <si>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</si>
  <si>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</si>
  <si>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</si>
  <si>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</si>
  <si>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</si>
  <si>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</si>
  <si>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</si>
  <si>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</si>
  <si>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</si>
  <si>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</si>
  <si>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</si>
  <si>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</si>
  <si>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</si>
  <si>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</si>
  <si>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</si>
  <si>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</si>
  <si>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</si>
  <si>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</si>
  <si>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</si>
  <si>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</si>
  <si>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</si>
  <si>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</si>
  <si>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</si>
  <si>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</si>
  <si>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</si>
  <si>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</si>
  <si>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</si>
  <si>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</si>
  <si>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</si>
  <si>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</si>
  <si>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</si>
  <si>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</si>
  <si>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</si>
  <si>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</si>
  <si>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</si>
  <si>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</si>
  <si>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</si>
  <si>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</si>
  <si>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</si>
  <si>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</si>
  <si>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</si>
  <si>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</si>
  <si>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</si>
  <si>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</si>
  <si>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</si>
  <si>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</si>
  <si>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</si>
  <si>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</si>
  <si>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</si>
  <si>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</si>
  <si>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</si>
  <si>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</si>
  <si>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</si>
  <si>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</si>
  <si>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</si>
  <si>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</si>
  <si>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</si>
  <si>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</si>
  <si>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</si>
  <si>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</si>
  <si>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</si>
  <si>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</si>
  <si>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</si>
  <si>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</si>
  <si>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</si>
  <si>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</si>
  <si>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</si>
  <si>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</si>
  <si>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</si>
  <si>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</si>
  <si>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</si>
  <si>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</si>
  <si>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</si>
  <si>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</si>
  <si>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</si>
  <si>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</si>
  <si>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</si>
  <si>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</si>
  <si>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</si>
  <si>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</si>
  <si>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</si>
  <si>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</si>
  <si>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</si>
  <si>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</si>
  <si>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</si>
  <si>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</si>
  <si>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</si>
  <si>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</si>
  <si>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</si>
  <si>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</si>
  <si>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</si>
  <si>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</si>
  <si>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</si>
  <si>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</si>
  <si>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</si>
  <si>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</si>
  <si>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</si>
  <si>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</si>
  <si>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</si>
  <si>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</si>
  <si>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</si>
  <si>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</si>
  <si>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</si>
  <si>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</si>
  <si>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</si>
  <si>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</si>
  <si>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</si>
  <si>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</si>
  <si>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</si>
  <si>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</si>
  <si>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</si>
  <si>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</si>
  <si>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</si>
  <si>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</si>
  <si>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</si>
  <si>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</si>
  <si>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</si>
  <si>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</si>
  <si>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</si>
  <si>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</si>
  <si>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</si>
  <si>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</si>
  <si>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</si>
  <si>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</si>
  <si>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</si>
  <si>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</si>
  <si>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</si>
  <si>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</si>
  <si>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</si>
  <si>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</si>
  <si>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</si>
  <si>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</si>
  <si>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</si>
  <si>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</si>
  <si>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</si>
  <si>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</si>
  <si>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</si>
  <si>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</si>
  <si>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</si>
  <si>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</si>
  <si>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</si>
  <si>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</si>
  <si>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</si>
  <si>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</si>
  <si>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</si>
  <si>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</si>
  <si>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</si>
  <si>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</si>
  <si>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</si>
  <si>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</si>
  <si>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</si>
  <si>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</si>
  <si>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</si>
  <si>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</si>
  <si>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</si>
  <si>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</si>
  <si>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</si>
  <si>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</si>
  <si>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</si>
  <si>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</si>
  <si>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</si>
  <si>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</si>
  <si>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</si>
  <si>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</si>
  <si>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</si>
  <si>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</si>
  <si>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</si>
  <si>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</si>
  <si>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</si>
  <si>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</si>
  <si>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</si>
  <si>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</si>
  <si>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</si>
  <si>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</si>
  <si>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</si>
  <si>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</si>
  <si>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</si>
  <si>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</si>
  <si>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</si>
  <si>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</si>
  <si>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</si>
  <si>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</si>
  <si>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</si>
  <si>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</si>
  <si>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</si>
  <si>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</si>
  <si>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</si>
  <si>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</si>
  <si>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</si>
  <si>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</si>
  <si>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</si>
  <si>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</si>
  <si>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</si>
  <si>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</si>
  <si>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</si>
  <si>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</si>
  <si>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</si>
  <si>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</si>
  <si>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</si>
  <si>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</si>
  <si>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</si>
  <si>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</si>
  <si>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</si>
  <si>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</si>
  <si>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</si>
  <si>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</si>
  <si>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</si>
  <si>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</si>
  <si>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</si>
  <si>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</si>
  <si>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</si>
  <si>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</si>
  <si>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</si>
  <si>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</si>
  <si>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</si>
  <si>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</si>
  <si>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</si>
  <si>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</si>
  <si>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</si>
  <si>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</si>
  <si>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</si>
  <si>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</si>
  <si>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</si>
  <si>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</si>
  <si>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</si>
  <si>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</si>
  <si>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</si>
  <si>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</si>
  <si>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</si>
  <si>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</si>
  <si>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</si>
  <si>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</si>
  <si>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</si>
  <si>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</si>
  <si>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</si>
  <si>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</si>
  <si>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</si>
  <si>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</si>
  <si>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</si>
  <si>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</si>
  <si>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</si>
  <si>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</si>
  <si>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</si>
  <si>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</si>
  <si>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</si>
  <si>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</si>
  <si>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</si>
  <si>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</si>
  <si>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</si>
  <si>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</si>
  <si>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</si>
  <si>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</si>
  <si>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</si>
  <si>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</si>
  <si>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</si>
  <si>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</si>
  <si>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</si>
  <si>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</si>
  <si>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</si>
  <si>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</si>
  <si>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</si>
  <si>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</si>
  <si>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</si>
  <si>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</si>
  <si>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</si>
  <si>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</si>
  <si>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</si>
  <si>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</si>
  <si>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</si>
  <si>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</si>
  <si>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</si>
  <si>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</si>
  <si>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</si>
  <si>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</si>
  <si>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</si>
  <si>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</si>
  <si>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</si>
  <si>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</si>
  <si>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</si>
  <si>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</si>
  <si>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</si>
  <si>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</si>
  <si>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</si>
  <si>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</si>
  <si>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</si>
  <si>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</si>
  <si>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</si>
  <si>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</si>
  <si>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</si>
  <si>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</si>
  <si>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</si>
  <si>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</si>
  <si>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</si>
  <si>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</si>
  <si>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</si>
  <si>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</si>
  <si>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</si>
  <si>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</si>
  <si>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</si>
  <si>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</si>
  <si>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</si>
  <si>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</si>
  <si>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</si>
  <si>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</si>
  <si>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</si>
  <si>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</si>
  <si>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</si>
  <si>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</si>
  <si>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</si>
  <si>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</si>
  <si>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</si>
  <si>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</si>
  <si>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</si>
  <si>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</si>
  <si>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</si>
  <si>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</si>
  <si>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</si>
  <si>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</si>
  <si>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</si>
  <si>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</si>
  <si>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</si>
  <si>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</si>
  <si>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</si>
  <si>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</si>
  <si>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</si>
  <si>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</si>
  <si>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</si>
  <si>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</si>
  <si>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</si>
  <si>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</si>
  <si>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</si>
  <si>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</si>
  <si>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</si>
  <si>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</si>
  <si>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</si>
  <si>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</si>
  <si>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</si>
  <si>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</si>
  <si>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</si>
  <si>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</si>
  <si>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</si>
  <si>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</si>
  <si>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</si>
  <si>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</si>
  <si>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</si>
  <si>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</si>
  <si>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</si>
  <si>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</si>
  <si>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</si>
  <si>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</si>
  <si>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</si>
  <si>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</si>
  <si>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</si>
  <si>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</si>
  <si>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</si>
  <si>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</si>
  <si>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</si>
  <si>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</si>
  <si>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</si>
  <si>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</si>
  <si>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</si>
  <si>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</si>
  <si>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</si>
  <si>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</si>
  <si>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</si>
  <si>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</si>
  <si>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</si>
  <si>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</si>
  <si>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</si>
  <si>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</si>
  <si>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</si>
  <si>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</si>
  <si>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</si>
  <si>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</si>
  <si>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</si>
  <si>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</si>
  <si>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</si>
  <si>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</si>
  <si>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</si>
  <si>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</si>
  <si>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</si>
  <si>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</si>
  <si>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</si>
  <si>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</si>
  <si>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</si>
  <si>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</si>
  <si>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</si>
  <si>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</si>
  <si>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</si>
  <si>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</si>
  <si>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</si>
  <si>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</si>
  <si>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</si>
  <si>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</si>
  <si>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</si>
  <si>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</si>
  <si>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</si>
  <si>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</si>
  <si>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</si>
  <si>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</si>
  <si>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</si>
  <si>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</si>
  <si>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</si>
  <si>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</si>
  <si>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</si>
  <si>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</si>
  <si>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</si>
  <si>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</si>
  <si>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</si>
  <si>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</si>
  <si>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</si>
  <si>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</si>
  <si>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</si>
  <si>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</si>
  <si>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</si>
  <si>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</si>
  <si>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</si>
  <si>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</si>
  <si>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</si>
  <si>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</si>
  <si>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</si>
  <si>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</si>
  <si>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</si>
  <si>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</si>
  <si>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</si>
  <si>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</si>
  <si>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</si>
  <si>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</si>
  <si>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</si>
  <si>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</si>
  <si>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</si>
  <si>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</si>
  <si>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</si>
  <si>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</si>
  <si>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</si>
  <si>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</si>
  <si>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</si>
  <si>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</si>
  <si>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</si>
  <si>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</si>
  <si>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</si>
  <si>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</si>
  <si>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</si>
  <si>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</si>
  <si>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</si>
  <si>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</si>
  <si>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</si>
  <si>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</si>
  <si>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</si>
  <si>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</si>
  <si>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</si>
  <si>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</si>
  <si>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</si>
  <si>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</si>
  <si>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</si>
  <si>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</si>
  <si>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</si>
  <si>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</si>
  <si>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</si>
  <si>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</si>
  <si>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</si>
  <si>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</si>
  <si>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</si>
  <si>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</si>
  <si>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</si>
  <si>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</si>
  <si>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</si>
  <si>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</si>
  <si>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</si>
  <si>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</si>
  <si>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</si>
  <si>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</si>
  <si>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</si>
  <si>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</si>
  <si>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</si>
  <si>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</si>
  <si>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</si>
  <si>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</si>
  <si>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</si>
  <si>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</si>
  <si>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</si>
  <si>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</si>
  <si>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</si>
  <si>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</si>
  <si>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</si>
  <si>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</si>
  <si>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</si>
  <si>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</si>
  <si>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</si>
  <si>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</si>
  <si>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</si>
  <si>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</si>
  <si>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</si>
  <si>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</si>
  <si>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</si>
  <si>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</si>
  <si>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</si>
  <si>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</si>
  <si>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</si>
  <si>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</si>
  <si>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</si>
  <si>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</si>
  <si>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</si>
  <si>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</si>
  <si>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</si>
  <si>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</si>
  <si>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</si>
  <si>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</si>
  <si>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</si>
  <si>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</si>
  <si>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</si>
  <si>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</si>
  <si>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</si>
  <si>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</si>
  <si>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</si>
  <si>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</si>
  <si>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</si>
  <si>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</si>
  <si>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</si>
  <si>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</si>
  <si>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</si>
  <si>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</si>
  <si>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</si>
  <si>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</si>
  <si>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</si>
  <si>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</si>
  <si>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</si>
  <si>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</si>
  <si>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</si>
  <si>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</si>
  <si>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</si>
  <si>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</si>
  <si>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</si>
  <si>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</si>
  <si>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</si>
  <si>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</si>
  <si>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</si>
  <si>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</si>
  <si>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</si>
  <si>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</si>
  <si>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</si>
  <si>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</si>
  <si>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</si>
  <si>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</si>
  <si>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</si>
  <si>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</si>
  <si>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</si>
  <si>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</si>
  <si>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</si>
  <si>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</si>
  <si>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</si>
  <si>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</si>
  <si>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</si>
  <si>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</si>
  <si>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</si>
  <si>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</si>
  <si>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</si>
  <si>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</si>
  <si>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</si>
  <si>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</si>
  <si>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</si>
  <si>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</si>
  <si>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</si>
  <si>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</si>
  <si>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</si>
  <si>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</si>
  <si>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</si>
  <si>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</si>
  <si>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</si>
  <si>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</si>
  <si>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</si>
  <si>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</si>
  <si>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</si>
  <si>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</si>
  <si>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</si>
  <si>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</si>
  <si>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</si>
  <si>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</si>
  <si>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</si>
  <si>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</si>
  <si>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</si>
  <si>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</si>
  <si>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</si>
  <si>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</si>
  <si>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</si>
  <si>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</si>
  <si>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</si>
  <si>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</si>
  <si>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</si>
  <si>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</si>
  <si>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</si>
  <si>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</si>
  <si>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</si>
  <si>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</si>
  <si>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</si>
  <si>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</si>
  <si>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</si>
  <si>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</si>
  <si>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</si>
  <si>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</si>
  <si>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</si>
  <si>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</si>
  <si>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</si>
  <si>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</si>
  <si>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</si>
  <si>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</si>
  <si>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</si>
  <si>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</si>
  <si>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</si>
  <si>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</si>
  <si>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</si>
  <si>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</si>
  <si>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</si>
  <si>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</si>
  <si>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</si>
  <si>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</si>
  <si>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</si>
  <si>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</si>
  <si>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</si>
  <si>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</si>
  <si>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</si>
  <si>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</si>
  <si>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</si>
  <si>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</si>
  <si>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</si>
  <si>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</si>
  <si>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</si>
  <si>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</si>
  <si>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</si>
  <si>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</si>
  <si>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</si>
  <si>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</si>
  <si>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</si>
  <si>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</si>
  <si>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</si>
  <si>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</si>
  <si>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</si>
  <si>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</si>
  <si>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</si>
  <si>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</si>
  <si>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</si>
  <si>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</si>
  <si>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</si>
  <si>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</si>
  <si>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</si>
  <si>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</si>
  <si>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</si>
  <si>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</si>
  <si>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</si>
  <si>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</si>
  <si>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</si>
  <si>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</si>
  <si>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</si>
  <si>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</si>
  <si>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</si>
  <si>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</si>
  <si>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</si>
  <si>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</si>
  <si>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</si>
  <si>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</si>
  <si>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</si>
  <si>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</si>
  <si>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</si>
  <si>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</si>
  <si>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</si>
  <si>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</si>
  <si>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</si>
  <si>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</si>
  <si>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</si>
  <si>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</si>
  <si>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</si>
  <si>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</si>
  <si>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</si>
  <si>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</si>
  <si>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</si>
  <si>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</si>
  <si>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</si>
  <si>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</si>
  <si>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</si>
  <si>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</si>
  <si>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</si>
  <si>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</si>
  <si>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</si>
  <si>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</si>
  <si>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</si>
  <si>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</si>
  <si>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</si>
  <si>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</si>
  <si>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</si>
  <si>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</si>
  <si>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</si>
  <si>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</si>
  <si>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</si>
  <si>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</si>
  <si>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</si>
  <si>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</si>
  <si>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</si>
  <si>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</si>
  <si>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</si>
  <si>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</si>
  <si>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</si>
  <si>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</si>
  <si>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</si>
  <si>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</si>
  <si>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</si>
  <si>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</si>
  <si>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</si>
  <si>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</si>
  <si>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</si>
  <si>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</si>
  <si>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</si>
  <si>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</si>
  <si>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</si>
  <si>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</si>
  <si>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</si>
  <si>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</si>
  <si>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</si>
  <si>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</si>
  <si>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</si>
  <si>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</si>
  <si>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</si>
  <si>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</si>
  <si>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</si>
  <si>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</si>
  <si>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</si>
  <si>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</si>
  <si>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</si>
  <si>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</si>
  <si>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</si>
  <si>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</si>
  <si>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</si>
  <si>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</si>
  <si>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</si>
  <si>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</si>
  <si>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</si>
  <si>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</si>
  <si>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</si>
  <si>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</si>
  <si>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</si>
  <si>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</si>
  <si>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</si>
  <si>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</si>
  <si>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</si>
  <si>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</si>
  <si>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</si>
  <si>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</si>
  <si>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</si>
  <si>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</si>
  <si>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</si>
  <si>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</si>
  <si>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</si>
  <si>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</si>
  <si>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</si>
  <si>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</si>
  <si>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</si>
  <si>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</si>
  <si>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</si>
  <si>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</si>
  <si>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</si>
  <si>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</si>
  <si>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</si>
  <si>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</si>
  <si>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</si>
  <si>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</si>
  <si>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</si>
  <si>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</si>
  <si>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</si>
  <si>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</si>
  <si>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</si>
  <si>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</si>
  <si>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</si>
  <si>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</si>
  <si>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</si>
  <si>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</si>
  <si>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</si>
  <si>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</si>
  <si>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</si>
  <si>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</si>
  <si>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</si>
  <si>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</si>
  <si>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</si>
  <si>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</si>
  <si>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</si>
  <si>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</si>
  <si>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</si>
  <si>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</si>
  <si>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</si>
  <si>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</si>
  <si>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</si>
  <si>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</si>
  <si>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</si>
  <si>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</si>
  <si>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</si>
  <si>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</si>
  <si>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</si>
  <si>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</si>
  <si>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</si>
  <si>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</si>
  <si>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</si>
  <si>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</si>
  <si>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</si>
  <si>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</si>
  <si>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</si>
  <si>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</si>
  <si>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</si>
  <si>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</si>
  <si>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</si>
  <si>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</si>
  <si>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</si>
  <si>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</si>
  <si>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</si>
  <si>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</si>
  <si>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</si>
  <si>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</si>
  <si>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</si>
  <si>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</si>
  <si>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</si>
  <si>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</si>
  <si>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</si>
  <si>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</si>
  <si>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</si>
  <si>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</si>
  <si>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</si>
  <si>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</si>
  <si>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</si>
  <si>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</si>
  <si>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</si>
  <si>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</si>
  <si>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</si>
  <si>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</si>
  <si>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</si>
  <si>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</si>
  <si>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</si>
  <si>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</si>
  <si>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</si>
  <si>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</si>
  <si>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</si>
  <si>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</si>
  <si>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</si>
  <si>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</si>
  <si>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</si>
  <si>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</si>
  <si>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</si>
  <si>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</si>
  <si>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</si>
  <si>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</si>
  <si>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</si>
  <si>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</si>
  <si>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</si>
  <si>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</si>
  <si>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</si>
  <si>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</si>
  <si>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</si>
  <si>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</si>
  <si>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</si>
  <si>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</si>
  <si>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</si>
  <si>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</si>
  <si>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</si>
  <si>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</si>
  <si>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</si>
  <si>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</si>
  <si>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</si>
  <si>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</si>
  <si>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</si>
  <si>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</si>
  <si>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</si>
  <si>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</si>
  <si>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</si>
  <si>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</si>
  <si>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</si>
  <si>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</si>
  <si>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</si>
  <si>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</si>
  <si>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</si>
  <si>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</si>
  <si>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</si>
  <si>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</si>
  <si>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</si>
  <si>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</si>
  <si>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</si>
  <si>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</si>
  <si>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</si>
  <si>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</si>
  <si>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</si>
  <si>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</si>
  <si>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</si>
  <si>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</si>
  <si>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</si>
  <si>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</si>
  <si>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</si>
  <si>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</si>
  <si>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</si>
  <si>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</si>
  <si>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</si>
  <si>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</si>
  <si>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</si>
  <si>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</si>
  <si>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</si>
  <si>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</si>
  <si>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</si>
  <si>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</si>
  <si>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</si>
  <si>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</si>
  <si>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</si>
  <si>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</si>
  <si>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</si>
  <si>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</si>
  <si>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</si>
  <si>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</si>
  <si>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</si>
  <si>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</si>
  <si>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</si>
  <si>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</si>
  <si>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</si>
  <si>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</si>
  <si>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</si>
  <si>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</si>
  <si>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</si>
  <si>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</si>
  <si>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</si>
  <si>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</si>
  <si>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</si>
  <si>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</si>
  <si>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</si>
  <si>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</si>
  <si>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</si>
  <si>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</si>
  <si>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</si>
  <si>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</si>
  <si>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</si>
  <si>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</si>
  <si>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</si>
  <si>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</si>
  <si>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</si>
  <si>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</si>
  <si>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</si>
  <si>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</si>
  <si>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</si>
  <si>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</si>
  <si>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</si>
  <si>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</si>
  <si>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</si>
  <si>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</si>
  <si>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</si>
  <si>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</si>
  <si>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</si>
  <si>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</si>
  <si>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</si>
  <si>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</si>
  <si>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</si>
  <si>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</si>
  <si>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</si>
  <si>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</si>
  <si>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</si>
  <si>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</si>
  <si>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</si>
  <si>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</si>
  <si>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</si>
  <si>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</si>
  <si>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</si>
  <si>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</si>
  <si>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</si>
  <si>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</si>
  <si>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</si>
  <si>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</si>
  <si>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</si>
  <si>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</si>
  <si>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</si>
  <si>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</si>
  <si>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</si>
  <si>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</si>
  <si>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</si>
  <si>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</si>
  <si>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</si>
  <si>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</si>
  <si>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</si>
  <si>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</si>
  <si>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</si>
  <si>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</si>
  <si>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</si>
  <si>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</si>
  <si>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</si>
  <si>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</si>
  <si>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</si>
  <si>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</si>
  <si>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</si>
  <si>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</si>
  <si>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</si>
  <si>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</si>
  <si>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</si>
  <si>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</si>
  <si>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</si>
  <si>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</si>
  <si>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</si>
  <si>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</si>
  <si>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</si>
  <si>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</si>
  <si>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</si>
  <si>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</si>
  <si>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</si>
  <si>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</si>
  <si>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</si>
  <si>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</si>
  <si>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</si>
  <si>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</si>
  <si>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</si>
  <si>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</si>
  <si>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</si>
  <si>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</si>
  <si>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</si>
  <si>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</si>
  <si>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</si>
  <si>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</si>
  <si>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</si>
  <si>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</si>
  <si>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</si>
  <si>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</si>
  <si>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</si>
  <si>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</si>
  <si>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</si>
  <si>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</si>
  <si>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</si>
  <si>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</si>
  <si>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</si>
  <si>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</si>
  <si>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</si>
  <si>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</si>
  <si>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</si>
  <si>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</si>
  <si>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</si>
  <si>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</si>
  <si>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</si>
  <si>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</si>
  <si>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</si>
  <si>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</si>
  <si>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</si>
  <si>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</si>
  <si>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</si>
  <si>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</si>
  <si>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</si>
  <si>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</si>
  <si>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</si>
  <si>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</si>
  <si>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</si>
  <si>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</si>
  <si>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</si>
  <si>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</si>
  <si>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</si>
  <si>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</si>
  <si>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</si>
  <si>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</si>
  <si>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</si>
  <si>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</si>
  <si>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</si>
  <si>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</si>
  <si>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</si>
  <si>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</si>
  <si>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</si>
  <si>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</si>
  <si>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</si>
  <si>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</si>
  <si>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</si>
  <si>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</si>
  <si>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</si>
  <si>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</si>
  <si>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</si>
  <si>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</si>
  <si>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</si>
  <si>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</si>
  <si>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</si>
  <si>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</si>
  <si>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</si>
  <si>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</si>
  <si>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</si>
  <si>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</si>
  <si>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</si>
  <si>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</si>
  <si>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</si>
  <si>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</si>
  <si>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</si>
  <si>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</si>
  <si>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</si>
  <si>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</si>
  <si>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</si>
  <si>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</si>
  <si>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</si>
  <si>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</si>
  <si>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</si>
  <si>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</si>
  <si>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</si>
  <si>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</si>
  <si>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</si>
  <si>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</si>
  <si>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</si>
  <si>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</si>
  <si>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</si>
  <si>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</si>
  <si>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</si>
  <si>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</si>
  <si>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</si>
  <si>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</si>
  <si>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</si>
  <si>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</si>
  <si>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</si>
  <si>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</si>
  <si>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</si>
  <si>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</si>
  <si>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</si>
  <si>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</si>
  <si>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</si>
  <si>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</si>
  <si>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</si>
  <si>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</si>
  <si>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</si>
  <si>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</si>
  <si>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</si>
  <si>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</si>
  <si>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</si>
  <si>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</si>
  <si>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</si>
  <si>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</si>
  <si>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</si>
  <si>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</si>
  <si>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</si>
  <si>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</si>
  <si>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</si>
  <si>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</si>
  <si>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</si>
  <si>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</si>
  <si>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</si>
  <si>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</si>
  <si>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</si>
  <si>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</si>
  <si>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</si>
  <si>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</si>
  <si>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</si>
  <si>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</si>
  <si>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</si>
  <si>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</si>
  <si>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</si>
  <si>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</si>
  <si>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</si>
  <si>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</si>
  <si>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</si>
  <si>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</si>
  <si>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</si>
  <si>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</si>
  <si>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</si>
  <si>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</si>
  <si>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</si>
  <si>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</si>
  <si>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</si>
  <si>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</si>
  <si>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</si>
  <si>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</si>
  <si>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</si>
  <si>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</si>
  <si>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</si>
  <si>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</si>
  <si>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</si>
  <si>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</si>
  <si>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</si>
  <si>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</si>
  <si>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</si>
  <si>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</si>
  <si>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</si>
  <si>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</si>
  <si>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</si>
  <si>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</si>
  <si>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</si>
  <si>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</si>
  <si>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</si>
  <si>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</si>
  <si>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</si>
  <si>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</si>
  <si>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</si>
  <si>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</si>
  <si>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</si>
  <si>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</si>
  <si>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</si>
  <si>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</si>
  <si>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</si>
  <si>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</si>
  <si>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</si>
  <si>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</si>
  <si>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</si>
  <si>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</si>
  <si>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</si>
  <si>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</si>
  <si>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</si>
  <si>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</si>
  <si>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</si>
  <si>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</si>
  <si>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</si>
  <si>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</si>
  <si>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</si>
  <si>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</si>
  <si>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</si>
  <si>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</si>
  <si>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</si>
  <si>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</si>
  <si>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</si>
  <si>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</si>
  <si>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</si>
  <si>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</si>
  <si>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</si>
  <si>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</si>
  <si>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</si>
  <si>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</si>
  <si>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</si>
  <si>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</si>
  <si>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</si>
  <si>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</si>
  <si>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</si>
  <si>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</si>
  <si>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</si>
  <si>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</si>
  <si>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</si>
  <si>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</si>
  <si>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</si>
  <si>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</si>
  <si>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</si>
  <si>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</si>
  <si>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</si>
  <si>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</si>
  <si>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</si>
  <si>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</si>
  <si>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</si>
  <si>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</si>
  <si>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</si>
  <si>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</si>
  <si>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</si>
  <si>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</si>
  <si>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</si>
  <si>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</si>
  <si>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</si>
  <si>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</si>
  <si>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</si>
  <si>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</si>
  <si>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</si>
  <si>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</si>
  <si>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</si>
  <si>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</si>
  <si>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</si>
  <si>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</si>
  <si>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</si>
  <si>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</si>
  <si>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</si>
  <si>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</si>
  <si>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</si>
  <si>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</si>
  <si>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</si>
  <si>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</si>
  <si>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</si>
  <si>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</si>
  <si>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</si>
  <si>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</si>
  <si>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</si>
  <si>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</si>
  <si>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</si>
  <si>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</si>
  <si>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</si>
  <si>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</si>
  <si>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</si>
  <si>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</si>
  <si>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</si>
  <si>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</si>
  <si>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</si>
  <si>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</si>
  <si>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</si>
  <si>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</si>
  <si>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</si>
  <si>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</si>
  <si>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</si>
  <si>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</si>
  <si>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</si>
  <si>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</si>
  <si>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</si>
  <si>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</si>
  <si>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</si>
  <si>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</si>
  <si>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</si>
  <si>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</si>
  <si>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</si>
  <si>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</si>
  <si>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</si>
  <si>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</si>
  <si>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</si>
  <si>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</si>
  <si>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</si>
  <si>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</si>
  <si>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</si>
  <si>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</si>
  <si>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</si>
  <si>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</si>
  <si>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</si>
  <si>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</si>
  <si>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</si>
  <si>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</si>
  <si>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</si>
  <si>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</si>
  <si>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</si>
  <si>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</si>
  <si>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</si>
  <si>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</si>
  <si>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</si>
  <si>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</si>
  <si>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</si>
  <si>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</si>
  <si>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</si>
  <si>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</si>
  <si>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</si>
  <si>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</si>
  <si>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</si>
  <si>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</si>
  <si>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</si>
  <si>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</si>
  <si>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</si>
  <si>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</si>
  <si>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</si>
  <si>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</si>
  <si>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</si>
  <si>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</si>
  <si>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</si>
  <si>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</si>
  <si>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</si>
  <si>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</si>
  <si>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</si>
  <si>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</si>
  <si>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</si>
  <si>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</si>
  <si>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</si>
  <si>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</si>
  <si>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</si>
  <si>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</si>
  <si>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</si>
  <si>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</si>
  <si>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</si>
  <si>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</si>
  <si>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</si>
  <si>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</si>
  <si>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</si>
  <si>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</si>
  <si>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</si>
  <si>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</si>
  <si>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</si>
  <si>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</si>
  <si>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</si>
  <si>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</si>
  <si>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</si>
  <si>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</si>
  <si>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</si>
  <si>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</si>
  <si>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</si>
  <si>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</si>
  <si>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</si>
  <si>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</si>
  <si>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</si>
  <si>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</si>
  <si>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</si>
  <si>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</si>
  <si>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</si>
  <si>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</si>
  <si>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</si>
  <si>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</si>
  <si>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</si>
  <si>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</si>
  <si>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</si>
  <si>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</si>
  <si>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</si>
  <si>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</si>
  <si>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</si>
  <si>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</si>
  <si>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</si>
  <si>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</si>
  <si>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</si>
  <si>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</si>
  <si>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</si>
  <si>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</si>
  <si>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</si>
  <si>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</si>
  <si>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</si>
  <si>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</si>
  <si>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</si>
  <si>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</si>
  <si>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</si>
  <si>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</si>
  <si>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</si>
  <si>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</si>
  <si>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</si>
  <si>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</si>
  <si>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</si>
  <si>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</si>
  <si>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</si>
  <si>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</si>
  <si>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</si>
  <si>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</si>
  <si>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</si>
  <si>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</si>
  <si>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</si>
  <si>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</si>
  <si>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</si>
  <si>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</si>
  <si>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</si>
  <si>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</si>
  <si>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</si>
  <si>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</si>
  <si>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</si>
  <si>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</si>
  <si>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</si>
  <si>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</si>
  <si>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</si>
  <si>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</si>
  <si>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</si>
  <si>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</si>
  <si>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</si>
  <si>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</si>
  <si>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</si>
  <si>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</si>
  <si>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</si>
  <si>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</si>
  <si>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</si>
  <si>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</si>
  <si>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</si>
  <si>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</si>
  <si>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</si>
  <si>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</si>
  <si>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</si>
  <si>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</si>
  <si>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</si>
  <si>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</si>
  <si>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</si>
  <si>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</si>
  <si>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</si>
  <si>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</si>
  <si>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</si>
  <si>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</si>
  <si>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</si>
  <si>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</si>
  <si>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</si>
  <si>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</si>
  <si>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</si>
  <si>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</si>
  <si>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</si>
  <si>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</si>
  <si>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</si>
  <si>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</si>
  <si>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</si>
  <si>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</si>
  <si>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</si>
  <si>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</si>
  <si>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</si>
  <si>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</si>
  <si>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</si>
  <si>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</si>
  <si>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</si>
  <si>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</si>
  <si>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</si>
  <si>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</si>
  <si>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</si>
  <si>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</si>
  <si>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</si>
  <si>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</si>
  <si>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</si>
  <si>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</si>
  <si>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</si>
  <si>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</si>
  <si>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</si>
  <si>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</si>
  <si>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</si>
  <si>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</si>
  <si>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</si>
  <si>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</si>
  <si>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</si>
  <si>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</si>
  <si>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</si>
  <si>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</si>
  <si>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</si>
  <si>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</si>
  <si>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</si>
  <si>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</si>
  <si>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</si>
  <si>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</si>
  <si>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</si>
  <si>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</si>
  <si>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</si>
  <si>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</si>
  <si>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</si>
  <si>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</si>
  <si>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</si>
  <si>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</si>
  <si>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</si>
  <si>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</si>
  <si>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</si>
  <si>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</si>
  <si>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</si>
  <si>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</si>
  <si>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</si>
  <si>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</si>
  <si>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</si>
  <si>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</si>
  <si>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</si>
  <si>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</si>
  <si>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</si>
  <si>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</si>
  <si>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</si>
  <si>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</si>
  <si>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</si>
  <si>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</si>
  <si>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</si>
  <si>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</si>
  <si>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</si>
  <si>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</si>
  <si>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</si>
  <si>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</si>
  <si>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</si>
  <si>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</si>
  <si>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</si>
  <si>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</si>
  <si>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</si>
  <si>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</si>
  <si>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</si>
  <si>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</si>
  <si>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</si>
  <si>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</si>
  <si>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</si>
  <si>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</si>
  <si>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</si>
  <si>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</si>
  <si>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</si>
  <si>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</si>
  <si>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</si>
  <si>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</si>
  <si>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</si>
  <si>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</si>
  <si>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</si>
  <si>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</si>
  <si>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</si>
  <si>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</si>
  <si>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</si>
  <si>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</si>
  <si>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</si>
  <si>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</si>
  <si>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</si>
  <si>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</si>
  <si>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</si>
  <si>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</si>
  <si>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</si>
  <si>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</si>
  <si>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</si>
  <si>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</si>
  <si>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</si>
  <si>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</si>
  <si>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</si>
  <si>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</si>
  <si>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</si>
  <si>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</si>
  <si>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</si>
  <si>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</si>
  <si>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</si>
  <si>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</si>
  <si>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</si>
  <si>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</si>
  <si>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</si>
  <si>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</si>
  <si>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</si>
  <si>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</si>
  <si>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</si>
  <si>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</si>
  <si>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</si>
  <si>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</si>
  <si>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</si>
  <si>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</si>
  <si>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</si>
  <si>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</si>
  <si>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</si>
  <si>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企业</t>
  </si>
  <si>
    <t>出让</t>
  </si>
  <si>
    <t>否</t>
  </si>
  <si>
    <t>《不动产权证书》</t>
  </si>
  <si>
    <t>复印件</t>
  </si>
  <si>
    <t>现房</t>
  </si>
  <si>
    <t>商业项目</t>
  </si>
  <si>
    <t>商场</t>
  </si>
  <si>
    <t>拟抵押清单</t>
    <phoneticPr fontId="3" type="noConversion"/>
  </si>
  <si>
    <t>房屋座落:杭州市余杭区瓶窑镇瓶仓大道2号</t>
  </si>
  <si>
    <t>序号</t>
    <phoneticPr fontId="3" type="noConversion"/>
  </si>
  <si>
    <t>产证号</t>
    <phoneticPr fontId="3" type="noConversion"/>
  </si>
  <si>
    <t>房号</t>
    <phoneticPr fontId="3" type="noConversion"/>
  </si>
  <si>
    <t>建筑面积（㎡）</t>
    <phoneticPr fontId="3" type="noConversion"/>
  </si>
  <si>
    <t>土地面积（㎡）</t>
    <phoneticPr fontId="3" type="noConversion"/>
  </si>
  <si>
    <t>估值
（万元）</t>
    <phoneticPr fontId="3" type="noConversion"/>
  </si>
  <si>
    <t>债权金额
（万元）</t>
    <phoneticPr fontId="3" type="noConversion"/>
  </si>
  <si>
    <t>浙（2017）余杭区不动产权第0158164号</t>
    <phoneticPr fontId="3" type="noConversion"/>
  </si>
  <si>
    <t>浙（2017）余杭区不动产权第0158346号</t>
    <phoneticPr fontId="3" type="noConversion"/>
  </si>
  <si>
    <t>浙（2017）余杭区不动产权第0158378号</t>
    <phoneticPr fontId="3" type="noConversion"/>
  </si>
  <si>
    <t>浙（2017）余杭区不动产权第0158347号</t>
    <phoneticPr fontId="3" type="noConversion"/>
  </si>
  <si>
    <t>浙（2017）余杭区不动产权第0158304号</t>
    <phoneticPr fontId="3" type="noConversion"/>
  </si>
  <si>
    <t>浙（2017）余杭区不动产权第0158269号</t>
    <phoneticPr fontId="3" type="noConversion"/>
  </si>
  <si>
    <t>浙（2017）余杭区不动产权第0158270号</t>
    <phoneticPr fontId="3" type="noConversion"/>
  </si>
  <si>
    <t>浙（2017）余杭区不动产权第0158223号</t>
    <phoneticPr fontId="3" type="noConversion"/>
  </si>
  <si>
    <t>浙（2017）余杭区不动产权第0158431号</t>
    <phoneticPr fontId="3" type="noConversion"/>
  </si>
  <si>
    <t>浙（2017）余杭区不动产权第0158224号</t>
    <phoneticPr fontId="3" type="noConversion"/>
  </si>
  <si>
    <t>浙（2017）余杭区不动产权第0158432号</t>
    <phoneticPr fontId="3" type="noConversion"/>
  </si>
  <si>
    <t>浙（2017）余杭区不动产权第0158433号</t>
    <phoneticPr fontId="3" type="noConversion"/>
  </si>
  <si>
    <t>浙（2017）余杭区不动产权第0158305号</t>
    <phoneticPr fontId="3" type="noConversion"/>
  </si>
  <si>
    <t>浙（2017）余杭区不动产权第0158225号</t>
    <phoneticPr fontId="3" type="noConversion"/>
  </si>
  <si>
    <t>浙（2017）余杭区不动产权第0158379号</t>
    <phoneticPr fontId="3" type="noConversion"/>
  </si>
  <si>
    <t>浙（2017）余杭区不动产权第0158380号</t>
    <phoneticPr fontId="3" type="noConversion"/>
  </si>
  <si>
    <t>浙（2017）余杭区不动产权第0158434号</t>
    <phoneticPr fontId="3" type="noConversion"/>
  </si>
  <si>
    <t>浙（2017）余杭区不动产权第0158194号</t>
    <phoneticPr fontId="3" type="noConversion"/>
  </si>
  <si>
    <t>浙（2017）余杭区不动产权第0158381号</t>
    <phoneticPr fontId="3" type="noConversion"/>
  </si>
  <si>
    <t>浙（2017）余杭区不动产权第0158382号</t>
    <phoneticPr fontId="3" type="noConversion"/>
  </si>
  <si>
    <t>浙（2017）余杭区不动产权第0158348号</t>
    <phoneticPr fontId="3" type="noConversion"/>
  </si>
  <si>
    <t>浙（2017）余杭区不动产权第0158349号</t>
    <phoneticPr fontId="3" type="noConversion"/>
  </si>
  <si>
    <t>浙（2017）余杭区不动产权第0158350号</t>
    <phoneticPr fontId="3" type="noConversion"/>
  </si>
  <si>
    <t>浙（2017）余杭区不动产权第0158226号</t>
    <phoneticPr fontId="3" type="noConversion"/>
  </si>
  <si>
    <t>浙（2017）余杭区不动产权第0158383号</t>
    <phoneticPr fontId="3" type="noConversion"/>
  </si>
  <si>
    <t>浙（2017）余杭区不动产权第0158306号</t>
    <phoneticPr fontId="3" type="noConversion"/>
  </si>
  <si>
    <t>浙（2017）余杭区不动产权第0158384号</t>
    <phoneticPr fontId="3" type="noConversion"/>
  </si>
  <si>
    <t>浙（2017）余杭区不动产权第0158303号</t>
    <phoneticPr fontId="3" type="noConversion"/>
  </si>
  <si>
    <t>浙（2017）余杭区不动产权第0158435号</t>
    <phoneticPr fontId="3" type="noConversion"/>
  </si>
  <si>
    <t>浙（2017）余杭区不动产权第0158229号</t>
    <phoneticPr fontId="3" type="noConversion"/>
  </si>
  <si>
    <t>浙（2017）余杭区不动产权第0158276号</t>
    <phoneticPr fontId="3" type="noConversion"/>
  </si>
  <si>
    <t>浙（2017）余杭区不动产权第0158169号</t>
    <phoneticPr fontId="3" type="noConversion"/>
  </si>
  <si>
    <t>浙（2017）余杭区不动产权第0158393号</t>
    <phoneticPr fontId="3" type="noConversion"/>
  </si>
  <si>
    <t>浙（2017）余杭区不动产权第0158441号</t>
    <phoneticPr fontId="3" type="noConversion"/>
  </si>
  <si>
    <t>浙（2017）余杭区不动产权第0158442号</t>
    <phoneticPr fontId="3" type="noConversion"/>
  </si>
  <si>
    <t>浙（2017）余杭区不动产权第0158170号</t>
    <phoneticPr fontId="3" type="noConversion"/>
  </si>
  <si>
    <t>浙（2017）余杭区不动产权第0158277号</t>
    <phoneticPr fontId="3" type="noConversion"/>
  </si>
  <si>
    <t>浙（2017）余杭区不动产权第0158313号</t>
    <phoneticPr fontId="3" type="noConversion"/>
  </si>
  <si>
    <t>浙（2017）余杭区不动产权第0158314号</t>
    <phoneticPr fontId="3" type="noConversion"/>
  </si>
  <si>
    <t>浙（2017）余杭区不动产权第0158230号</t>
    <phoneticPr fontId="3" type="noConversion"/>
  </si>
  <si>
    <t>浙（2017）余杭区不动产权第0158315号</t>
    <phoneticPr fontId="3" type="noConversion"/>
  </si>
  <si>
    <t>浙（2017）余杭区不动产权第0158356号</t>
    <phoneticPr fontId="3" type="noConversion"/>
  </si>
  <si>
    <t>浙（2017）余杭区不动产权第0158474号</t>
    <phoneticPr fontId="3" type="noConversion"/>
  </si>
  <si>
    <t>自持</t>
    <phoneticPr fontId="3" type="noConversion"/>
  </si>
  <si>
    <t>浙（2017）余杭区不动产权第0158316号</t>
    <phoneticPr fontId="3" type="noConversion"/>
  </si>
  <si>
    <t>浙（2017）余杭区不动产权第0158278号</t>
    <phoneticPr fontId="3" type="noConversion"/>
  </si>
  <si>
    <t>浙（2017）余杭区不动产权第0158231号</t>
    <phoneticPr fontId="3" type="noConversion"/>
  </si>
  <si>
    <t>浙（2017）余杭区不动产权第0158357号</t>
    <phoneticPr fontId="3" type="noConversion"/>
  </si>
  <si>
    <t>浙（2017）余杭区不动产权第0158317号</t>
    <phoneticPr fontId="3" type="noConversion"/>
  </si>
  <si>
    <t>浙（2017）余杭区不动产权第0158232号</t>
    <phoneticPr fontId="3" type="noConversion"/>
  </si>
  <si>
    <t>浙（2017）余杭区不动产权第0158394号</t>
    <phoneticPr fontId="3" type="noConversion"/>
  </si>
  <si>
    <t>浙（2017）余杭区不动产权第0158443号</t>
    <phoneticPr fontId="3" type="noConversion"/>
  </si>
  <si>
    <t>浙（2017）余杭区不动产权第0158395号</t>
    <phoneticPr fontId="3" type="noConversion"/>
  </si>
  <si>
    <t>浙（2017）余杭区不动产权第0158444号</t>
    <phoneticPr fontId="3" type="noConversion"/>
  </si>
  <si>
    <t>浙（2017）余杭区不动产权第0158358号</t>
    <phoneticPr fontId="3" type="noConversion"/>
  </si>
  <si>
    <t>浙（2017）余杭区不动产权第0158279号</t>
    <phoneticPr fontId="3" type="noConversion"/>
  </si>
  <si>
    <t>浙（2017）余杭区不动产权第0158396号</t>
    <phoneticPr fontId="3" type="noConversion"/>
  </si>
  <si>
    <t>浙（2017）余杭区不动产权第0158445号</t>
    <phoneticPr fontId="3" type="noConversion"/>
  </si>
  <si>
    <t>浙（2017）余杭区不动产权第0158359号</t>
    <phoneticPr fontId="3" type="noConversion"/>
  </si>
  <si>
    <t>浙（2017）余杭区不动产权第0158446号</t>
    <phoneticPr fontId="3" type="noConversion"/>
  </si>
  <si>
    <t>浙（2017）余杭区不动产权第0158233号</t>
    <phoneticPr fontId="3" type="noConversion"/>
  </si>
  <si>
    <t>浙（2017）余杭区不动产权第0158398号</t>
    <phoneticPr fontId="3" type="noConversion"/>
  </si>
  <si>
    <t>浙（2017）余杭区不动产权第0158399号</t>
    <phoneticPr fontId="3" type="noConversion"/>
  </si>
  <si>
    <t>浙（2017）余杭区不动产权第0158228号</t>
    <phoneticPr fontId="3" type="noConversion"/>
  </si>
  <si>
    <t>浙（2017）余杭区不动产权第0158405号</t>
    <phoneticPr fontId="3" type="noConversion"/>
  </si>
  <si>
    <t>浙（2017）余杭区不动产权第0158154号</t>
    <phoneticPr fontId="3" type="noConversion"/>
  </si>
  <si>
    <t>浙（2017）余杭区不动产权第0158209号</t>
    <phoneticPr fontId="3" type="noConversion"/>
  </si>
  <si>
    <t>浙（2017）余杭区不动产权第0158407号</t>
    <phoneticPr fontId="3" type="noConversion"/>
  </si>
  <si>
    <t>浙（2017）余杭区不动产权第0158408号</t>
    <phoneticPr fontId="3" type="noConversion"/>
  </si>
  <si>
    <t>浙（2017）余杭区不动产权第0158287号</t>
    <phoneticPr fontId="3" type="noConversion"/>
  </si>
  <si>
    <t>浙（2017）余杭区不动产权第0158155号</t>
    <phoneticPr fontId="3" type="noConversion"/>
  </si>
  <si>
    <t>浙（2017）余杭区不动产权第0158409号</t>
    <phoneticPr fontId="3" type="noConversion"/>
  </si>
  <si>
    <t>浙（2017）余杭区不动产权第0158288号</t>
    <phoneticPr fontId="3" type="noConversion"/>
  </si>
  <si>
    <t>浙（2017）余杭区不动产权第0158210号</t>
    <phoneticPr fontId="3" type="noConversion"/>
  </si>
  <si>
    <t>浙（2017）余杭区不动产权第0158247号</t>
    <phoneticPr fontId="3" type="noConversion"/>
  </si>
  <si>
    <t>浙（2017）余杭区不动产权第0158248号</t>
    <phoneticPr fontId="3" type="noConversion"/>
  </si>
  <si>
    <t>浙（2017）余杭区不动产权第0158289号</t>
    <phoneticPr fontId="3" type="noConversion"/>
  </si>
  <si>
    <t>浙（2017）余杭区不动产权第0158176号</t>
    <phoneticPr fontId="3" type="noConversion"/>
  </si>
  <si>
    <t>浙（2017）余杭区不动产权第0158211号</t>
    <phoneticPr fontId="3" type="noConversion"/>
  </si>
  <si>
    <t>浙（2017）余杭区不动产权第0158249号</t>
    <phoneticPr fontId="3" type="noConversion"/>
  </si>
  <si>
    <t>浙（2017）余杭区不动产权第0158410号</t>
    <phoneticPr fontId="3" type="noConversion"/>
  </si>
  <si>
    <t>浙（2017）余杭区不动产权第0158177号</t>
    <phoneticPr fontId="3" type="noConversion"/>
  </si>
  <si>
    <t>浙（2017）余杭区不动产权第0158178号</t>
    <phoneticPr fontId="3" type="noConversion"/>
  </si>
  <si>
    <t>浙（2017）余杭区不动产权第0158326号</t>
    <phoneticPr fontId="3" type="noConversion"/>
  </si>
  <si>
    <t>浙（2017）余杭区不动产权第0158212号</t>
    <phoneticPr fontId="3" type="noConversion"/>
  </si>
  <si>
    <t>浙（2017）余杭区不动产权第0158213号</t>
    <phoneticPr fontId="3" type="noConversion"/>
  </si>
  <si>
    <t>浙（2017）余杭区不动产权第0158156号</t>
    <phoneticPr fontId="3" type="noConversion"/>
  </si>
  <si>
    <t>浙（2017）余杭区不动产权第0158179号</t>
    <phoneticPr fontId="3" type="noConversion"/>
  </si>
  <si>
    <t>浙（2017）余杭区不动产权第0158290号</t>
    <phoneticPr fontId="3" type="noConversion"/>
  </si>
  <si>
    <t>浙（2017）余杭区不动产权第0158157号</t>
    <phoneticPr fontId="3" type="noConversion"/>
  </si>
  <si>
    <t>浙（2017）余杭区不动产权第0158180号</t>
    <phoneticPr fontId="3" type="noConversion"/>
  </si>
  <si>
    <t>浙（2017）余杭区不动产权第0158327号</t>
    <phoneticPr fontId="3" type="noConversion"/>
  </si>
  <si>
    <t>浙（2017）余杭区不动产权第0158411号</t>
    <phoneticPr fontId="3" type="noConversion"/>
  </si>
  <si>
    <t>浙（2017）余杭区不动产权第0158412号</t>
    <phoneticPr fontId="3" type="noConversion"/>
  </si>
  <si>
    <t>浙（2017）余杭区不动产权第0158368号</t>
    <phoneticPr fontId="3" type="noConversion"/>
  </si>
  <si>
    <t>浙（2017）余杭区不动产权第0158328号</t>
    <phoneticPr fontId="3" type="noConversion"/>
  </si>
  <si>
    <t>浙（2017）余杭区不动产权第0158369号</t>
    <phoneticPr fontId="3" type="noConversion"/>
  </si>
  <si>
    <t>浙（2017）余杭区不动产权第0158181号</t>
    <phoneticPr fontId="3" type="noConversion"/>
  </si>
  <si>
    <t>浙（2017）余杭区不动产权第0158413号</t>
    <phoneticPr fontId="3" type="noConversion"/>
  </si>
  <si>
    <t>浙（2017）余杭区不动产权第0158292号</t>
    <phoneticPr fontId="3" type="noConversion"/>
  </si>
  <si>
    <t>浙（2017）余杭区不动产权第0158199号</t>
    <phoneticPr fontId="3" type="noConversion"/>
  </si>
  <si>
    <t>浙（2017）余杭区不动产权第0158361号</t>
    <phoneticPr fontId="3" type="noConversion"/>
  </si>
  <si>
    <t>浙（2017）余杭区不动产权第0158400号</t>
    <phoneticPr fontId="3" type="noConversion"/>
  </si>
  <si>
    <t>浙（2017）余杭区不动产权第0158318号</t>
    <phoneticPr fontId="3" type="noConversion"/>
  </si>
  <si>
    <t>浙（2017）余杭区不动产权第0158172号</t>
    <phoneticPr fontId="3" type="noConversion"/>
  </si>
  <si>
    <t>浙（2017）余杭区不动产权第0158447号</t>
    <phoneticPr fontId="3" type="noConversion"/>
  </si>
  <si>
    <t>浙（2017）余杭区不动产权第0158235号</t>
    <phoneticPr fontId="3" type="noConversion"/>
  </si>
  <si>
    <t>换</t>
    <phoneticPr fontId="3" type="noConversion"/>
  </si>
  <si>
    <t>浙（2017）余杭区不动产权第0158401号</t>
    <phoneticPr fontId="3" type="noConversion"/>
  </si>
  <si>
    <t>浙（2017）余杭区不动产权第0158280号</t>
    <phoneticPr fontId="3" type="noConversion"/>
  </si>
  <si>
    <t>浙（2017）余杭区不动产权第0158281号</t>
    <phoneticPr fontId="3" type="noConversion"/>
  </si>
  <si>
    <t>浙（2017）余杭区不动产权第0158173号</t>
    <phoneticPr fontId="3" type="noConversion"/>
  </si>
  <si>
    <t>浙（2017）余杭区不动产权第0158362号</t>
    <phoneticPr fontId="3" type="noConversion"/>
  </si>
  <si>
    <t>浙（2017）余杭区不动产权第0158236号</t>
    <phoneticPr fontId="3" type="noConversion"/>
  </si>
  <si>
    <t>浙（2017）余杭区不动产权第0158200号</t>
    <phoneticPr fontId="3" type="noConversion"/>
  </si>
  <si>
    <t>浙（2017）余杭区不动产权第0158319号</t>
    <phoneticPr fontId="3" type="noConversion"/>
  </si>
  <si>
    <t>浙（2017）余杭区不动产权第0158201号</t>
    <phoneticPr fontId="3" type="noConversion"/>
  </si>
  <si>
    <t>浙（2017）余杭区不动产权第0158202号</t>
    <phoneticPr fontId="3" type="noConversion"/>
  </si>
  <si>
    <t>浙（2017）余杭区不动产权第0158282号</t>
    <phoneticPr fontId="3" type="noConversion"/>
  </si>
  <si>
    <t>浙（2017）余杭区不动产权第0158363号</t>
    <phoneticPr fontId="3" type="noConversion"/>
  </si>
  <si>
    <t>浙（2017）余杭区不动产权第0158320号</t>
    <phoneticPr fontId="3" type="noConversion"/>
  </si>
  <si>
    <t>浙（2017）余杭区不动产权第0158321号</t>
    <phoneticPr fontId="3" type="noConversion"/>
  </si>
  <si>
    <t>浙（2017）余杭区不动产权第0158402号</t>
    <phoneticPr fontId="3" type="noConversion"/>
  </si>
  <si>
    <t>浙（2017）余杭区不动产权第0158237号</t>
    <phoneticPr fontId="3" type="noConversion"/>
  </si>
  <si>
    <t>浙（2017）余杭区不动产权第0158238号</t>
    <phoneticPr fontId="3" type="noConversion"/>
  </si>
  <si>
    <t>浙（2017）余杭区不动产权第0158239号</t>
    <phoneticPr fontId="3" type="noConversion"/>
  </si>
  <si>
    <t>浙（2017）余杭区不动产权第0158203号</t>
    <phoneticPr fontId="3" type="noConversion"/>
  </si>
  <si>
    <t>浙（2017）余杭区不动产权第0158240号</t>
    <phoneticPr fontId="3" type="noConversion"/>
  </si>
  <si>
    <t>浙（2017）余杭区不动产权第0158448号</t>
    <phoneticPr fontId="3" type="noConversion"/>
  </si>
  <si>
    <t>浙（2017）余杭区不动产权第0158241号</t>
    <phoneticPr fontId="3" type="noConversion"/>
  </si>
  <si>
    <t>浙（2017）余杭区不动产权第0158449号</t>
    <phoneticPr fontId="3" type="noConversion"/>
  </si>
  <si>
    <t>浙（2017）余杭区不动产权第0158204号</t>
    <phoneticPr fontId="3" type="noConversion"/>
  </si>
  <si>
    <t>浙（2017）余杭区不动产权第0158205号</t>
    <phoneticPr fontId="3" type="noConversion"/>
  </si>
  <si>
    <t>浙（2017）余杭区不动产权第0158283号</t>
    <phoneticPr fontId="3" type="noConversion"/>
  </si>
  <si>
    <t>浙（2017）余杭区不动产权第0158146号</t>
    <phoneticPr fontId="3" type="noConversion"/>
  </si>
  <si>
    <t>浙（2017）余杭区不动产权第0158242号</t>
    <phoneticPr fontId="3" type="noConversion"/>
  </si>
  <si>
    <t>浙（2017）余杭区不动产权第0158322号</t>
    <phoneticPr fontId="3" type="noConversion"/>
  </si>
  <si>
    <t>浙（2017）余杭区不动产权第0158206号</t>
    <phoneticPr fontId="3" type="noConversion"/>
  </si>
  <si>
    <t>浙（2017）余杭区不动产权第0158284号</t>
    <phoneticPr fontId="3" type="noConversion"/>
  </si>
  <si>
    <t>浙（2017）余杭区不动产权第0158147号</t>
    <phoneticPr fontId="3" type="noConversion"/>
  </si>
  <si>
    <t>浙（2017）余杭区不动产权第0158148号</t>
    <phoneticPr fontId="3" type="noConversion"/>
  </si>
  <si>
    <t>浙（2017）余杭区不动产权第0158323号</t>
    <phoneticPr fontId="3" type="noConversion"/>
  </si>
  <si>
    <t>浙（2017）余杭区不动产权第0158174号</t>
    <phoneticPr fontId="3" type="noConversion"/>
  </si>
  <si>
    <t>浙（2017）余杭区不动产权第0158207号</t>
    <phoneticPr fontId="3" type="noConversion"/>
  </si>
  <si>
    <t>浙（2017）余杭区不动产权第0158324号</t>
    <phoneticPr fontId="3" type="noConversion"/>
  </si>
  <si>
    <t>浙（2017）余杭区不动产权第0158403号</t>
    <phoneticPr fontId="3" type="noConversion"/>
  </si>
  <si>
    <t>浙（2017）余杭区不动产权第0158175号</t>
    <phoneticPr fontId="3" type="noConversion"/>
  </si>
  <si>
    <t>浙（2017）余杭区不动产权第0158325号</t>
    <phoneticPr fontId="3" type="noConversion"/>
  </si>
  <si>
    <t>浙（2017）余杭区不动产权第0158243号</t>
    <phoneticPr fontId="3" type="noConversion"/>
  </si>
  <si>
    <t>浙（2017）余杭区不动产权第0158149号</t>
    <phoneticPr fontId="3" type="noConversion"/>
  </si>
  <si>
    <t>浙（2017）余杭区不动产权第0158364号</t>
    <phoneticPr fontId="3" type="noConversion"/>
  </si>
  <si>
    <t>浙（2017）余杭区不动产权第0158404号</t>
    <phoneticPr fontId="3" type="noConversion"/>
  </si>
  <si>
    <t>浙（2017）余杭区不动产权第0158244号</t>
    <phoneticPr fontId="3" type="noConversion"/>
  </si>
  <si>
    <t>浙（2017）余杭区不动产权第0158150号</t>
    <phoneticPr fontId="3" type="noConversion"/>
  </si>
  <si>
    <t>浙（2017）余杭区不动产权第0158151号</t>
    <phoneticPr fontId="3" type="noConversion"/>
  </si>
  <si>
    <t>浙（2017）余杭区不动产权第0158365号</t>
    <phoneticPr fontId="3" type="noConversion"/>
  </si>
  <si>
    <t>浙（2017）余杭区不动产权第0158245号</t>
    <phoneticPr fontId="3" type="noConversion"/>
  </si>
  <si>
    <t>浙（2017）余杭区不动产权第0158208号</t>
    <phoneticPr fontId="3" type="noConversion"/>
  </si>
  <si>
    <t>浙（2017）余杭区不动产权第0158285号</t>
    <phoneticPr fontId="3" type="noConversion"/>
  </si>
  <si>
    <t>浙（2017）余杭区不动产权第0158152号</t>
    <phoneticPr fontId="3" type="noConversion"/>
  </si>
  <si>
    <t>浙（2017）余杭区不动产权第0158153号</t>
  </si>
  <si>
    <t>浙（2017）余杭区不动产权第0158367号</t>
    <phoneticPr fontId="3" type="noConversion"/>
  </si>
  <si>
    <t>浙（2017）余杭区不动产权第0158246号</t>
    <phoneticPr fontId="3" type="noConversion"/>
  </si>
  <si>
    <t>浙（2017）余杭区不动产权第0158286号</t>
    <phoneticPr fontId="3" type="noConversion"/>
  </si>
  <si>
    <t>浙（2017）余杭区不动产权第0158406号</t>
    <phoneticPr fontId="3" type="noConversion"/>
  </si>
  <si>
    <t>浙（2017）余杭区不动产权第0158370号</t>
    <phoneticPr fontId="3" type="noConversion"/>
  </si>
  <si>
    <t>浙（2017）余杭区不动产权第0158250号</t>
    <phoneticPr fontId="3" type="noConversion"/>
  </si>
  <si>
    <t>浙（2017）余杭区不动产权第0158293号</t>
    <phoneticPr fontId="3" type="noConversion"/>
  </si>
  <si>
    <t>浙（2017）余杭区不动产权第0158294号</t>
    <phoneticPr fontId="3" type="noConversion"/>
  </si>
  <si>
    <t>浙（2017）余杭区不动产权第0158414号</t>
    <phoneticPr fontId="3" type="noConversion"/>
  </si>
  <si>
    <t>浙（2017）余杭区不动产权第0158372号</t>
    <phoneticPr fontId="3" type="noConversion"/>
  </si>
  <si>
    <t>浙（2017）余杭区不动产权第0158329号</t>
    <phoneticPr fontId="3" type="noConversion"/>
  </si>
  <si>
    <t>浙（2017）余杭区不动产权第0158214号</t>
    <phoneticPr fontId="3" type="noConversion"/>
  </si>
  <si>
    <t>浙（2017）余杭区不动产权第0158373号</t>
    <phoneticPr fontId="3" type="noConversion"/>
  </si>
  <si>
    <t>浙（2017）余杭区不动产权第0158251号</t>
    <phoneticPr fontId="3" type="noConversion"/>
  </si>
  <si>
    <t>浙（2017）余杭区不动产权第0158330号</t>
    <phoneticPr fontId="3" type="noConversion"/>
  </si>
  <si>
    <t>浙（2017）余杭区不动产权第0158252号</t>
    <phoneticPr fontId="3" type="noConversion"/>
  </si>
  <si>
    <t>浙（2017）余杭区不动产权第0158331号</t>
    <phoneticPr fontId="3" type="noConversion"/>
  </si>
  <si>
    <t>浙（2017）余杭区不动产权第0158415号</t>
    <phoneticPr fontId="3" type="noConversion"/>
  </si>
  <si>
    <t>浙（2017）余杭区不动产权第0158253号</t>
    <phoneticPr fontId="3" type="noConversion"/>
  </si>
  <si>
    <t>浙（2017）余杭区不动产权第0158374号</t>
    <phoneticPr fontId="3" type="noConversion"/>
  </si>
  <si>
    <t>浙（2017）余杭区不动产权第0158375号</t>
    <phoneticPr fontId="3" type="noConversion"/>
  </si>
  <si>
    <t>浙（2017）余杭区不动产权第0158182号</t>
    <phoneticPr fontId="3" type="noConversion"/>
  </si>
  <si>
    <t>浙（2017）余杭区不动产权第0158332号</t>
    <phoneticPr fontId="3" type="noConversion"/>
  </si>
  <si>
    <t>浙（2017）余杭区不动产权第0158183号</t>
    <phoneticPr fontId="3" type="noConversion"/>
  </si>
  <si>
    <t>浙（2017）余杭区不动产权第0158254号</t>
    <phoneticPr fontId="3" type="noConversion"/>
  </si>
  <si>
    <t>浙（2017）余杭区不动产权第0158416号</t>
    <phoneticPr fontId="3" type="noConversion"/>
  </si>
  <si>
    <t>浙（2017）余杭区不动产权第0158417号</t>
    <phoneticPr fontId="3" type="noConversion"/>
  </si>
  <si>
    <t>浙（2017）余杭区不动产权第0158255号</t>
    <phoneticPr fontId="3" type="noConversion"/>
  </si>
  <si>
    <t>浙（2017）余杭区不动产权第0158256号</t>
    <phoneticPr fontId="3" type="noConversion"/>
  </si>
  <si>
    <t>浙（2017）余杭区不动产权第0158257号</t>
    <phoneticPr fontId="3" type="noConversion"/>
  </si>
  <si>
    <t>自持</t>
    <phoneticPr fontId="3" type="noConversion"/>
  </si>
  <si>
    <t>浙（2017）余杭区不动产权第0158258号</t>
    <phoneticPr fontId="3" type="noConversion"/>
  </si>
  <si>
    <t>浙（2017）余杭区不动产权第0158333号</t>
    <phoneticPr fontId="3" type="noConversion"/>
  </si>
  <si>
    <t>浙（2017）余杭区不动产权第0158259号</t>
    <phoneticPr fontId="3" type="noConversion"/>
  </si>
  <si>
    <t>浙（2017）余杭区不动产权第0158216号</t>
    <phoneticPr fontId="3" type="noConversion"/>
  </si>
  <si>
    <t>浙（2017）余杭区不动产权第0158261号</t>
    <phoneticPr fontId="3" type="noConversion"/>
  </si>
  <si>
    <t>浙（2017）余杭区不动产权第0158334号</t>
    <phoneticPr fontId="3" type="noConversion"/>
  </si>
  <si>
    <t>浙（2017）余杭区不动产权第0158158号</t>
    <phoneticPr fontId="3" type="noConversion"/>
  </si>
  <si>
    <t>浙（2017）余杭区不动产权第0158185号</t>
    <phoneticPr fontId="3" type="noConversion"/>
  </si>
  <si>
    <t>浙（2017）余杭区不动产权第0158186号</t>
    <phoneticPr fontId="3" type="noConversion"/>
  </si>
  <si>
    <t>浙（2017）余杭区不动产权第0158418号</t>
    <phoneticPr fontId="3" type="noConversion"/>
  </si>
  <si>
    <t>浙（2017）余杭区不动产权第0158335号</t>
    <phoneticPr fontId="3" type="noConversion"/>
  </si>
  <si>
    <t>浙（2017）余杭区不动产权第0158217号</t>
    <phoneticPr fontId="3" type="noConversion"/>
  </si>
  <si>
    <t>浙（2017）余杭区不动产权第0158419号</t>
    <phoneticPr fontId="3" type="noConversion"/>
  </si>
  <si>
    <t>浙（2017）余杭区不动产权第0158218号</t>
    <phoneticPr fontId="3" type="noConversion"/>
  </si>
  <si>
    <t>浙（2017）余杭区不动产权第0158187号</t>
    <phoneticPr fontId="3" type="noConversion"/>
  </si>
  <si>
    <t>浙（2017）余杭区不动产权第0158159号</t>
    <phoneticPr fontId="3" type="noConversion"/>
  </si>
  <si>
    <t>浙（2017）余杭区不动产权第0158336号</t>
    <phoneticPr fontId="3" type="noConversion"/>
  </si>
  <si>
    <t>浙（2017）余杭区不动产权第0158337号</t>
  </si>
  <si>
    <t>浙（2017）余杭区不动产权第0158262号</t>
    <phoneticPr fontId="3" type="noConversion"/>
  </si>
  <si>
    <t>浙（2017）余杭区不动产权第0158338号</t>
    <phoneticPr fontId="3" type="noConversion"/>
  </si>
  <si>
    <t>浙（2017）余杭区不动产权第0158420号</t>
    <phoneticPr fontId="3" type="noConversion"/>
  </si>
  <si>
    <t>浙（2017）余杭区不动产权第0158219号</t>
    <phoneticPr fontId="3" type="noConversion"/>
  </si>
  <si>
    <t>浙（2017）余杭区不动产权第0158421号</t>
    <phoneticPr fontId="3" type="noConversion"/>
  </si>
  <si>
    <t>浙（2017）余杭区不动产权第0158295号</t>
    <phoneticPr fontId="3" type="noConversion"/>
  </si>
  <si>
    <t>浙（2017）余杭区不动产权第0158220号</t>
    <phoneticPr fontId="3" type="noConversion"/>
  </si>
  <si>
    <t>浙（2017）余杭区不动产权第0158296号</t>
    <phoneticPr fontId="3" type="noConversion"/>
  </si>
  <si>
    <t>浙（2017）余杭区不动产权第0158297号</t>
    <phoneticPr fontId="3" type="noConversion"/>
  </si>
  <si>
    <t>浙（2017）余杭区不动产权第0158298号</t>
    <phoneticPr fontId="3" type="noConversion"/>
  </si>
  <si>
    <t>浙（2017）余杭区不动产权第0158422号</t>
    <phoneticPr fontId="3" type="noConversion"/>
  </si>
  <si>
    <t>浙（2017）余杭区不动产权第0158160号</t>
    <phoneticPr fontId="3" type="noConversion"/>
  </si>
  <si>
    <t>浙（2017）余杭区不动产权第0158188号</t>
    <phoneticPr fontId="3" type="noConversion"/>
  </si>
  <si>
    <t>浙（2017）余杭区不动产权第0158423号</t>
    <phoneticPr fontId="3" type="noConversion"/>
  </si>
  <si>
    <t>浙（2017）余杭区不动产权第0158339号</t>
    <phoneticPr fontId="3" type="noConversion"/>
  </si>
  <si>
    <t>浙（2017）余杭区不动产权第0158340号</t>
    <phoneticPr fontId="3" type="noConversion"/>
  </si>
  <si>
    <t>浙（2017）余杭区不动产权第0158341号</t>
  </si>
  <si>
    <t>浙（2017）余杭区不动产权第0158221号</t>
    <phoneticPr fontId="3" type="noConversion"/>
  </si>
  <si>
    <t>浙（2017）余杭区不动产权第0158263号</t>
    <phoneticPr fontId="3" type="noConversion"/>
  </si>
  <si>
    <t>浙（2017）余杭区不动产权第0158424号</t>
    <phoneticPr fontId="3" type="noConversion"/>
  </si>
  <si>
    <t>浙（2017）余杭区不动产权第0158189号</t>
    <phoneticPr fontId="3" type="noConversion"/>
  </si>
  <si>
    <t>浙（2017）余杭区不动产权第0158425号</t>
    <phoneticPr fontId="3" type="noConversion"/>
  </si>
  <si>
    <t>浙（2017）余杭区不动产权第0158264号</t>
    <phoneticPr fontId="3" type="noConversion"/>
  </si>
  <si>
    <t>浙（2017）余杭区不动产权第0158426号</t>
    <phoneticPr fontId="3" type="noConversion"/>
  </si>
  <si>
    <t>浙（2017）余杭区不动产权第0158427号</t>
    <phoneticPr fontId="3" type="noConversion"/>
  </si>
  <si>
    <t>浙（2017）余杭区不动产权第0158190号</t>
    <phoneticPr fontId="3" type="noConversion"/>
  </si>
  <si>
    <t>浙（2017）余杭区不动产权第0158376号</t>
    <phoneticPr fontId="3" type="noConversion"/>
  </si>
  <si>
    <t>浙（2017）余杭区不动产权第0158300号</t>
    <phoneticPr fontId="3" type="noConversion"/>
  </si>
  <si>
    <t>浙（2017）余杭区不动产权第0158342号</t>
    <phoneticPr fontId="3" type="noConversion"/>
  </si>
  <si>
    <t>浙（2017）余杭区不动产权第0158343号</t>
    <phoneticPr fontId="3" type="noConversion"/>
  </si>
  <si>
    <t>浙（2017）余杭区不动产权第0158428号</t>
    <phoneticPr fontId="3" type="noConversion"/>
  </si>
  <si>
    <t>浙（2017）余杭区不动产权第0158265号</t>
    <phoneticPr fontId="3" type="noConversion"/>
  </si>
  <si>
    <t>浙（2017）余杭区不动产权第0158344号</t>
    <phoneticPr fontId="3" type="noConversion"/>
  </si>
  <si>
    <t>浙（2017）余杭区不动产权第0158222号</t>
    <phoneticPr fontId="3" type="noConversion"/>
  </si>
  <si>
    <t>浙（2017）余杭区不动产权第0158301号</t>
    <phoneticPr fontId="3" type="noConversion"/>
  </si>
  <si>
    <t>浙（2017）余杭区不动产权第0158191号</t>
    <phoneticPr fontId="3" type="noConversion"/>
  </si>
  <si>
    <t>浙（2017）余杭区不动产权第0158161号</t>
    <phoneticPr fontId="3" type="noConversion"/>
  </si>
  <si>
    <t>浙（2017）余杭区不动产权第0158429号</t>
    <phoneticPr fontId="3" type="noConversion"/>
  </si>
  <si>
    <t>浙（2017）余杭区不动产权第0158162号</t>
    <phoneticPr fontId="3" type="noConversion"/>
  </si>
  <si>
    <t>浙（2017）余杭区不动产权第0158192号</t>
    <phoneticPr fontId="3" type="noConversion"/>
  </si>
  <si>
    <t>浙（2017）余杭区不动产权第0158267号</t>
    <phoneticPr fontId="3" type="noConversion"/>
  </si>
  <si>
    <t>浙（2017）余杭区不动产权第0158377号</t>
    <phoneticPr fontId="3" type="noConversion"/>
  </si>
  <si>
    <t>浙（2017）余杭区不动产权第0158302号</t>
    <phoneticPr fontId="3" type="noConversion"/>
  </si>
  <si>
    <t>浙（2017）余杭区不动产权第0158163号</t>
    <phoneticPr fontId="3" type="noConversion"/>
  </si>
  <si>
    <t>浙（2017）余杭区不动产权第0158193号</t>
    <phoneticPr fontId="3" type="noConversion"/>
  </si>
  <si>
    <t>浙（2017）余杭区不动产权第0158345号</t>
    <phoneticPr fontId="3" type="noConversion"/>
  </si>
  <si>
    <t>浙（2017）余杭区不动产权第0158268号</t>
    <phoneticPr fontId="3" type="noConversion"/>
  </si>
  <si>
    <t>浙（2017）余杭区不动产权第0158430号</t>
    <phoneticPr fontId="3" type="noConversion"/>
  </si>
  <si>
    <t>浙（2017）余杭区不动产权第0158266号</t>
    <phoneticPr fontId="3" type="noConversion"/>
  </si>
  <si>
    <t>浙（2017）余杭区不动产权第0158165号</t>
    <phoneticPr fontId="3" type="noConversion"/>
  </si>
  <si>
    <t>浙（2017）余杭区不动产权第0158436号</t>
    <phoneticPr fontId="3" type="noConversion"/>
  </si>
  <si>
    <t>浙（2017）余杭区不动产权第0158195号</t>
    <phoneticPr fontId="3" type="noConversion"/>
  </si>
  <si>
    <t>浙（2017）余杭区不动产权第0158351号</t>
    <phoneticPr fontId="3" type="noConversion"/>
  </si>
  <si>
    <t>浙（2017）余杭区不动产权第0158437号</t>
    <phoneticPr fontId="3" type="noConversion"/>
  </si>
  <si>
    <t>浙（2017）余杭区不动产权第0158307号</t>
    <phoneticPr fontId="3" type="noConversion"/>
  </si>
  <si>
    <t>浙（2017）余杭区不动产权第0158385号</t>
    <phoneticPr fontId="3" type="noConversion"/>
  </si>
  <si>
    <t>浙（2017）余杭区不动产权第0158308号</t>
    <phoneticPr fontId="3" type="noConversion"/>
  </si>
  <si>
    <t>浙（2017）余杭区不动产权第0158473号</t>
    <phoneticPr fontId="3" type="noConversion"/>
  </si>
  <si>
    <t>浙（2017）余杭区不动产权第0158386号</t>
    <phoneticPr fontId="3" type="noConversion"/>
  </si>
  <si>
    <t>浙（2017）余杭区不动产权第0158472号</t>
    <phoneticPr fontId="3" type="noConversion"/>
  </si>
  <si>
    <t>浙（2017）余杭区不动产权第0158309号</t>
    <phoneticPr fontId="3" type="noConversion"/>
  </si>
  <si>
    <t>浙（2017）余杭区不动产权第0158387号</t>
    <phoneticPr fontId="3" type="noConversion"/>
  </si>
  <si>
    <t>浙（2017）余杭区不动产权第0158388号</t>
    <phoneticPr fontId="3" type="noConversion"/>
  </si>
  <si>
    <t>浙（2017）余杭区不动产权第0158271号</t>
    <phoneticPr fontId="3" type="noConversion"/>
  </si>
  <si>
    <t>浙（2017）余杭区不动产权第0158438号</t>
    <phoneticPr fontId="3" type="noConversion"/>
  </si>
  <si>
    <t>浙（2017）余杭区不动产权第0158196号</t>
    <phoneticPr fontId="3" type="noConversion"/>
  </si>
  <si>
    <t>浙（2017）余杭区不动产权第0158352号</t>
    <phoneticPr fontId="3" type="noConversion"/>
  </si>
  <si>
    <t>浙（2017）余杭区不动产权第0158353号</t>
    <phoneticPr fontId="3" type="noConversion"/>
  </si>
  <si>
    <t>浙（2017）余杭区不动产权第0158273号</t>
    <phoneticPr fontId="3" type="noConversion"/>
  </si>
  <si>
    <t>浙（2017）余杭区不动产权第0158354号</t>
    <phoneticPr fontId="3" type="noConversion"/>
  </si>
  <si>
    <t>浙（2017）余杭区不动产权第0158167号</t>
    <phoneticPr fontId="3" type="noConversion"/>
  </si>
  <si>
    <t>浙（2017）余杭区不动产权第0158275号</t>
    <phoneticPr fontId="3" type="noConversion"/>
  </si>
  <si>
    <t>浙（2017）余杭区不动产权第0158197号</t>
    <phoneticPr fontId="3" type="noConversion"/>
  </si>
  <si>
    <t>浙（2017）余杭区不动产权第0158312号</t>
    <phoneticPr fontId="3" type="noConversion"/>
  </si>
  <si>
    <t>浙（2017）余杭区不动产权第0158391号</t>
    <phoneticPr fontId="3" type="noConversion"/>
  </si>
  <si>
    <t>浙（2017）余杭区不动产权第0158168号</t>
    <phoneticPr fontId="3" type="noConversion"/>
  </si>
  <si>
    <t>是</t>
  </si>
  <si>
    <t>地上</t>
  </si>
  <si>
    <t>独立商业</t>
  </si>
  <si>
    <t>其他商业</t>
    <phoneticPr fontId="3" type="noConversion"/>
  </si>
  <si>
    <t>成新度</t>
  </si>
  <si>
    <t>收益法 (元)</t>
  </si>
  <si>
    <t>未包含在土地购买价格中</t>
  </si>
  <si>
    <t>已包含在土地取得成本中</t>
  </si>
  <si>
    <t>项目局部</t>
  </si>
  <si>
    <t>押二</t>
  </si>
  <si>
    <t>按租金收入计税</t>
  </si>
  <si>
    <t>非生产用房</t>
  </si>
  <si>
    <t>钢混</t>
  </si>
  <si>
    <t>成本法 (元)</t>
  </si>
  <si>
    <t>成本比率</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</si>
  <si>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</si>
  <si>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</si>
  <si>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</si>
  <si>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</si>
  <si>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</si>
  <si>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</si>
  <si>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</si>
  <si>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</si>
  <si>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</si>
  <si>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</si>
  <si>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</si>
  <si>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</si>
  <si>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</si>
  <si>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临平新城核心区B-4-09地块</t>
  </si>
  <si>
    <t>杭州市</t>
  </si>
  <si>
    <t>商业/办公用地</t>
  </si>
  <si>
    <t>≥2.8≤3.1</t>
  </si>
  <si>
    <t>挂牌</t>
  </si>
  <si>
    <t>2018-10-11</t>
  </si>
  <si>
    <t>杭州南苑控股(集团)有限公司</t>
  </si>
  <si>
    <t>≥2≤2.5</t>
  </si>
  <si>
    <t>2018-05-10</t>
  </si>
  <si>
    <t>杭州衢海投资管理有限公司</t>
  </si>
  <si>
    <t>≥1.8≤2.9</t>
  </si>
  <si>
    <t>2018-03-21</t>
  </si>
  <si>
    <t>杭州兴耀房地产开发集团有限公司</t>
  </si>
  <si>
    <t>宁波梅山保税港区凯澜投资管理有限公司</t>
  </si>
  <si>
    <t>临平新城南区块C2-4拟招拍挂地块</t>
  </si>
  <si>
    <t>≥1.5≤1.8</t>
  </si>
  <si>
    <t>2017-11-08</t>
  </si>
  <si>
    <t>杭州余杭区保障房建设有限公司</t>
  </si>
  <si>
    <t>≥3≤3.4</t>
  </si>
  <si>
    <t>浙江星创置业有限公司</t>
  </si>
  <si>
    <t>余杭街道凤新路南侧商业商务地块二</t>
  </si>
  <si>
    <t>≥2.5≤3.1</t>
  </si>
  <si>
    <t>≥3≤3.5</t>
  </si>
  <si>
    <t>杭州港久置业有限公司</t>
  </si>
  <si>
    <t>临平新城翁梅街以南、临乔路以西拟招拍挂地块</t>
  </si>
  <si>
    <t>≤1.3</t>
  </si>
  <si>
    <t>2017-11-06</t>
  </si>
  <si>
    <t>杭州杭销市场管理有限公司</t>
  </si>
  <si>
    <t>百丈镇溪口村</t>
  </si>
  <si>
    <t>≤0.98</t>
  </si>
  <si>
    <t>2017-09-11</t>
  </si>
  <si>
    <t>杭州柏诚山缦酒店有限公司</t>
  </si>
  <si>
    <t>≤1.1</t>
  </si>
  <si>
    <t>杭州利川生态农业开发有限公司</t>
  </si>
  <si>
    <t>临平新城(临平新城核心区B-5-03拟招拍挂地块)</t>
  </si>
  <si>
    <t>≥2.4≤2.6</t>
  </si>
  <si>
    <t>2017-08-11</t>
  </si>
  <si>
    <t>杭州宏璟置业有限公司</t>
  </si>
  <si>
    <t>≥2≤2.1</t>
  </si>
  <si>
    <t>上海泰腾企业管理咨询有限公司</t>
  </si>
  <si>
    <t>良渚街道吴家厍村、管家塘村</t>
  </si>
  <si>
    <t>2017-06-12</t>
  </si>
  <si>
    <t>上海传嘉实业有限公司</t>
  </si>
  <si>
    <t>余杭区塘栖镇圣堂漾地块</t>
  </si>
  <si>
    <t>2016-12-26</t>
  </si>
  <si>
    <t>杭州余杭运河综合保护开发建设有限公司</t>
  </si>
  <si>
    <t>杭州未来科技城杭州未来科技城203号地块</t>
  </si>
  <si>
    <t>杭州未来科技城建设有限公司</t>
  </si>
  <si>
    <t>艺尚小镇文化街区二期B地块</t>
  </si>
  <si>
    <t>1.0-1.1</t>
  </si>
  <si>
    <t>2016-11-28</t>
  </si>
  <si>
    <t>1.0-1.3</t>
  </si>
  <si>
    <t>仁和大道以西商业地块(洛阳村村级留用地)</t>
  </si>
  <si>
    <t>1.5-2.0</t>
  </si>
  <si>
    <t>2016-10-19</t>
  </si>
  <si>
    <t>德清求是教育发展有限公司</t>
  </si>
  <si>
    <t>临平新城核心区A-3-01地块</t>
  </si>
  <si>
    <t>2016-06-30</t>
  </si>
  <si>
    <t>杭州余杭良熟股份经济合作社</t>
  </si>
  <si>
    <t>径山镇207省道东侧求是加油加气站地块</t>
  </si>
  <si>
    <t>≤0.4</t>
  </si>
  <si>
    <t>2016-06-16</t>
  </si>
  <si>
    <t>杭州长能投资管理有限公司</t>
  </si>
  <si>
    <t>余杭街道金星村地块四</t>
  </si>
  <si>
    <t>1.5-2.0*</t>
  </si>
  <si>
    <t>2016-06-01</t>
  </si>
  <si>
    <t>大连万达商业地产股份有限公司</t>
  </si>
  <si>
    <t>杭州未来科技城(CBD区块)09号地块</t>
  </si>
  <si>
    <t>4.5-5.0</t>
  </si>
  <si>
    <t>2016-05-24</t>
  </si>
  <si>
    <t>新湖地产集团有限公司</t>
  </si>
  <si>
    <t>余杭海创园7-2号地块</t>
  </si>
  <si>
    <t>2.0-2.5</t>
  </si>
  <si>
    <t>2016-05-16</t>
  </si>
  <si>
    <t>杭州永鑫实业投资有限公司</t>
  </si>
  <si>
    <t>鸬鸟镇山沟沟村旅游设施地块</t>
  </si>
  <si>
    <t>2016-04-25</t>
  </si>
  <si>
    <t>杭州依森特实业有限公司</t>
  </si>
  <si>
    <t>良熟一号路以西、汀兰路以南地块</t>
  </si>
  <si>
    <t>0.7-0.8</t>
  </si>
  <si>
    <t>临平藕花洲大街南侧、宝幢路东侧地块(苏家村级留用地)</t>
  </si>
  <si>
    <t>3.0-3.8</t>
  </si>
  <si>
    <t>2016-04-21</t>
  </si>
  <si>
    <t>杭州加悦都实业有限公司</t>
  </si>
  <si>
    <t>杭州未来科技城五常北部创意园十一号出让地块</t>
  </si>
  <si>
    <t>2.5-3.0</t>
  </si>
  <si>
    <t>2016-02-15</t>
  </si>
  <si>
    <t>浙江核新同花顺网络信息股份有限公司</t>
  </si>
  <si>
    <t>杭州未来科技城80号出让地</t>
  </si>
  <si>
    <t>≤1.0</t>
  </si>
  <si>
    <t>兴源控股有限公司</t>
  </si>
  <si>
    <t>南苑街道新安村村级留用地</t>
  </si>
  <si>
    <t>4.0-4.03</t>
  </si>
  <si>
    <t>2016-01-08</t>
  </si>
  <si>
    <t>杭州乡厨盟邦食品有限公司</t>
  </si>
  <si>
    <t>余杭海创园9号B地块</t>
  </si>
  <si>
    <t>1.5-1.51</t>
  </si>
  <si>
    <t>2015-12-31</t>
  </si>
  <si>
    <t>杭州陆金财富管理有限公司</t>
  </si>
  <si>
    <t>临平星光街以南、邋遢港以西拟招拍挂地块</t>
  </si>
  <si>
    <t>2-2.3</t>
  </si>
  <si>
    <t>2015-12-29</t>
  </si>
  <si>
    <t>杭州汤氏土石方工程有限公司</t>
  </si>
  <si>
    <t>余杭组团2号B地块</t>
  </si>
  <si>
    <t>2015-12-23</t>
  </si>
  <si>
    <t>浙江森马电子商务有限公司</t>
  </si>
  <si>
    <t>瓶窑镇瓶仓大道以西,前程路以北地块</t>
  </si>
  <si>
    <t>2015-12-21</t>
  </si>
  <si>
    <t>杭州骏峰投资有限公司</t>
  </si>
  <si>
    <t>径山镇绿景村</t>
    <phoneticPr fontId="143" type="noConversion"/>
  </si>
  <si>
    <t>天元路南侧</t>
    <phoneticPr fontId="143" type="noConversion"/>
  </si>
  <si>
    <t>余杭街道凤新路南侧商业商务地块四</t>
    <phoneticPr fontId="143" type="noConversion"/>
  </si>
  <si>
    <t>余杭街道凤新路南侧商业商务地块三</t>
    <phoneticPr fontId="143" type="noConversion"/>
  </si>
  <si>
    <t>杭州未来科技城211号地块</t>
    <phoneticPr fontId="143" type="noConversion"/>
  </si>
  <si>
    <t>艺尚小镇文化街区二期A地块</t>
    <phoneticPr fontId="143" type="noConversion"/>
  </si>
  <si>
    <t>临平新城核心区B-5-06拟招拍挂地块</t>
    <phoneticPr fontId="143" type="noConversion"/>
  </si>
  <si>
    <t>杭州未来科技城(余杭海创园9号A地块)</t>
    <phoneticPr fontId="143" type="noConversion"/>
  </si>
  <si>
    <t>商业</t>
    <phoneticPr fontId="31" type="noConversion"/>
  </si>
  <si>
    <t>一般</t>
  </si>
  <si>
    <t>较差</t>
  </si>
  <si>
    <t>较好</t>
  </si>
  <si>
    <t>六通</t>
  </si>
  <si>
    <t>主干道</t>
  </si>
  <si>
    <t>主干道</t>
    <phoneticPr fontId="31" type="noConversion"/>
  </si>
  <si>
    <t>支路</t>
  </si>
  <si>
    <t>支路</t>
    <phoneticPr fontId="31" type="noConversion"/>
  </si>
  <si>
    <t>较规则</t>
  </si>
  <si>
    <t>较规则</t>
    <phoneticPr fontId="31" type="noConversion"/>
  </si>
  <si>
    <t>比例较适宜</t>
  </si>
  <si>
    <t>比例较适宜</t>
    <phoneticPr fontId="31" type="noConversion"/>
  </si>
  <si>
    <t>五通一平</t>
  </si>
  <si>
    <t>五通一平</t>
    <phoneticPr fontId="31" type="noConversion"/>
  </si>
  <si>
    <t>较好</t>
    <phoneticPr fontId="31" type="noConversion"/>
  </si>
  <si>
    <t>楼层</t>
  </si>
  <si>
    <t>建筑面积</t>
    <phoneticPr fontId="25" type="noConversion"/>
  </si>
  <si>
    <t>修正系数</t>
    <phoneticPr fontId="25" type="noConversion"/>
  </si>
  <si>
    <t>修正单价</t>
    <phoneticPr fontId="25" type="noConversion"/>
  </si>
  <si>
    <t>总价</t>
    <phoneticPr fontId="25"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</si>
  <si>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</si>
  <si>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</si>
  <si>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</si>
  <si>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t>序号</t>
  </si>
  <si>
    <t>不动产权证号</t>
  </si>
  <si>
    <t>房号</t>
    <phoneticPr fontId="25" type="noConversion"/>
  </si>
  <si>
    <r>
      <t>浙（</t>
    </r>
    <r>
      <rPr>
        <sz val="9"/>
        <color rgb="FF000000"/>
        <rFont val="Arial"/>
        <family val="2"/>
      </rPr>
      <t>2017</t>
    </r>
    <r>
      <rPr>
        <sz val="9"/>
        <color rgb="FF000000"/>
        <rFont val="华文细黑"/>
        <family val="3"/>
        <charset val="134"/>
      </rPr>
      <t>）余杭区不动产权第</t>
    </r>
    <r>
      <rPr>
        <sz val="9"/>
        <color rgb="FF000000"/>
        <rFont val="Arial"/>
        <family val="2"/>
      </rPr>
      <t>0158164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</si>
  <si>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</si>
  <si>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</si>
  <si>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</si>
  <si>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</si>
  <si>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</si>
  <si>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</si>
  <si>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</si>
  <si>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</si>
  <si>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</si>
  <si>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</si>
  <si>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</si>
  <si>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</si>
  <si>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</si>
  <si>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</si>
  <si>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</si>
  <si>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</si>
  <si>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</si>
  <si>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</si>
  <si>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</si>
  <si>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</si>
  <si>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</si>
  <si>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</si>
  <si>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</si>
  <si>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</si>
  <si>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</si>
  <si>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</si>
  <si>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</si>
  <si>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</si>
  <si>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</si>
  <si>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</si>
  <si>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</si>
  <si>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</si>
  <si>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</si>
  <si>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</si>
  <si>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</si>
  <si>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</si>
  <si>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</si>
  <si>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</si>
  <si>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</si>
  <si>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</si>
  <si>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</si>
  <si>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</si>
  <si>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</si>
  <si>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</si>
  <si>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</si>
  <si>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</si>
  <si>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</si>
  <si>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</si>
  <si>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</si>
  <si>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</si>
  <si>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</si>
  <si>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</si>
  <si>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</si>
  <si>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</si>
  <si>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</si>
  <si>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</si>
  <si>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</si>
  <si>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</si>
  <si>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</si>
  <si>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</si>
  <si>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</si>
  <si>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</si>
  <si>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</si>
  <si>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</si>
  <si>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</si>
  <si>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</si>
  <si>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</si>
  <si>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</si>
  <si>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</si>
  <si>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</si>
  <si>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</si>
  <si>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</si>
  <si>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</si>
  <si>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</si>
  <si>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</si>
  <si>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</si>
  <si>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</si>
  <si>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</si>
  <si>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</si>
  <si>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</si>
  <si>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</si>
  <si>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</si>
  <si>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</si>
  <si>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</si>
  <si>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</si>
  <si>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</si>
  <si>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</si>
  <si>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</si>
  <si>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</si>
  <si>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</si>
  <si>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</si>
  <si>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</si>
  <si>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</si>
  <si>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</si>
  <si>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</si>
  <si>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</si>
  <si>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</si>
  <si>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</si>
  <si>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</si>
  <si>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</si>
  <si>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</si>
  <si>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</si>
  <si>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</si>
  <si>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</si>
  <si>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</si>
  <si>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</si>
  <si>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</si>
  <si>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</si>
  <si>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</si>
  <si>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</si>
  <si>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</si>
  <si>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</si>
  <si>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</si>
  <si>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</si>
  <si>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</si>
  <si>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</si>
  <si>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</si>
  <si>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</si>
  <si>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</si>
  <si>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</si>
  <si>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</si>
  <si>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</si>
  <si>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</si>
  <si>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</si>
  <si>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</si>
  <si>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</si>
  <si>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</si>
  <si>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</si>
  <si>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</si>
  <si>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</si>
  <si>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</si>
  <si>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</si>
  <si>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</si>
  <si>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</si>
  <si>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</si>
  <si>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</si>
  <si>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</si>
  <si>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</si>
  <si>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</si>
  <si>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</si>
  <si>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</si>
  <si>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</si>
  <si>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</si>
  <si>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</si>
  <si>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</si>
  <si>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</si>
  <si>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</si>
  <si>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</si>
  <si>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</si>
  <si>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</si>
  <si>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</si>
  <si>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</si>
  <si>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</si>
  <si>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</si>
  <si>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</si>
  <si>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</si>
  <si>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</si>
  <si>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</si>
  <si>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</si>
  <si>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</si>
  <si>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</si>
  <si>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</si>
  <si>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</si>
  <si>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</si>
  <si>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</si>
  <si>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</si>
  <si>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</si>
  <si>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</si>
  <si>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</si>
  <si>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</si>
  <si>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</si>
  <si>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</si>
  <si>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</si>
  <si>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</si>
  <si>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</si>
  <si>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</si>
  <si>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</si>
  <si>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</si>
  <si>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</si>
  <si>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</si>
  <si>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</si>
  <si>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</si>
  <si>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</si>
  <si>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</si>
  <si>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</si>
  <si>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</si>
  <si>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</si>
  <si>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</si>
  <si>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</si>
  <si>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</si>
  <si>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</si>
  <si>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</si>
  <si>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</si>
  <si>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</si>
  <si>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</si>
  <si>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</si>
  <si>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</si>
  <si>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</si>
  <si>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</si>
  <si>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</si>
  <si>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</si>
  <si>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</si>
  <si>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</si>
  <si>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</si>
  <si>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</si>
  <si>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</si>
  <si>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</si>
  <si>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</si>
  <si>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</si>
  <si>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</si>
  <si>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</si>
  <si>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</si>
  <si>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</si>
  <si>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</si>
  <si>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</si>
  <si>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</si>
  <si>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</si>
  <si>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</si>
  <si>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</si>
  <si>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</si>
  <si>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</si>
  <si>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</si>
  <si>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</si>
  <si>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</si>
  <si>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</si>
  <si>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</si>
  <si>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</si>
  <si>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</si>
  <si>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</si>
  <si>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</si>
  <si>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</si>
  <si>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</si>
  <si>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</si>
  <si>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</si>
  <si>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</si>
  <si>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</si>
  <si>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</si>
  <si>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</si>
  <si>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</si>
  <si>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</si>
  <si>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</si>
  <si>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</si>
  <si>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</si>
  <si>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</si>
  <si>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</si>
  <si>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</si>
  <si>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</si>
  <si>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</si>
  <si>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</si>
  <si>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</si>
  <si>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</si>
  <si>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</si>
  <si>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</si>
  <si>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</si>
  <si>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</si>
  <si>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</si>
  <si>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</si>
  <si>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</si>
  <si>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</si>
  <si>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</si>
  <si>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</si>
  <si>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</si>
  <si>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</si>
  <si>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</si>
  <si>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</si>
  <si>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</si>
  <si>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</si>
  <si>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</si>
  <si>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</si>
  <si>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</si>
  <si>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</si>
  <si>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</si>
  <si>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</si>
  <si>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</si>
  <si>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</si>
  <si>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</si>
  <si>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</si>
  <si>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</si>
  <si>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</si>
  <si>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</si>
  <si>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</si>
  <si>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0158168</t>
    </r>
    <r>
      <rPr>
        <sz val="9"/>
        <color rgb="FF000000"/>
        <rFont val="华文细黑"/>
        <family val="3"/>
        <charset val="134"/>
      </rPr>
      <t>号</t>
    </r>
  </si>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</sst>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11"/>
      <color rgb="FF000000"/>
      <name val="仿宋_GB2312"/>
      <family val="1"/>
      <charset val="134"/>
    </font>
    <font>
      <sz val="10"/>
      <color rgb="FF000000"/>
      <name val="仿宋_GB2312"/>
      <family val="1"/>
      <charset val="134"/>
    </font>
    <font>
      <sz val="11"/>
      <name val="宋体"/>
      <family val="3"/>
      <charset val="134"/>
      <scheme val="minor"/>
    </font>
    <font>
      <sz val="9"/>
      <color rgb="FF000000"/>
      <name val="华文细黑"/>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37" fillId="0" borderId="0" xfId="17">
      <alignment vertical="center"/>
    </xf>
    <xf numFmtId="0" fontId="255" fillId="0" borderId="0" xfId="17" applyFont="1">
      <alignment vertical="center"/>
    </xf>
    <xf numFmtId="0" fontId="37" fillId="0" borderId="0" xfId="17" applyAlignment="1">
      <alignment horizontal="center" vertical="center"/>
    </xf>
    <xf numFmtId="0" fontId="37" fillId="0" borderId="1" xfId="17" applyFont="1" applyBorder="1" applyAlignment="1">
      <alignment horizontal="center" vertical="center" wrapText="1"/>
    </xf>
    <xf numFmtId="0" fontId="37" fillId="0" borderId="0" xfId="17" applyAlignment="1">
      <alignment vertical="center" wrapText="1"/>
    </xf>
    <xf numFmtId="0" fontId="37" fillId="0" borderId="1" xfId="17" applyBorder="1" applyAlignment="1">
      <alignment horizontal="center" vertical="center"/>
    </xf>
    <xf numFmtId="0" fontId="98" fillId="0" borderId="1" xfId="17" applyFont="1" applyBorder="1" applyAlignment="1">
      <alignment horizontal="center" vertical="center"/>
    </xf>
    <xf numFmtId="0" fontId="256" fillId="0" borderId="1" xfId="17" applyFont="1" applyBorder="1" applyAlignment="1">
      <alignment horizontal="center" vertical="center" wrapText="1"/>
    </xf>
    <xf numFmtId="197" fontId="256" fillId="0" borderId="1" xfId="17" applyNumberFormat="1" applyFont="1" applyBorder="1" applyAlignment="1">
      <alignment horizontal="center" vertical="center" wrapText="1"/>
    </xf>
    <xf numFmtId="0" fontId="37" fillId="0" borderId="0" xfId="17" applyFont="1">
      <alignment vertical="center"/>
    </xf>
    <xf numFmtId="0" fontId="98" fillId="5" borderId="1" xfId="17" applyFont="1" applyFill="1" applyBorder="1" applyAlignment="1">
      <alignment horizontal="center" vertical="center"/>
    </xf>
    <xf numFmtId="0" fontId="80" fillId="0" borderId="1" xfId="0" applyFont="1" applyBorder="1" applyAlignment="1" applyProtection="1">
      <alignment vertical="center" wrapText="1"/>
      <protection locked="0"/>
    </xf>
    <xf numFmtId="0" fontId="99" fillId="0" borderId="0" xfId="0" applyFont="1" applyAlignment="1"/>
    <xf numFmtId="0" fontId="101" fillId="0" borderId="0" xfId="0" applyFont="1" applyAlignment="1"/>
    <xf numFmtId="0" fontId="257"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xf>
    <xf numFmtId="0" fontId="0" fillId="0" borderId="0" xfId="0" applyFill="1">
      <alignment vertical="center"/>
    </xf>
    <xf numFmtId="0" fontId="63" fillId="0" borderId="1" xfId="0"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wrapText="1"/>
    </xf>
    <xf numFmtId="178" fontId="63" fillId="0" borderId="1" xfId="0" applyNumberFormat="1"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xf>
    <xf numFmtId="178" fontId="0" fillId="0" borderId="0" xfId="0" applyNumberFormat="1" applyFill="1">
      <alignment vertical="center"/>
    </xf>
    <xf numFmtId="0" fontId="258" fillId="0" borderId="82" xfId="0" applyFont="1" applyBorder="1" applyAlignment="1">
      <alignment horizontal="justify" vertical="center" wrapText="1"/>
    </xf>
    <xf numFmtId="0" fontId="258" fillId="0" borderId="65" xfId="0" applyFont="1" applyBorder="1" applyAlignment="1">
      <alignment horizontal="justify" vertical="center" wrapText="1"/>
    </xf>
    <xf numFmtId="0" fontId="80" fillId="0" borderId="1" xfId="0" applyFont="1" applyFill="1" applyBorder="1" applyAlignment="1" applyProtection="1">
      <alignment horizontal="center" vertical="center" wrapText="1"/>
    </xf>
    <xf numFmtId="0" fontId="258" fillId="0" borderId="82" xfId="0" applyFont="1" applyBorder="1" applyAlignment="1">
      <alignment horizontal="justify" vertical="center"/>
    </xf>
    <xf numFmtId="0" fontId="258" fillId="0" borderId="81"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0" xfId="17" applyFont="1" applyAlignment="1">
      <alignment horizontal="center" vertical="center"/>
    </xf>
    <xf numFmtId="0" fontId="256" fillId="0" borderId="5" xfId="17" applyFont="1" applyBorder="1" applyAlignment="1">
      <alignment horizontal="center" vertical="center" wrapText="1"/>
    </xf>
    <xf numFmtId="0" fontId="256" fillId="0" borderId="54" xfId="17" applyFont="1" applyBorder="1" applyAlignment="1">
      <alignment horizontal="center" vertical="center" wrapText="1"/>
    </xf>
    <xf numFmtId="0" fontId="256" fillId="0" borderId="3" xfId="17"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Fill="1" applyAlignment="1">
      <alignment horizontal="center" vertical="center"/>
    </xf>
    <xf numFmtId="0" fontId="99" fillId="0" borderId="35"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估价对象为房地产，为所有。根据《国有土地使用证》[]，估价对象（分摊）出让国有建设用地使用权面积为10335.5平方米，建筑面积为34353.8平方米。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估价对象为房地产,属开发建设的商业项目，该项目尚在开发建设中。根据《国有土地使用证》[]，估价对象（分摊）出让国有建设用地使用权面积为10335.5平方米，规划建筑面积为34353.8平方米。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2018年11月1日（评估专业人员实地查勘之日）</v>
      </c>
    </row>
    <row r="13" spans="1:2" s="1594" customFormat="1">
      <c r="A13" s="1592" t="s">
        <v>1227</v>
      </c>
      <c r="B13" s="1593"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59</v>
      </c>
    </row>
    <row r="21" spans="1:2" s="1594" customFormat="1">
      <c r="A21" s="1592" t="s">
        <v>1235</v>
      </c>
      <c r="B21" s="1593">
        <f ca="1">'预评函-2'!D7</f>
        <v>19608</v>
      </c>
    </row>
    <row r="22" spans="1:2" s="1594" customFormat="1">
      <c r="A22" s="1592" t="s">
        <v>1236</v>
      </c>
      <c r="B22" s="1593" t="str">
        <f ca="1">'预评函-2'!D6</f>
        <v>伍拾玖万元整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59</v>
      </c>
    </row>
    <row r="31" spans="1:2" s="1594" customFormat="1">
      <c r="A31" s="1592" t="s">
        <v>1274</v>
      </c>
      <c r="B31" s="1593">
        <f ca="1">'预评函-2'!D15</f>
        <v>17</v>
      </c>
    </row>
    <row r="32" spans="1:2" s="1594" customFormat="1">
      <c r="A32" s="1592" t="s">
        <v>1241</v>
      </c>
      <c r="B32" s="1593" t="str">
        <f ca="1">'预评函-2'!D14</f>
        <v>伍拾玖万元整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34353.799999999996</v>
      </c>
    </row>
    <row r="44" spans="1:2" s="1594" customFormat="1">
      <c r="A44" s="1592" t="s">
        <v>1273</v>
      </c>
      <c r="B44" s="1593" t="str">
        <f>'预评函-3'!C2</f>
        <v>(分摊)土地面积</v>
      </c>
    </row>
    <row r="45" spans="1:2" s="1594" customFormat="1">
      <c r="A45" s="1592" t="s">
        <v>1245</v>
      </c>
      <c r="B45" s="1593">
        <f>'预评函-3'!C4</f>
        <v>10335.5</v>
      </c>
    </row>
    <row r="46" spans="1:2" s="1594" customFormat="1">
      <c r="A46" s="1592" t="s">
        <v>1271</v>
      </c>
      <c r="B46" s="1593" t="str">
        <f>'预评函-3'!D2</f>
        <v>出让国有建设用地使用权价值</v>
      </c>
    </row>
    <row r="47" spans="1:2" s="1594" customFormat="1">
      <c r="A47" s="1592" t="s">
        <v>1246</v>
      </c>
      <c r="B47" s="1593">
        <f ca="1">'预评函-3'!D4</f>
        <v>32</v>
      </c>
    </row>
    <row r="48" spans="1:2" s="1594" customFormat="1">
      <c r="A48" s="1592" t="s">
        <v>1247</v>
      </c>
      <c r="B48" s="1593">
        <f ca="1">'预评函-3'!E4</f>
        <v>10635</v>
      </c>
    </row>
    <row r="49" spans="1:2" s="1594" customFormat="1">
      <c r="A49" s="1592" t="s">
        <v>1248</v>
      </c>
      <c r="B49" s="1593" t="str">
        <f ca="1">'预评函-3'!D5</f>
        <v>叁拾贰万元整</v>
      </c>
    </row>
    <row r="50" spans="1:2" s="1594" customFormat="1">
      <c r="A50" s="1592" t="s">
        <v>1272</v>
      </c>
      <c r="B50" s="1593" t="str">
        <f>'预评函-3'!F2</f>
        <v>在建建筑物价值</v>
      </c>
    </row>
    <row r="51" spans="1:2" s="1594" customFormat="1">
      <c r="A51" s="1592" t="s">
        <v>1249</v>
      </c>
      <c r="B51" s="1593">
        <f ca="1">'预评函-3'!F4</f>
        <v>27</v>
      </c>
    </row>
    <row r="52" spans="1:2" s="1594" customFormat="1">
      <c r="A52" s="1592" t="s">
        <v>1250</v>
      </c>
      <c r="B52" s="1593">
        <f ca="1">'预评函-3'!G4</f>
        <v>8973</v>
      </c>
    </row>
    <row r="53" spans="1:2" s="1594" customFormat="1">
      <c r="A53" s="1592" t="s">
        <v>1278</v>
      </c>
      <c r="B53" s="1593" t="str">
        <f ca="1">'预评函-3'!F5</f>
        <v>贰拾柒万元整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2" t="s">
        <v>864</v>
      </c>
      <c r="C54" s="2019" t="s">
        <v>1281</v>
      </c>
    </row>
    <row r="55" spans="1:4">
      <c r="A55" s="3025"/>
      <c r="B55" s="2022" t="s">
        <v>865</v>
      </c>
      <c r="C55" s="2019" t="s">
        <v>1282</v>
      </c>
    </row>
    <row r="56" spans="1:4">
      <c r="A56" s="3025"/>
      <c r="B56" s="2022" t="s">
        <v>866</v>
      </c>
      <c r="C56" s="2019" t="s">
        <v>1286</v>
      </c>
    </row>
    <row r="57" spans="1:4">
      <c r="A57" s="3025"/>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2" customWidth="1"/>
    <col min="2" max="2" width="11.6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26" t="str">
        <f>IF(B10="北京市","北京市",C10)&amp;F10&amp;IF(结果表!G1="在建","出让国有建设用地使用权及在建建筑物",IF(结果表!G1="土地","出让国有建设用地使用权",))&amp;B9&amp;"预评估"</f>
        <v>房地产抵押价值预评估</v>
      </c>
      <c r="C1" s="3027"/>
      <c r="D1" s="3027"/>
      <c r="E1" s="3027"/>
      <c r="F1" s="3027"/>
      <c r="G1" s="3027"/>
      <c r="H1" s="3027"/>
      <c r="I1" s="302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1778</v>
      </c>
      <c r="B3" s="2036">
        <f>D3</f>
        <v>43405</v>
      </c>
      <c r="C3" s="2037" t="s">
        <v>1779</v>
      </c>
      <c r="D3" s="2036">
        <v>43405</v>
      </c>
      <c r="E3" s="2026"/>
      <c r="F3" s="2026"/>
      <c r="G3" s="2026"/>
      <c r="H3" s="2026"/>
      <c r="I3" s="2026"/>
      <c r="J3" s="2026"/>
      <c r="K3" s="2027"/>
      <c r="L3" s="2028"/>
      <c r="M3" s="2028"/>
      <c r="N3" s="2029"/>
      <c r="O3" s="2030"/>
      <c r="P3" s="2029"/>
      <c r="Q3" s="2029"/>
      <c r="R3" s="2029"/>
      <c r="S3" s="2031"/>
    </row>
    <row r="4" spans="1:19" ht="18" customHeight="1" thickBot="1">
      <c r="A4" s="2038" t="s">
        <v>1780</v>
      </c>
      <c r="B4" s="2039"/>
      <c r="C4" s="1039">
        <f>SUMIF(注册房地产估价师,B4,估价师及机构信息!B3:B24)</f>
        <v>0</v>
      </c>
      <c r="D4" s="2039"/>
      <c r="E4" s="1040">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3039</v>
      </c>
      <c r="C8" s="2056"/>
      <c r="D8" s="3029" t="s">
        <v>1785</v>
      </c>
      <c r="E8" s="2057" t="s">
        <v>3040</v>
      </c>
      <c r="F8" s="2058"/>
      <c r="G8" s="2026"/>
      <c r="H8" s="2026"/>
      <c r="I8" s="2026"/>
      <c r="J8" s="2042"/>
      <c r="K8" s="2043"/>
      <c r="L8" s="2028"/>
      <c r="M8" s="2028"/>
      <c r="N8" s="2029"/>
      <c r="O8" s="2030"/>
      <c r="P8" s="2029"/>
      <c r="Q8" s="2029"/>
      <c r="R8" s="2029"/>
    </row>
    <row r="9" spans="1:19" ht="18" customHeight="1" thickBot="1">
      <c r="A9" s="2040" t="s">
        <v>1786</v>
      </c>
      <c r="B9" s="2059" t="s">
        <v>3040</v>
      </c>
      <c r="C9" s="2060"/>
      <c r="D9" s="3030"/>
      <c r="E9" s="2059" t="s">
        <v>70</v>
      </c>
      <c r="F9" s="2061"/>
      <c r="G9" s="2062"/>
      <c r="H9" s="2062"/>
      <c r="I9" s="2062"/>
      <c r="J9" s="2042"/>
      <c r="K9" s="2054"/>
      <c r="L9" s="2028"/>
      <c r="M9" s="2028"/>
      <c r="N9" s="2029"/>
      <c r="O9" s="2030"/>
      <c r="P9" s="2029"/>
      <c r="Q9" s="2029"/>
      <c r="R9" s="2029"/>
    </row>
    <row r="10" spans="1:19" ht="18" customHeight="1" thickTop="1">
      <c r="A10" s="2063" t="s">
        <v>1787</v>
      </c>
      <c r="B10" s="2064" t="s">
        <v>3041</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3042</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3043</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v>56719</v>
      </c>
      <c r="F13" s="2080"/>
      <c r="G13" s="2080"/>
      <c r="H13" s="2080"/>
      <c r="I13" s="1049"/>
      <c r="J13" s="2042"/>
      <c r="K13" s="2054"/>
      <c r="L13" s="2028"/>
      <c r="M13" s="2028"/>
      <c r="N13" s="2029"/>
      <c r="O13" s="2030"/>
      <c r="P13" s="2029"/>
      <c r="Q13" s="2029"/>
      <c r="R13" s="2029"/>
    </row>
    <row r="14" spans="1:19" ht="18" customHeight="1">
      <c r="A14" s="2077"/>
      <c r="B14" s="2078"/>
      <c r="C14" s="2079" t="s">
        <v>1799</v>
      </c>
      <c r="D14" s="1052"/>
      <c r="E14" s="1052">
        <v>40</v>
      </c>
      <c r="F14" s="1052"/>
      <c r="G14" s="1052"/>
      <c r="H14" s="1052"/>
      <c r="I14" s="1052"/>
      <c r="J14" s="2042"/>
      <c r="K14" s="2081"/>
      <c r="L14" s="2028"/>
      <c r="M14" s="2028"/>
      <c r="N14" s="2029"/>
      <c r="O14" s="2030"/>
      <c r="P14" s="2029"/>
      <c r="Q14" s="2029"/>
      <c r="R14" s="2029"/>
    </row>
    <row r="15" spans="1:19" ht="18" customHeight="1">
      <c r="A15" s="2063"/>
      <c r="B15" s="2082"/>
      <c r="C15" s="2079" t="s">
        <v>1800</v>
      </c>
      <c r="D15" s="1051" t="str">
        <f>IF(B12="出让",IF(D13="","",ROUNDDOWN(MIN((D13-$D$3)/365,D14),2)),D14)</f>
        <v/>
      </c>
      <c r="E15" s="1051">
        <f>IF(B12="出让",IF(E13="","",ROUNDDOWN(MIN((E13-$D$3)/365,E14),2)),E14)</f>
        <v>36.47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3"/>
      <c r="L15" s="2084"/>
      <c r="M15" s="2084"/>
      <c r="N15" s="2085"/>
      <c r="O15" s="2084"/>
      <c r="P15" s="2085"/>
      <c r="Q15" s="2029"/>
      <c r="R15" s="2029"/>
    </row>
    <row r="16" spans="1:19" ht="30.75" customHeight="1">
      <c r="A16" s="2066" t="s">
        <v>1801</v>
      </c>
      <c r="B16" s="3036"/>
      <c r="C16" s="3037"/>
      <c r="D16" s="3038"/>
      <c r="E16" s="2086" t="s">
        <v>1802</v>
      </c>
      <c r="F16" s="3039"/>
      <c r="G16" s="3040"/>
      <c r="H16" s="3040"/>
      <c r="I16" s="3041"/>
      <c r="J16" s="2029"/>
      <c r="K16" s="2083"/>
      <c r="L16" s="2084"/>
      <c r="M16" s="2084"/>
      <c r="N16" s="2085"/>
      <c r="O16" s="2084"/>
      <c r="P16" s="2085"/>
      <c r="Q16" s="2029"/>
      <c r="R16" s="2029"/>
    </row>
    <row r="17" spans="1:22" ht="18" customHeight="1">
      <c r="A17" s="2087" t="s">
        <v>1803</v>
      </c>
      <c r="B17" s="2035" t="s">
        <v>1804</v>
      </c>
      <c r="C17" s="1056">
        <f>'数据-汇总表'!E3</f>
        <v>34353.799999999996</v>
      </c>
      <c r="D17" s="2088" t="s">
        <v>1805</v>
      </c>
      <c r="E17" s="3042" t="s">
        <v>1806</v>
      </c>
      <c r="F17" s="3043"/>
      <c r="G17" s="3043"/>
      <c r="H17" s="3043"/>
      <c r="I17" s="3044"/>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6">
        <f>'数据-汇总表'!D3</f>
        <v>10335.5</v>
      </c>
      <c r="D18" s="2091" t="s">
        <v>1805</v>
      </c>
      <c r="E18" s="3045" t="s">
        <v>1809</v>
      </c>
      <c r="F18" s="3046"/>
      <c r="G18" s="3046"/>
      <c r="H18" s="3046"/>
      <c r="I18" s="3047"/>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t="s">
        <v>3044</v>
      </c>
      <c r="D19" s="2093" t="s">
        <v>1812</v>
      </c>
      <c r="E19" s="2094" t="s">
        <v>70</v>
      </c>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32" t="s">
        <v>1814</v>
      </c>
      <c r="C20" s="3033"/>
      <c r="D20" s="3034" t="s">
        <v>1815</v>
      </c>
      <c r="E20" s="3035"/>
      <c r="F20" s="2098" t="s">
        <v>1816</v>
      </c>
      <c r="G20" s="2042"/>
      <c r="H20" s="2042"/>
      <c r="I20" s="2042"/>
      <c r="J20" s="2042"/>
      <c r="K20" s="3031" t="s">
        <v>1817</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5"/>
      <c r="O20" s="2084"/>
      <c r="P20" s="2085"/>
      <c r="Q20" s="2029"/>
      <c r="R20" s="2029"/>
      <c r="S20" s="2029"/>
      <c r="T20" s="2029"/>
      <c r="U20" s="2029"/>
      <c r="V20" s="2029"/>
    </row>
    <row r="21" spans="1:22" ht="24.75" customHeight="1">
      <c r="A21" s="2097"/>
      <c r="B21" s="2099" t="s">
        <v>3045</v>
      </c>
      <c r="C21" s="2100" t="s">
        <v>3046</v>
      </c>
      <c r="D21" s="2101"/>
      <c r="E21" s="2102"/>
      <c r="F21" s="2103"/>
      <c r="G21" s="2042"/>
      <c r="H21" s="2042"/>
      <c r="I21" s="2042"/>
      <c r="J21" s="2042"/>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5"/>
      <c r="O21" s="2084"/>
      <c r="P21" s="2085"/>
      <c r="Q21" s="2029"/>
      <c r="R21" s="2029"/>
      <c r="S21" s="2029"/>
      <c r="T21" s="2029"/>
      <c r="U21" s="2029"/>
      <c r="V21" s="2029"/>
    </row>
    <row r="22" spans="1:22" ht="24.75" customHeight="1" thickBot="1">
      <c r="A22" s="2097"/>
      <c r="B22" s="2104"/>
      <c r="C22" s="2100"/>
      <c r="D22" s="2026"/>
      <c r="E22" s="2026"/>
      <c r="F22" s="2105"/>
      <c r="G22" s="2042"/>
      <c r="H22" s="2042"/>
      <c r="I22" s="2042"/>
      <c r="J22" s="2042"/>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7"/>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7"/>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9" t="s">
        <v>1824</v>
      </c>
      <c r="B27" s="2063" t="s">
        <v>1825</v>
      </c>
      <c r="C27" s="2120" t="s">
        <v>3048</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9"/>
      <c r="B28" s="2035" t="s">
        <v>1826</v>
      </c>
      <c r="C28" s="2122" t="s">
        <v>3049</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9"/>
      <c r="B29" s="2035" t="s">
        <v>1827</v>
      </c>
      <c r="C29" s="2125" t="s">
        <v>3044</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50"/>
      <c r="B30" s="2035" t="s">
        <v>1828</v>
      </c>
      <c r="C30" s="3051"/>
      <c r="D30" s="305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53" t="s">
        <v>1829</v>
      </c>
      <c r="B31" s="2127" t="s">
        <v>3047</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5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5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48" t="s">
        <v>1838</v>
      </c>
      <c r="T34" s="2135" t="str">
        <f>NUMBERSTRING(7-K34,1)&amp;"通"</f>
        <v>七通</v>
      </c>
      <c r="U34" s="2029"/>
      <c r="V34" s="2029"/>
    </row>
    <row r="35" spans="1:22" ht="18" customHeight="1">
      <c r="A35" s="2136"/>
      <c r="B35" s="3055" t="s">
        <v>1839</v>
      </c>
      <c r="C35" s="3055"/>
      <c r="D35" s="3055"/>
      <c r="E35" s="3055"/>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面积!E289</f>
        <v>10335.5</v>
      </c>
      <c r="B3" s="14">
        <f>IF(C3="否",G5-AT5,G5)</f>
        <v>34353.799999999996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34353.799999999996</v>
      </c>
      <c r="H5" s="16">
        <f t="shared" ref="H5:AT5" si="0">SUM(H13:H656)</f>
        <v>34353.799999999996</v>
      </c>
      <c r="I5" s="16">
        <f t="shared" si="0"/>
        <v>34353.799999999996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34353.799999999996</v>
      </c>
      <c r="BA5" s="18">
        <f t="shared" si="1"/>
        <v>34353.799999999996</v>
      </c>
      <c r="BB5" s="18">
        <f t="shared" si="1"/>
        <v>34353.799999999996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10335.5</v>
      </c>
      <c r="F6" s="16" t="s">
        <v>1</v>
      </c>
      <c r="G6" s="16" t="s">
        <v>2</v>
      </c>
      <c r="H6" s="20">
        <f>SUMIF(I$12:AB$12,"总值",I6:AB6)</f>
        <v>10335.5</v>
      </c>
      <c r="I6" s="16">
        <f t="shared" ref="I6:AB6" si="2">ROUND($A$3*I5/$B$3,2)</f>
        <v>10335.5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10335.5</v>
      </c>
      <c r="AZ6" s="16" t="s">
        <v>3</v>
      </c>
      <c r="BA6" s="16">
        <f>ROUND($AY$6*BA5/$AZ$5,2)</f>
        <v>10335.5</v>
      </c>
      <c r="BB6" s="16">
        <f>ROUND($AY$6*BB5/$AZ$5,2)</f>
        <v>10335.5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3" t="s">
        <v>1890</v>
      </c>
      <c r="AD8" s="2189"/>
      <c r="AE8" s="2181"/>
      <c r="AF8" s="1818"/>
      <c r="AG8" s="1818"/>
      <c r="AH8" s="1818"/>
      <c r="AI8" s="1818"/>
      <c r="AJ8" s="1818"/>
      <c r="AK8" s="1818"/>
      <c r="AL8" s="1818"/>
      <c r="AM8" s="1818"/>
      <c r="AN8" s="1818"/>
      <c r="AO8" s="1818"/>
      <c r="AP8" s="1818"/>
      <c r="AQ8" s="1818"/>
      <c r="AR8" s="1818"/>
      <c r="AS8" s="1818"/>
      <c r="AT8" s="1294" t="s">
        <v>1891</v>
      </c>
      <c r="AU8" s="2183" t="s">
        <v>1892</v>
      </c>
      <c r="AV8" s="1294"/>
      <c r="AW8" s="2166"/>
      <c r="AX8" s="1294"/>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4"/>
      <c r="H9" s="2191" t="s">
        <v>1895</v>
      </c>
      <c r="I9" s="2192" t="s">
        <v>3346</v>
      </c>
      <c r="J9" s="983"/>
      <c r="K9" s="2192"/>
      <c r="L9" s="983"/>
      <c r="M9" s="2192"/>
      <c r="N9" s="983"/>
      <c r="O9" s="2192"/>
      <c r="P9" s="983"/>
      <c r="Q9" s="2192"/>
      <c r="R9" s="983"/>
      <c r="S9" s="2192"/>
      <c r="T9" s="983"/>
      <c r="U9" s="2192"/>
      <c r="V9" s="983"/>
      <c r="W9" s="2192"/>
      <c r="X9" s="2193"/>
      <c r="Y9" s="2192"/>
      <c r="Z9" s="983"/>
      <c r="AA9" s="2192"/>
      <c r="AB9" s="983"/>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18"/>
      <c r="BN9" s="2186"/>
      <c r="BO9" s="1818"/>
      <c r="BP9" s="1818"/>
      <c r="BQ9" s="1818"/>
      <c r="BR9" s="1818"/>
      <c r="BS9" s="1818"/>
      <c r="BT9" s="26"/>
    </row>
    <row r="10" spans="1:72" s="2190" customFormat="1" ht="12.75">
      <c r="A10" s="2183"/>
      <c r="B10" s="2183"/>
      <c r="C10" s="2183"/>
      <c r="D10" s="2183"/>
      <c r="E10" s="2183"/>
      <c r="F10" s="2183"/>
      <c r="G10" s="1294"/>
      <c r="H10" s="28"/>
      <c r="I10" s="2192" t="s">
        <v>1377</v>
      </c>
      <c r="J10" s="983"/>
      <c r="K10" s="2198"/>
      <c r="L10" s="983"/>
      <c r="M10" s="2198"/>
      <c r="N10" s="983"/>
      <c r="O10" s="2198"/>
      <c r="P10" s="983"/>
      <c r="Q10" s="2198"/>
      <c r="R10" s="983"/>
      <c r="S10" s="2198"/>
      <c r="T10" s="983"/>
      <c r="U10" s="2198"/>
      <c r="V10" s="983"/>
      <c r="W10" s="2198"/>
      <c r="X10" s="983"/>
      <c r="Y10" s="2198"/>
      <c r="Z10" s="983"/>
      <c r="AA10" s="2198"/>
      <c r="AB10" s="983"/>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4"/>
      <c r="H11" s="2200"/>
      <c r="I11" s="2203" t="s">
        <v>3347</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4"/>
      <c r="AW11" s="2166"/>
      <c r="AX11" s="1294"/>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独立商业</v>
      </c>
      <c r="BC12" s="2213">
        <f>K11</f>
        <v>0</v>
      </c>
      <c r="BD12" s="2213">
        <f>M11</f>
        <v>0</v>
      </c>
      <c r="BE12" s="2188">
        <f>O11</f>
        <v>0</v>
      </c>
      <c r="BF12" s="2188">
        <f>Q11</f>
        <v>0</v>
      </c>
      <c r="BG12" s="2188">
        <f>S11</f>
        <v>0</v>
      </c>
      <c r="BH12" s="2188">
        <f>U11</f>
        <v>0</v>
      </c>
      <c r="BI12" s="2188">
        <f>W11</f>
        <v>0</v>
      </c>
      <c r="BJ12" s="2188">
        <f>Y11</f>
        <v>0</v>
      </c>
      <c r="BK12" s="2188">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f>面积!C5</f>
        <v>101</v>
      </c>
      <c r="D13" s="2214" t="s">
        <v>3345</v>
      </c>
      <c r="E13" s="16">
        <f>IF($C$3="是",ROUND($A$3*G13/$B$3,2),ROUND($A$3*(G13-AT13)/$B$3,2))</f>
        <v>9.0500000000000007</v>
      </c>
      <c r="F13" s="32"/>
      <c r="G13" s="33">
        <f>H13+AC13+AT13</f>
        <v>30.09</v>
      </c>
      <c r="H13" s="20">
        <f>SUMIF(I$12:AB$12,"总值",I13:AB13)</f>
        <v>30.09</v>
      </c>
      <c r="I13" s="2215">
        <f>面积!D5</f>
        <v>30.09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101</v>
      </c>
      <c r="AY13" s="1806">
        <f>ROUND($AY$6*AZ13/$AZ$5,2)</f>
        <v>9.0500000000000007</v>
      </c>
      <c r="AZ13" s="16">
        <f>BA13+BL13</f>
        <v>30.09</v>
      </c>
      <c r="BA13" s="16">
        <f>SUM(BB13:BK13)</f>
        <v>30.09</v>
      </c>
      <c r="BB13" s="16">
        <f>IF($D13="是",I13-J13,0)</f>
        <v>30.09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957" t="s">
        <v>3348</v>
      </c>
      <c r="D14" s="2214" t="s">
        <v>3345</v>
      </c>
      <c r="E14" s="16">
        <f>IF($C$3="是",ROUND($A$3*G14/$B$3,2),ROUND($A$3*(G14-AT14)/$B$3,2))</f>
        <v>10326.450000000001</v>
      </c>
      <c r="F14" s="32"/>
      <c r="G14" s="33">
        <f>H14+AC14+AT14</f>
        <v>34323.71</v>
      </c>
      <c r="H14" s="20">
        <f>SUMIF(I$12:AB$12,"总值",I14:AB14)</f>
        <v>34323.71</v>
      </c>
      <c r="I14" s="2215">
        <f>面积!D289-I13</f>
        <v>34323.71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其他商业</v>
      </c>
      <c r="AY14" s="1806">
        <f>ROUND($AY$6*AZ14/$AZ$5,2)</f>
        <v>10326.450000000001</v>
      </c>
      <c r="AZ14" s="16">
        <f>BA14+BL14</f>
        <v>34323.71</v>
      </c>
      <c r="BA14" s="16">
        <f>SUM(BB14:BK14)</f>
        <v>34323.71</v>
      </c>
      <c r="BB14" s="16">
        <f>IF($D14="是",I14-J14,0)</f>
        <v>34323.71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9"/>
  <sheetViews>
    <sheetView workbookViewId="0">
      <pane xSplit="1" ySplit="4" topLeftCell="B275" activePane="bottomRight" state="frozen"/>
      <selection pane="topRight" activeCell="B1" sqref="B1"/>
      <selection pane="bottomLeft" activeCell="A3" sqref="A3"/>
      <selection pane="bottomRight" activeCell="D289" sqref="D289:E289"/>
    </sheetView>
  </sheetViews>
  <sheetFormatPr defaultColWidth="9" defaultRowHeight="14.25"/>
  <cols>
    <col min="1" max="1" width="7.625" style="2948" customWidth="1"/>
    <col min="2" max="2" width="35.5" style="2948" customWidth="1"/>
    <col min="3" max="3" width="8.375" style="2946" customWidth="1"/>
    <col min="4" max="4" width="12.75" style="2946" customWidth="1"/>
    <col min="5" max="5" width="11.125" style="2946" customWidth="1"/>
    <col min="6" max="6" width="12.5" style="2946" customWidth="1"/>
    <col min="7" max="7" width="12.75" style="2946" customWidth="1"/>
    <col min="8" max="256" width="9" style="2946"/>
    <col min="257" max="257" width="7.625" style="2946" customWidth="1"/>
    <col min="258" max="258" width="35.5" style="2946" customWidth="1"/>
    <col min="259" max="259" width="8" style="2946" customWidth="1"/>
    <col min="260" max="260" width="9.625" style="2946" bestFit="1" customWidth="1"/>
    <col min="261" max="261" width="9.125" style="2946" bestFit="1" customWidth="1"/>
    <col min="262" max="512" width="9" style="2946"/>
    <col min="513" max="513" width="7.625" style="2946" customWidth="1"/>
    <col min="514" max="514" width="35.5" style="2946" customWidth="1"/>
    <col min="515" max="515" width="8" style="2946" customWidth="1"/>
    <col min="516" max="516" width="9.625" style="2946" bestFit="1" customWidth="1"/>
    <col min="517" max="517" width="9.125" style="2946" bestFit="1" customWidth="1"/>
    <col min="518" max="768" width="9" style="2946"/>
    <col min="769" max="769" width="7.625" style="2946" customWidth="1"/>
    <col min="770" max="770" width="35.5" style="2946" customWidth="1"/>
    <col min="771" max="771" width="8" style="2946" customWidth="1"/>
    <col min="772" max="772" width="9.625" style="2946" bestFit="1" customWidth="1"/>
    <col min="773" max="773" width="9.125" style="2946" bestFit="1" customWidth="1"/>
    <col min="774" max="1024" width="9" style="2946"/>
    <col min="1025" max="1025" width="7.625" style="2946" customWidth="1"/>
    <col min="1026" max="1026" width="35.5" style="2946" customWidth="1"/>
    <col min="1027" max="1027" width="8" style="2946" customWidth="1"/>
    <col min="1028" max="1028" width="9.625" style="2946" bestFit="1" customWidth="1"/>
    <col min="1029" max="1029" width="9.125" style="2946" bestFit="1" customWidth="1"/>
    <col min="1030" max="1280" width="9" style="2946"/>
    <col min="1281" max="1281" width="7.625" style="2946" customWidth="1"/>
    <col min="1282" max="1282" width="35.5" style="2946" customWidth="1"/>
    <col min="1283" max="1283" width="8" style="2946" customWidth="1"/>
    <col min="1284" max="1284" width="9.625" style="2946" bestFit="1" customWidth="1"/>
    <col min="1285" max="1285" width="9.125" style="2946" bestFit="1" customWidth="1"/>
    <col min="1286" max="1536" width="9" style="2946"/>
    <col min="1537" max="1537" width="7.625" style="2946" customWidth="1"/>
    <col min="1538" max="1538" width="35.5" style="2946" customWidth="1"/>
    <col min="1539" max="1539" width="8" style="2946" customWidth="1"/>
    <col min="1540" max="1540" width="9.625" style="2946" bestFit="1" customWidth="1"/>
    <col min="1541" max="1541" width="9.125" style="2946" bestFit="1" customWidth="1"/>
    <col min="1542" max="1792" width="9" style="2946"/>
    <col min="1793" max="1793" width="7.625" style="2946" customWidth="1"/>
    <col min="1794" max="1794" width="35.5" style="2946" customWidth="1"/>
    <col min="1795" max="1795" width="8" style="2946" customWidth="1"/>
    <col min="1796" max="1796" width="9.625" style="2946" bestFit="1" customWidth="1"/>
    <col min="1797" max="1797" width="9.125" style="2946" bestFit="1" customWidth="1"/>
    <col min="1798" max="2048" width="9" style="2946"/>
    <col min="2049" max="2049" width="7.625" style="2946" customWidth="1"/>
    <col min="2050" max="2050" width="35.5" style="2946" customWidth="1"/>
    <col min="2051" max="2051" width="8" style="2946" customWidth="1"/>
    <col min="2052" max="2052" width="9.625" style="2946" bestFit="1" customWidth="1"/>
    <col min="2053" max="2053" width="9.125" style="2946" bestFit="1" customWidth="1"/>
    <col min="2054" max="2304" width="9" style="2946"/>
    <col min="2305" max="2305" width="7.625" style="2946" customWidth="1"/>
    <col min="2306" max="2306" width="35.5" style="2946" customWidth="1"/>
    <col min="2307" max="2307" width="8" style="2946" customWidth="1"/>
    <col min="2308" max="2308" width="9.625" style="2946" bestFit="1" customWidth="1"/>
    <col min="2309" max="2309" width="9.125" style="2946" bestFit="1" customWidth="1"/>
    <col min="2310" max="2560" width="9" style="2946"/>
    <col min="2561" max="2561" width="7.625" style="2946" customWidth="1"/>
    <col min="2562" max="2562" width="35.5" style="2946" customWidth="1"/>
    <col min="2563" max="2563" width="8" style="2946" customWidth="1"/>
    <col min="2564" max="2564" width="9.625" style="2946" bestFit="1" customWidth="1"/>
    <col min="2565" max="2565" width="9.125" style="2946" bestFit="1" customWidth="1"/>
    <col min="2566" max="2816" width="9" style="2946"/>
    <col min="2817" max="2817" width="7.625" style="2946" customWidth="1"/>
    <col min="2818" max="2818" width="35.5" style="2946" customWidth="1"/>
    <col min="2819" max="2819" width="8" style="2946" customWidth="1"/>
    <col min="2820" max="2820" width="9.625" style="2946" bestFit="1" customWidth="1"/>
    <col min="2821" max="2821" width="9.125" style="2946" bestFit="1" customWidth="1"/>
    <col min="2822" max="3072" width="9" style="2946"/>
    <col min="3073" max="3073" width="7.625" style="2946" customWidth="1"/>
    <col min="3074" max="3074" width="35.5" style="2946" customWidth="1"/>
    <col min="3075" max="3075" width="8" style="2946" customWidth="1"/>
    <col min="3076" max="3076" width="9.625" style="2946" bestFit="1" customWidth="1"/>
    <col min="3077" max="3077" width="9.125" style="2946" bestFit="1" customWidth="1"/>
    <col min="3078" max="3328" width="9" style="2946"/>
    <col min="3329" max="3329" width="7.625" style="2946" customWidth="1"/>
    <col min="3330" max="3330" width="35.5" style="2946" customWidth="1"/>
    <col min="3331" max="3331" width="8" style="2946" customWidth="1"/>
    <col min="3332" max="3332" width="9.625" style="2946" bestFit="1" customWidth="1"/>
    <col min="3333" max="3333" width="9.125" style="2946" bestFit="1" customWidth="1"/>
    <col min="3334" max="3584" width="9" style="2946"/>
    <col min="3585" max="3585" width="7.625" style="2946" customWidth="1"/>
    <col min="3586" max="3586" width="35.5" style="2946" customWidth="1"/>
    <col min="3587" max="3587" width="8" style="2946" customWidth="1"/>
    <col min="3588" max="3588" width="9.625" style="2946" bestFit="1" customWidth="1"/>
    <col min="3589" max="3589" width="9.125" style="2946" bestFit="1" customWidth="1"/>
    <col min="3590" max="3840" width="9" style="2946"/>
    <col min="3841" max="3841" width="7.625" style="2946" customWidth="1"/>
    <col min="3842" max="3842" width="35.5" style="2946" customWidth="1"/>
    <col min="3843" max="3843" width="8" style="2946" customWidth="1"/>
    <col min="3844" max="3844" width="9.625" style="2946" bestFit="1" customWidth="1"/>
    <col min="3845" max="3845" width="9.125" style="2946" bestFit="1" customWidth="1"/>
    <col min="3846" max="4096" width="9" style="2946"/>
    <col min="4097" max="4097" width="7.625" style="2946" customWidth="1"/>
    <col min="4098" max="4098" width="35.5" style="2946" customWidth="1"/>
    <col min="4099" max="4099" width="8" style="2946" customWidth="1"/>
    <col min="4100" max="4100" width="9.625" style="2946" bestFit="1" customWidth="1"/>
    <col min="4101" max="4101" width="9.125" style="2946" bestFit="1" customWidth="1"/>
    <col min="4102" max="4352" width="9" style="2946"/>
    <col min="4353" max="4353" width="7.625" style="2946" customWidth="1"/>
    <col min="4354" max="4354" width="35.5" style="2946" customWidth="1"/>
    <col min="4355" max="4355" width="8" style="2946" customWidth="1"/>
    <col min="4356" max="4356" width="9.625" style="2946" bestFit="1" customWidth="1"/>
    <col min="4357" max="4357" width="9.125" style="2946" bestFit="1" customWidth="1"/>
    <col min="4358" max="4608" width="9" style="2946"/>
    <col min="4609" max="4609" width="7.625" style="2946" customWidth="1"/>
    <col min="4610" max="4610" width="35.5" style="2946" customWidth="1"/>
    <col min="4611" max="4611" width="8" style="2946" customWidth="1"/>
    <col min="4612" max="4612" width="9.625" style="2946" bestFit="1" customWidth="1"/>
    <col min="4613" max="4613" width="9.125" style="2946" bestFit="1" customWidth="1"/>
    <col min="4614" max="4864" width="9" style="2946"/>
    <col min="4865" max="4865" width="7.625" style="2946" customWidth="1"/>
    <col min="4866" max="4866" width="35.5" style="2946" customWidth="1"/>
    <col min="4867" max="4867" width="8" style="2946" customWidth="1"/>
    <col min="4868" max="4868" width="9.625" style="2946" bestFit="1" customWidth="1"/>
    <col min="4869" max="4869" width="9.125" style="2946" bestFit="1" customWidth="1"/>
    <col min="4870" max="5120" width="9" style="2946"/>
    <col min="5121" max="5121" width="7.625" style="2946" customWidth="1"/>
    <col min="5122" max="5122" width="35.5" style="2946" customWidth="1"/>
    <col min="5123" max="5123" width="8" style="2946" customWidth="1"/>
    <col min="5124" max="5124" width="9.625" style="2946" bestFit="1" customWidth="1"/>
    <col min="5125" max="5125" width="9.125" style="2946" bestFit="1" customWidth="1"/>
    <col min="5126" max="5376" width="9" style="2946"/>
    <col min="5377" max="5377" width="7.625" style="2946" customWidth="1"/>
    <col min="5378" max="5378" width="35.5" style="2946" customWidth="1"/>
    <col min="5379" max="5379" width="8" style="2946" customWidth="1"/>
    <col min="5380" max="5380" width="9.625" style="2946" bestFit="1" customWidth="1"/>
    <col min="5381" max="5381" width="9.125" style="2946" bestFit="1" customWidth="1"/>
    <col min="5382" max="5632" width="9" style="2946"/>
    <col min="5633" max="5633" width="7.625" style="2946" customWidth="1"/>
    <col min="5634" max="5634" width="35.5" style="2946" customWidth="1"/>
    <col min="5635" max="5635" width="8" style="2946" customWidth="1"/>
    <col min="5636" max="5636" width="9.625" style="2946" bestFit="1" customWidth="1"/>
    <col min="5637" max="5637" width="9.125" style="2946" bestFit="1" customWidth="1"/>
    <col min="5638" max="5888" width="9" style="2946"/>
    <col min="5889" max="5889" width="7.625" style="2946" customWidth="1"/>
    <col min="5890" max="5890" width="35.5" style="2946" customWidth="1"/>
    <col min="5891" max="5891" width="8" style="2946" customWidth="1"/>
    <col min="5892" max="5892" width="9.625" style="2946" bestFit="1" customWidth="1"/>
    <col min="5893" max="5893" width="9.125" style="2946" bestFit="1" customWidth="1"/>
    <col min="5894" max="6144" width="9" style="2946"/>
    <col min="6145" max="6145" width="7.625" style="2946" customWidth="1"/>
    <col min="6146" max="6146" width="35.5" style="2946" customWidth="1"/>
    <col min="6147" max="6147" width="8" style="2946" customWidth="1"/>
    <col min="6148" max="6148" width="9.625" style="2946" bestFit="1" customWidth="1"/>
    <col min="6149" max="6149" width="9.125" style="2946" bestFit="1" customWidth="1"/>
    <col min="6150" max="6400" width="9" style="2946"/>
    <col min="6401" max="6401" width="7.625" style="2946" customWidth="1"/>
    <col min="6402" max="6402" width="35.5" style="2946" customWidth="1"/>
    <col min="6403" max="6403" width="8" style="2946" customWidth="1"/>
    <col min="6404" max="6404" width="9.625" style="2946" bestFit="1" customWidth="1"/>
    <col min="6405" max="6405" width="9.125" style="2946" bestFit="1" customWidth="1"/>
    <col min="6406" max="6656" width="9" style="2946"/>
    <col min="6657" max="6657" width="7.625" style="2946" customWidth="1"/>
    <col min="6658" max="6658" width="35.5" style="2946" customWidth="1"/>
    <col min="6659" max="6659" width="8" style="2946" customWidth="1"/>
    <col min="6660" max="6660" width="9.625" style="2946" bestFit="1" customWidth="1"/>
    <col min="6661" max="6661" width="9.125" style="2946" bestFit="1" customWidth="1"/>
    <col min="6662" max="6912" width="9" style="2946"/>
    <col min="6913" max="6913" width="7.625" style="2946" customWidth="1"/>
    <col min="6914" max="6914" width="35.5" style="2946" customWidth="1"/>
    <col min="6915" max="6915" width="8" style="2946" customWidth="1"/>
    <col min="6916" max="6916" width="9.625" style="2946" bestFit="1" customWidth="1"/>
    <col min="6917" max="6917" width="9.125" style="2946" bestFit="1" customWidth="1"/>
    <col min="6918" max="7168" width="9" style="2946"/>
    <col min="7169" max="7169" width="7.625" style="2946" customWidth="1"/>
    <col min="7170" max="7170" width="35.5" style="2946" customWidth="1"/>
    <col min="7171" max="7171" width="8" style="2946" customWidth="1"/>
    <col min="7172" max="7172" width="9.625" style="2946" bestFit="1" customWidth="1"/>
    <col min="7173" max="7173" width="9.125" style="2946" bestFit="1" customWidth="1"/>
    <col min="7174" max="7424" width="9" style="2946"/>
    <col min="7425" max="7425" width="7.625" style="2946" customWidth="1"/>
    <col min="7426" max="7426" width="35.5" style="2946" customWidth="1"/>
    <col min="7427" max="7427" width="8" style="2946" customWidth="1"/>
    <col min="7428" max="7428" width="9.625" style="2946" bestFit="1" customWidth="1"/>
    <col min="7429" max="7429" width="9.125" style="2946" bestFit="1" customWidth="1"/>
    <col min="7430" max="7680" width="9" style="2946"/>
    <col min="7681" max="7681" width="7.625" style="2946" customWidth="1"/>
    <col min="7682" max="7682" width="35.5" style="2946" customWidth="1"/>
    <col min="7683" max="7683" width="8" style="2946" customWidth="1"/>
    <col min="7684" max="7684" width="9.625" style="2946" bestFit="1" customWidth="1"/>
    <col min="7685" max="7685" width="9.125" style="2946" bestFit="1" customWidth="1"/>
    <col min="7686" max="7936" width="9" style="2946"/>
    <col min="7937" max="7937" width="7.625" style="2946" customWidth="1"/>
    <col min="7938" max="7938" width="35.5" style="2946" customWidth="1"/>
    <col min="7939" max="7939" width="8" style="2946" customWidth="1"/>
    <col min="7940" max="7940" width="9.625" style="2946" bestFit="1" customWidth="1"/>
    <col min="7941" max="7941" width="9.125" style="2946" bestFit="1" customWidth="1"/>
    <col min="7942" max="8192" width="9" style="2946"/>
    <col min="8193" max="8193" width="7.625" style="2946" customWidth="1"/>
    <col min="8194" max="8194" width="35.5" style="2946" customWidth="1"/>
    <col min="8195" max="8195" width="8" style="2946" customWidth="1"/>
    <col min="8196" max="8196" width="9.625" style="2946" bestFit="1" customWidth="1"/>
    <col min="8197" max="8197" width="9.125" style="2946" bestFit="1" customWidth="1"/>
    <col min="8198" max="8448" width="9" style="2946"/>
    <col min="8449" max="8449" width="7.625" style="2946" customWidth="1"/>
    <col min="8450" max="8450" width="35.5" style="2946" customWidth="1"/>
    <col min="8451" max="8451" width="8" style="2946" customWidth="1"/>
    <col min="8452" max="8452" width="9.625" style="2946" bestFit="1" customWidth="1"/>
    <col min="8453" max="8453" width="9.125" style="2946" bestFit="1" customWidth="1"/>
    <col min="8454" max="8704" width="9" style="2946"/>
    <col min="8705" max="8705" width="7.625" style="2946" customWidth="1"/>
    <col min="8706" max="8706" width="35.5" style="2946" customWidth="1"/>
    <col min="8707" max="8707" width="8" style="2946" customWidth="1"/>
    <col min="8708" max="8708" width="9.625" style="2946" bestFit="1" customWidth="1"/>
    <col min="8709" max="8709" width="9.125" style="2946" bestFit="1" customWidth="1"/>
    <col min="8710" max="8960" width="9" style="2946"/>
    <col min="8961" max="8961" width="7.625" style="2946" customWidth="1"/>
    <col min="8962" max="8962" width="35.5" style="2946" customWidth="1"/>
    <col min="8963" max="8963" width="8" style="2946" customWidth="1"/>
    <col min="8964" max="8964" width="9.625" style="2946" bestFit="1" customWidth="1"/>
    <col min="8965" max="8965" width="9.125" style="2946" bestFit="1" customWidth="1"/>
    <col min="8966" max="9216" width="9" style="2946"/>
    <col min="9217" max="9217" width="7.625" style="2946" customWidth="1"/>
    <col min="9218" max="9218" width="35.5" style="2946" customWidth="1"/>
    <col min="9219" max="9219" width="8" style="2946" customWidth="1"/>
    <col min="9220" max="9220" width="9.625" style="2946" bestFit="1" customWidth="1"/>
    <col min="9221" max="9221" width="9.125" style="2946" bestFit="1" customWidth="1"/>
    <col min="9222" max="9472" width="9" style="2946"/>
    <col min="9473" max="9473" width="7.625" style="2946" customWidth="1"/>
    <col min="9474" max="9474" width="35.5" style="2946" customWidth="1"/>
    <col min="9475" max="9475" width="8" style="2946" customWidth="1"/>
    <col min="9476" max="9476" width="9.625" style="2946" bestFit="1" customWidth="1"/>
    <col min="9477" max="9477" width="9.125" style="2946" bestFit="1" customWidth="1"/>
    <col min="9478" max="9728" width="9" style="2946"/>
    <col min="9729" max="9729" width="7.625" style="2946" customWidth="1"/>
    <col min="9730" max="9730" width="35.5" style="2946" customWidth="1"/>
    <col min="9731" max="9731" width="8" style="2946" customWidth="1"/>
    <col min="9732" max="9732" width="9.625" style="2946" bestFit="1" customWidth="1"/>
    <col min="9733" max="9733" width="9.125" style="2946" bestFit="1" customWidth="1"/>
    <col min="9734" max="9984" width="9" style="2946"/>
    <col min="9985" max="9985" width="7.625" style="2946" customWidth="1"/>
    <col min="9986" max="9986" width="35.5" style="2946" customWidth="1"/>
    <col min="9987" max="9987" width="8" style="2946" customWidth="1"/>
    <col min="9988" max="9988" width="9.625" style="2946" bestFit="1" customWidth="1"/>
    <col min="9989" max="9989" width="9.125" style="2946" bestFit="1" customWidth="1"/>
    <col min="9990" max="10240" width="9" style="2946"/>
    <col min="10241" max="10241" width="7.625" style="2946" customWidth="1"/>
    <col min="10242" max="10242" width="35.5" style="2946" customWidth="1"/>
    <col min="10243" max="10243" width="8" style="2946" customWidth="1"/>
    <col min="10244" max="10244" width="9.625" style="2946" bestFit="1" customWidth="1"/>
    <col min="10245" max="10245" width="9.125" style="2946" bestFit="1" customWidth="1"/>
    <col min="10246" max="10496" width="9" style="2946"/>
    <col min="10497" max="10497" width="7.625" style="2946" customWidth="1"/>
    <col min="10498" max="10498" width="35.5" style="2946" customWidth="1"/>
    <col min="10499" max="10499" width="8" style="2946" customWidth="1"/>
    <col min="10500" max="10500" width="9.625" style="2946" bestFit="1" customWidth="1"/>
    <col min="10501" max="10501" width="9.125" style="2946" bestFit="1" customWidth="1"/>
    <col min="10502" max="10752" width="9" style="2946"/>
    <col min="10753" max="10753" width="7.625" style="2946" customWidth="1"/>
    <col min="10754" max="10754" width="35.5" style="2946" customWidth="1"/>
    <col min="10755" max="10755" width="8" style="2946" customWidth="1"/>
    <col min="10756" max="10756" width="9.625" style="2946" bestFit="1" customWidth="1"/>
    <col min="10757" max="10757" width="9.125" style="2946" bestFit="1" customWidth="1"/>
    <col min="10758" max="11008" width="9" style="2946"/>
    <col min="11009" max="11009" width="7.625" style="2946" customWidth="1"/>
    <col min="11010" max="11010" width="35.5" style="2946" customWidth="1"/>
    <col min="11011" max="11011" width="8" style="2946" customWidth="1"/>
    <col min="11012" max="11012" width="9.625" style="2946" bestFit="1" customWidth="1"/>
    <col min="11013" max="11013" width="9.125" style="2946" bestFit="1" customWidth="1"/>
    <col min="11014" max="11264" width="9" style="2946"/>
    <col min="11265" max="11265" width="7.625" style="2946" customWidth="1"/>
    <col min="11266" max="11266" width="35.5" style="2946" customWidth="1"/>
    <col min="11267" max="11267" width="8" style="2946" customWidth="1"/>
    <col min="11268" max="11268" width="9.625" style="2946" bestFit="1" customWidth="1"/>
    <col min="11269" max="11269" width="9.125" style="2946" bestFit="1" customWidth="1"/>
    <col min="11270" max="11520" width="9" style="2946"/>
    <col min="11521" max="11521" width="7.625" style="2946" customWidth="1"/>
    <col min="11522" max="11522" width="35.5" style="2946" customWidth="1"/>
    <col min="11523" max="11523" width="8" style="2946" customWidth="1"/>
    <col min="11524" max="11524" width="9.625" style="2946" bestFit="1" customWidth="1"/>
    <col min="11525" max="11525" width="9.125" style="2946" bestFit="1" customWidth="1"/>
    <col min="11526" max="11776" width="9" style="2946"/>
    <col min="11777" max="11777" width="7.625" style="2946" customWidth="1"/>
    <col min="11778" max="11778" width="35.5" style="2946" customWidth="1"/>
    <col min="11779" max="11779" width="8" style="2946" customWidth="1"/>
    <col min="11780" max="11780" width="9.625" style="2946" bestFit="1" customWidth="1"/>
    <col min="11781" max="11781" width="9.125" style="2946" bestFit="1" customWidth="1"/>
    <col min="11782" max="12032" width="9" style="2946"/>
    <col min="12033" max="12033" width="7.625" style="2946" customWidth="1"/>
    <col min="12034" max="12034" width="35.5" style="2946" customWidth="1"/>
    <col min="12035" max="12035" width="8" style="2946" customWidth="1"/>
    <col min="12036" max="12036" width="9.625" style="2946" bestFit="1" customWidth="1"/>
    <col min="12037" max="12037" width="9.125" style="2946" bestFit="1" customWidth="1"/>
    <col min="12038" max="12288" width="9" style="2946"/>
    <col min="12289" max="12289" width="7.625" style="2946" customWidth="1"/>
    <col min="12290" max="12290" width="35.5" style="2946" customWidth="1"/>
    <col min="12291" max="12291" width="8" style="2946" customWidth="1"/>
    <col min="12292" max="12292" width="9.625" style="2946" bestFit="1" customWidth="1"/>
    <col min="12293" max="12293" width="9.125" style="2946" bestFit="1" customWidth="1"/>
    <col min="12294" max="12544" width="9" style="2946"/>
    <col min="12545" max="12545" width="7.625" style="2946" customWidth="1"/>
    <col min="12546" max="12546" width="35.5" style="2946" customWidth="1"/>
    <col min="12547" max="12547" width="8" style="2946" customWidth="1"/>
    <col min="12548" max="12548" width="9.625" style="2946" bestFit="1" customWidth="1"/>
    <col min="12549" max="12549" width="9.125" style="2946" bestFit="1" customWidth="1"/>
    <col min="12550" max="12800" width="9" style="2946"/>
    <col min="12801" max="12801" width="7.625" style="2946" customWidth="1"/>
    <col min="12802" max="12802" width="35.5" style="2946" customWidth="1"/>
    <col min="12803" max="12803" width="8" style="2946" customWidth="1"/>
    <col min="12804" max="12804" width="9.625" style="2946" bestFit="1" customWidth="1"/>
    <col min="12805" max="12805" width="9.125" style="2946" bestFit="1" customWidth="1"/>
    <col min="12806" max="13056" width="9" style="2946"/>
    <col min="13057" max="13057" width="7.625" style="2946" customWidth="1"/>
    <col min="13058" max="13058" width="35.5" style="2946" customWidth="1"/>
    <col min="13059" max="13059" width="8" style="2946" customWidth="1"/>
    <col min="13060" max="13060" width="9.625" style="2946" bestFit="1" customWidth="1"/>
    <col min="13061" max="13061" width="9.125" style="2946" bestFit="1" customWidth="1"/>
    <col min="13062" max="13312" width="9" style="2946"/>
    <col min="13313" max="13313" width="7.625" style="2946" customWidth="1"/>
    <col min="13314" max="13314" width="35.5" style="2946" customWidth="1"/>
    <col min="13315" max="13315" width="8" style="2946" customWidth="1"/>
    <col min="13316" max="13316" width="9.625" style="2946" bestFit="1" customWidth="1"/>
    <col min="13317" max="13317" width="9.125" style="2946" bestFit="1" customWidth="1"/>
    <col min="13318" max="13568" width="9" style="2946"/>
    <col min="13569" max="13569" width="7.625" style="2946" customWidth="1"/>
    <col min="13570" max="13570" width="35.5" style="2946" customWidth="1"/>
    <col min="13571" max="13571" width="8" style="2946" customWidth="1"/>
    <col min="13572" max="13572" width="9.625" style="2946" bestFit="1" customWidth="1"/>
    <col min="13573" max="13573" width="9.125" style="2946" bestFit="1" customWidth="1"/>
    <col min="13574" max="13824" width="9" style="2946"/>
    <col min="13825" max="13825" width="7.625" style="2946" customWidth="1"/>
    <col min="13826" max="13826" width="35.5" style="2946" customWidth="1"/>
    <col min="13827" max="13827" width="8" style="2946" customWidth="1"/>
    <col min="13828" max="13828" width="9.625" style="2946" bestFit="1" customWidth="1"/>
    <col min="13829" max="13829" width="9.125" style="2946" bestFit="1" customWidth="1"/>
    <col min="13830" max="14080" width="9" style="2946"/>
    <col min="14081" max="14081" width="7.625" style="2946" customWidth="1"/>
    <col min="14082" max="14082" width="35.5" style="2946" customWidth="1"/>
    <col min="14083" max="14083" width="8" style="2946" customWidth="1"/>
    <col min="14084" max="14084" width="9.625" style="2946" bestFit="1" customWidth="1"/>
    <col min="14085" max="14085" width="9.125" style="2946" bestFit="1" customWidth="1"/>
    <col min="14086" max="14336" width="9" style="2946"/>
    <col min="14337" max="14337" width="7.625" style="2946" customWidth="1"/>
    <col min="14338" max="14338" width="35.5" style="2946" customWidth="1"/>
    <col min="14339" max="14339" width="8" style="2946" customWidth="1"/>
    <col min="14340" max="14340" width="9.625" style="2946" bestFit="1" customWidth="1"/>
    <col min="14341" max="14341" width="9.125" style="2946" bestFit="1" customWidth="1"/>
    <col min="14342" max="14592" width="9" style="2946"/>
    <col min="14593" max="14593" width="7.625" style="2946" customWidth="1"/>
    <col min="14594" max="14594" width="35.5" style="2946" customWidth="1"/>
    <col min="14595" max="14595" width="8" style="2946" customWidth="1"/>
    <col min="14596" max="14596" width="9.625" style="2946" bestFit="1" customWidth="1"/>
    <col min="14597" max="14597" width="9.125" style="2946" bestFit="1" customWidth="1"/>
    <col min="14598" max="14848" width="9" style="2946"/>
    <col min="14849" max="14849" width="7.625" style="2946" customWidth="1"/>
    <col min="14850" max="14850" width="35.5" style="2946" customWidth="1"/>
    <col min="14851" max="14851" width="8" style="2946" customWidth="1"/>
    <col min="14852" max="14852" width="9.625" style="2946" bestFit="1" customWidth="1"/>
    <col min="14853" max="14853" width="9.125" style="2946" bestFit="1" customWidth="1"/>
    <col min="14854" max="15104" width="9" style="2946"/>
    <col min="15105" max="15105" width="7.625" style="2946" customWidth="1"/>
    <col min="15106" max="15106" width="35.5" style="2946" customWidth="1"/>
    <col min="15107" max="15107" width="8" style="2946" customWidth="1"/>
    <col min="15108" max="15108" width="9.625" style="2946" bestFit="1" customWidth="1"/>
    <col min="15109" max="15109" width="9.125" style="2946" bestFit="1" customWidth="1"/>
    <col min="15110" max="15360" width="9" style="2946"/>
    <col min="15361" max="15361" width="7.625" style="2946" customWidth="1"/>
    <col min="15362" max="15362" width="35.5" style="2946" customWidth="1"/>
    <col min="15363" max="15363" width="8" style="2946" customWidth="1"/>
    <col min="15364" max="15364" width="9.625" style="2946" bestFit="1" customWidth="1"/>
    <col min="15365" max="15365" width="9.125" style="2946" bestFit="1" customWidth="1"/>
    <col min="15366" max="15616" width="9" style="2946"/>
    <col min="15617" max="15617" width="7.625" style="2946" customWidth="1"/>
    <col min="15618" max="15618" width="35.5" style="2946" customWidth="1"/>
    <col min="15619" max="15619" width="8" style="2946" customWidth="1"/>
    <col min="15620" max="15620" width="9.625" style="2946" bestFit="1" customWidth="1"/>
    <col min="15621" max="15621" width="9.125" style="2946" bestFit="1" customWidth="1"/>
    <col min="15622" max="15872" width="9" style="2946"/>
    <col min="15873" max="15873" width="7.625" style="2946" customWidth="1"/>
    <col min="15874" max="15874" width="35.5" style="2946" customWidth="1"/>
    <col min="15875" max="15875" width="8" style="2946" customWidth="1"/>
    <col min="15876" max="15876" width="9.625" style="2946" bestFit="1" customWidth="1"/>
    <col min="15877" max="15877" width="9.125" style="2946" bestFit="1" customWidth="1"/>
    <col min="15878" max="16128" width="9" style="2946"/>
    <col min="16129" max="16129" width="7.625" style="2946" customWidth="1"/>
    <col min="16130" max="16130" width="35.5" style="2946" customWidth="1"/>
    <col min="16131" max="16131" width="8" style="2946" customWidth="1"/>
    <col min="16132" max="16132" width="9.625" style="2946" bestFit="1" customWidth="1"/>
    <col min="16133" max="16133" width="9.125" style="2946" bestFit="1" customWidth="1"/>
    <col min="16134" max="16384" width="9" style="2946"/>
  </cols>
  <sheetData>
    <row r="1" spans="1:7" ht="18.75" customHeight="1">
      <c r="A1" s="3058" t="s">
        <v>3050</v>
      </c>
      <c r="B1" s="3058"/>
      <c r="C1" s="3058"/>
      <c r="D1" s="3058"/>
      <c r="E1" s="3058"/>
      <c r="F1" s="3058"/>
      <c r="G1" s="3058"/>
    </row>
    <row r="2" spans="1:7">
      <c r="A2" s="3058"/>
      <c r="B2" s="3058"/>
      <c r="C2" s="3058"/>
      <c r="D2" s="3058"/>
      <c r="E2" s="3058"/>
      <c r="F2" s="3058"/>
      <c r="G2" s="3058"/>
    </row>
    <row r="3" spans="1:7">
      <c r="A3" s="2947" t="s">
        <v>3051</v>
      </c>
    </row>
    <row r="4" spans="1:7" s="2950" customFormat="1" ht="28.5">
      <c r="A4" s="2949" t="s">
        <v>3052</v>
      </c>
      <c r="B4" s="2949" t="s">
        <v>3053</v>
      </c>
      <c r="C4" s="2949" t="s">
        <v>3054</v>
      </c>
      <c r="D4" s="2949" t="s">
        <v>3055</v>
      </c>
      <c r="E4" s="2949" t="s">
        <v>3056</v>
      </c>
      <c r="F4" s="2949" t="s">
        <v>3057</v>
      </c>
      <c r="G4" s="2949" t="s">
        <v>3058</v>
      </c>
    </row>
    <row r="5" spans="1:7">
      <c r="A5" s="2951">
        <v>1</v>
      </c>
      <c r="B5" s="2952" t="s">
        <v>3059</v>
      </c>
      <c r="C5" s="2953">
        <v>101</v>
      </c>
      <c r="D5" s="2954">
        <v>30.09</v>
      </c>
      <c r="E5" s="2954">
        <v>9.1</v>
      </c>
      <c r="F5" s="2954"/>
      <c r="G5" s="2954"/>
    </row>
    <row r="6" spans="1:7">
      <c r="A6" s="2951">
        <v>2</v>
      </c>
      <c r="B6" s="2952" t="s">
        <v>3060</v>
      </c>
      <c r="C6" s="2953">
        <v>102</v>
      </c>
      <c r="D6" s="2954">
        <v>57.27</v>
      </c>
      <c r="E6" s="2954">
        <v>17.2</v>
      </c>
      <c r="F6" s="2954"/>
      <c r="G6" s="2954"/>
    </row>
    <row r="7" spans="1:7">
      <c r="A7" s="2951">
        <v>3</v>
      </c>
      <c r="B7" s="2952" t="s">
        <v>3061</v>
      </c>
      <c r="C7" s="2953">
        <v>103</v>
      </c>
      <c r="D7" s="2954">
        <v>27.94</v>
      </c>
      <c r="E7" s="2954">
        <v>8.4</v>
      </c>
      <c r="F7" s="2954"/>
      <c r="G7" s="2954"/>
    </row>
    <row r="8" spans="1:7">
      <c r="A8" s="2951">
        <v>4</v>
      </c>
      <c r="B8" s="2952" t="s">
        <v>3062</v>
      </c>
      <c r="C8" s="2953">
        <v>104</v>
      </c>
      <c r="D8" s="2954">
        <v>36.28</v>
      </c>
      <c r="E8" s="2954">
        <v>10.9</v>
      </c>
      <c r="F8" s="2954"/>
      <c r="G8" s="2954"/>
    </row>
    <row r="9" spans="1:7">
      <c r="A9" s="2951">
        <v>5</v>
      </c>
      <c r="B9" s="2952" t="s">
        <v>3063</v>
      </c>
      <c r="C9" s="2953">
        <v>105</v>
      </c>
      <c r="D9" s="2954">
        <v>36.380000000000003</v>
      </c>
      <c r="E9" s="2954">
        <v>10.9</v>
      </c>
      <c r="F9" s="2954"/>
      <c r="G9" s="2954"/>
    </row>
    <row r="10" spans="1:7">
      <c r="A10" s="2951">
        <v>6</v>
      </c>
      <c r="B10" s="2952" t="s">
        <v>3064</v>
      </c>
      <c r="C10" s="2953">
        <v>106</v>
      </c>
      <c r="D10" s="2954">
        <v>33.36</v>
      </c>
      <c r="E10" s="2954">
        <v>10</v>
      </c>
      <c r="F10" s="2954"/>
      <c r="G10" s="2954"/>
    </row>
    <row r="11" spans="1:7">
      <c r="A11" s="2951">
        <v>7</v>
      </c>
      <c r="B11" s="2952" t="s">
        <v>3065</v>
      </c>
      <c r="C11" s="2953">
        <v>107</v>
      </c>
      <c r="D11" s="2954">
        <v>24.72</v>
      </c>
      <c r="E11" s="2954">
        <v>7.4</v>
      </c>
      <c r="F11" s="2954"/>
      <c r="G11" s="2954"/>
    </row>
    <row r="12" spans="1:7">
      <c r="A12" s="2951">
        <v>8</v>
      </c>
      <c r="B12" s="2952" t="s">
        <v>3066</v>
      </c>
      <c r="C12" s="2953">
        <v>108</v>
      </c>
      <c r="D12" s="2954">
        <v>40.409999999999997</v>
      </c>
      <c r="E12" s="2954">
        <v>12.2</v>
      </c>
      <c r="F12" s="2954"/>
      <c r="G12" s="2954"/>
    </row>
    <row r="13" spans="1:7">
      <c r="A13" s="2951">
        <v>9</v>
      </c>
      <c r="B13" s="2952" t="s">
        <v>3067</v>
      </c>
      <c r="C13" s="2953">
        <v>109</v>
      </c>
      <c r="D13" s="2954">
        <v>36.590000000000003</v>
      </c>
      <c r="E13" s="2954">
        <v>11</v>
      </c>
      <c r="F13" s="2954"/>
      <c r="G13" s="2954"/>
    </row>
    <row r="14" spans="1:7">
      <c r="A14" s="2951">
        <v>10</v>
      </c>
      <c r="B14" s="2952" t="s">
        <v>3068</v>
      </c>
      <c r="C14" s="2953">
        <v>110</v>
      </c>
      <c r="D14" s="2954">
        <v>32.49</v>
      </c>
      <c r="E14" s="2954">
        <v>9.8000000000000007</v>
      </c>
      <c r="F14" s="2954"/>
      <c r="G14" s="2954"/>
    </row>
    <row r="15" spans="1:7">
      <c r="A15" s="2951">
        <v>11</v>
      </c>
      <c r="B15" s="2952" t="s">
        <v>3069</v>
      </c>
      <c r="C15" s="2953">
        <v>111</v>
      </c>
      <c r="D15" s="2954">
        <v>34.42</v>
      </c>
      <c r="E15" s="2954">
        <v>10.4</v>
      </c>
      <c r="F15" s="2954"/>
      <c r="G15" s="2954"/>
    </row>
    <row r="16" spans="1:7">
      <c r="A16" s="2951">
        <v>12</v>
      </c>
      <c r="B16" s="2952" t="s">
        <v>3070</v>
      </c>
      <c r="C16" s="2953">
        <v>112</v>
      </c>
      <c r="D16" s="2954">
        <v>32.83</v>
      </c>
      <c r="E16" s="2954">
        <v>9.9</v>
      </c>
      <c r="F16" s="2954"/>
      <c r="G16" s="2954"/>
    </row>
    <row r="17" spans="1:7">
      <c r="A17" s="2951">
        <v>13</v>
      </c>
      <c r="B17" s="2952" t="s">
        <v>3071</v>
      </c>
      <c r="C17" s="2953">
        <v>113</v>
      </c>
      <c r="D17" s="2954">
        <v>36.6</v>
      </c>
      <c r="E17" s="2954">
        <v>11</v>
      </c>
      <c r="F17" s="2954"/>
      <c r="G17" s="2954"/>
    </row>
    <row r="18" spans="1:7">
      <c r="A18" s="2951">
        <v>14</v>
      </c>
      <c r="B18" s="2952" t="s">
        <v>3072</v>
      </c>
      <c r="C18" s="2953">
        <v>114</v>
      </c>
      <c r="D18" s="2954">
        <v>46.19</v>
      </c>
      <c r="E18" s="2954">
        <v>13.9</v>
      </c>
      <c r="F18" s="2954"/>
      <c r="G18" s="2954"/>
    </row>
    <row r="19" spans="1:7">
      <c r="A19" s="2951">
        <v>15</v>
      </c>
      <c r="B19" s="2952" t="s">
        <v>3073</v>
      </c>
      <c r="C19" s="2953">
        <v>115</v>
      </c>
      <c r="D19" s="2954">
        <v>60.07</v>
      </c>
      <c r="E19" s="2954">
        <v>18.100000000000001</v>
      </c>
      <c r="F19" s="2954"/>
      <c r="G19" s="2954"/>
    </row>
    <row r="20" spans="1:7">
      <c r="A20" s="2951">
        <v>16</v>
      </c>
      <c r="B20" s="2952" t="s">
        <v>3074</v>
      </c>
      <c r="C20" s="2953">
        <v>116</v>
      </c>
      <c r="D20" s="2954">
        <v>31.37</v>
      </c>
      <c r="E20" s="2954">
        <v>9.4</v>
      </c>
      <c r="F20" s="2954"/>
      <c r="G20" s="2954"/>
    </row>
    <row r="21" spans="1:7">
      <c r="A21" s="2951">
        <v>17</v>
      </c>
      <c r="B21" s="2952" t="s">
        <v>3075</v>
      </c>
      <c r="C21" s="2953">
        <v>117</v>
      </c>
      <c r="D21" s="2954">
        <v>38.270000000000003</v>
      </c>
      <c r="E21" s="2954">
        <v>11.5</v>
      </c>
      <c r="F21" s="2954"/>
      <c r="G21" s="2954"/>
    </row>
    <row r="22" spans="1:7">
      <c r="A22" s="2951">
        <v>18</v>
      </c>
      <c r="B22" s="2952" t="s">
        <v>3076</v>
      </c>
      <c r="C22" s="2953">
        <v>118</v>
      </c>
      <c r="D22" s="2954">
        <v>45.22</v>
      </c>
      <c r="E22" s="2954">
        <v>13.6</v>
      </c>
      <c r="F22" s="2954"/>
      <c r="G22" s="2954"/>
    </row>
    <row r="23" spans="1:7">
      <c r="A23" s="2951">
        <v>19</v>
      </c>
      <c r="B23" s="2952" t="s">
        <v>3077</v>
      </c>
      <c r="C23" s="2953">
        <v>119</v>
      </c>
      <c r="D23" s="2954">
        <v>43.86</v>
      </c>
      <c r="E23" s="2954">
        <v>13.2</v>
      </c>
      <c r="F23" s="2954"/>
      <c r="G23" s="2954"/>
    </row>
    <row r="24" spans="1:7">
      <c r="A24" s="2951">
        <v>20</v>
      </c>
      <c r="B24" s="2952" t="s">
        <v>3078</v>
      </c>
      <c r="C24" s="2953">
        <v>120</v>
      </c>
      <c r="D24" s="2954">
        <v>30.94</v>
      </c>
      <c r="E24" s="2954">
        <v>9.3000000000000007</v>
      </c>
      <c r="F24" s="2954"/>
      <c r="G24" s="2954"/>
    </row>
    <row r="25" spans="1:7">
      <c r="A25" s="2951">
        <v>21</v>
      </c>
      <c r="B25" s="2952" t="s">
        <v>3079</v>
      </c>
      <c r="C25" s="2953">
        <v>121</v>
      </c>
      <c r="D25" s="2954">
        <v>53.69</v>
      </c>
      <c r="E25" s="2954">
        <v>16.2</v>
      </c>
      <c r="F25" s="2954"/>
      <c r="G25" s="2954"/>
    </row>
    <row r="26" spans="1:7">
      <c r="A26" s="2951">
        <v>22</v>
      </c>
      <c r="B26" s="2952" t="s">
        <v>3080</v>
      </c>
      <c r="C26" s="2953">
        <v>122</v>
      </c>
      <c r="D26" s="2954">
        <v>39.86</v>
      </c>
      <c r="E26" s="2954">
        <v>12</v>
      </c>
      <c r="F26" s="2954"/>
      <c r="G26" s="2954"/>
    </row>
    <row r="27" spans="1:7">
      <c r="A27" s="2951">
        <v>23</v>
      </c>
      <c r="B27" s="2952" t="s">
        <v>3081</v>
      </c>
      <c r="C27" s="2953">
        <v>123</v>
      </c>
      <c r="D27" s="2954">
        <v>34.03</v>
      </c>
      <c r="E27" s="2954">
        <v>10.199999999999999</v>
      </c>
      <c r="F27" s="2954"/>
      <c r="G27" s="2954"/>
    </row>
    <row r="28" spans="1:7">
      <c r="A28" s="2951">
        <v>24</v>
      </c>
      <c r="B28" s="2952" t="s">
        <v>3082</v>
      </c>
      <c r="C28" s="2953">
        <v>124</v>
      </c>
      <c r="D28" s="2954">
        <v>29.35</v>
      </c>
      <c r="E28" s="2954">
        <v>8.8000000000000007</v>
      </c>
      <c r="F28" s="2954"/>
      <c r="G28" s="2954"/>
    </row>
    <row r="29" spans="1:7">
      <c r="A29" s="2951">
        <v>25</v>
      </c>
      <c r="B29" s="2952" t="s">
        <v>3083</v>
      </c>
      <c r="C29" s="2953">
        <v>125</v>
      </c>
      <c r="D29" s="2954">
        <v>30.62</v>
      </c>
      <c r="E29" s="2954">
        <v>9.1999999999999993</v>
      </c>
      <c r="F29" s="2954"/>
      <c r="G29" s="2954"/>
    </row>
    <row r="30" spans="1:7">
      <c r="A30" s="2951">
        <v>26</v>
      </c>
      <c r="B30" s="2952" t="s">
        <v>3084</v>
      </c>
      <c r="C30" s="2953">
        <v>126</v>
      </c>
      <c r="D30" s="2954">
        <v>31</v>
      </c>
      <c r="E30" s="2954">
        <v>9.3000000000000007</v>
      </c>
      <c r="F30" s="2954"/>
      <c r="G30" s="2954"/>
    </row>
    <row r="31" spans="1:7">
      <c r="A31" s="2951">
        <v>27</v>
      </c>
      <c r="B31" s="2952" t="s">
        <v>3085</v>
      </c>
      <c r="C31" s="2953">
        <v>127</v>
      </c>
      <c r="D31" s="2954">
        <v>48.93</v>
      </c>
      <c r="E31" s="2954">
        <v>14.7</v>
      </c>
      <c r="F31" s="2954"/>
      <c r="G31" s="2954"/>
    </row>
    <row r="32" spans="1:7">
      <c r="A32" s="2951">
        <v>28</v>
      </c>
      <c r="B32" s="2952" t="s">
        <v>3086</v>
      </c>
      <c r="C32" s="2953">
        <v>128</v>
      </c>
      <c r="D32" s="2954">
        <v>39.270000000000003</v>
      </c>
      <c r="E32" s="2954">
        <v>11.8</v>
      </c>
      <c r="F32" s="2954"/>
      <c r="G32" s="2954"/>
    </row>
    <row r="33" spans="1:8">
      <c r="A33" s="2951">
        <v>29</v>
      </c>
      <c r="B33" s="2952" t="s">
        <v>3087</v>
      </c>
      <c r="C33" s="2953">
        <v>129</v>
      </c>
      <c r="D33" s="2954">
        <v>35.56</v>
      </c>
      <c r="E33" s="2954">
        <v>10.7</v>
      </c>
      <c r="F33" s="2954"/>
      <c r="G33" s="2954"/>
    </row>
    <row r="34" spans="1:8">
      <c r="A34" s="2951">
        <v>30</v>
      </c>
      <c r="B34" s="2952" t="s">
        <v>3088</v>
      </c>
      <c r="C34" s="2953">
        <v>130</v>
      </c>
      <c r="D34" s="2954">
        <v>75.41</v>
      </c>
      <c r="E34" s="2954">
        <v>22.7</v>
      </c>
      <c r="F34" s="2954"/>
      <c r="G34" s="2954"/>
    </row>
    <row r="35" spans="1:8">
      <c r="A35" s="2951">
        <v>31</v>
      </c>
      <c r="B35" s="2952" t="s">
        <v>3089</v>
      </c>
      <c r="C35" s="2953">
        <v>131</v>
      </c>
      <c r="D35" s="2954">
        <v>77.03</v>
      </c>
      <c r="E35" s="2954">
        <v>23.2</v>
      </c>
      <c r="F35" s="2954"/>
      <c r="G35" s="2954"/>
    </row>
    <row r="36" spans="1:8">
      <c r="A36" s="2951">
        <v>32</v>
      </c>
      <c r="B36" s="2952" t="s">
        <v>3090</v>
      </c>
      <c r="C36" s="2953">
        <v>132</v>
      </c>
      <c r="D36" s="2954">
        <v>64.760000000000005</v>
      </c>
      <c r="E36" s="2954">
        <v>19.5</v>
      </c>
      <c r="F36" s="2954"/>
      <c r="G36" s="2954"/>
    </row>
    <row r="37" spans="1:8">
      <c r="A37" s="2951">
        <v>33</v>
      </c>
      <c r="B37" s="2952" t="s">
        <v>3091</v>
      </c>
      <c r="C37" s="2953">
        <v>133</v>
      </c>
      <c r="D37" s="2954">
        <v>43.01</v>
      </c>
      <c r="E37" s="2954">
        <v>12.9</v>
      </c>
      <c r="F37" s="2954"/>
      <c r="G37" s="2954"/>
    </row>
    <row r="38" spans="1:8">
      <c r="A38" s="2951">
        <v>34</v>
      </c>
      <c r="B38" s="2952" t="s">
        <v>3092</v>
      </c>
      <c r="C38" s="2953">
        <v>134</v>
      </c>
      <c r="D38" s="2954">
        <v>48.91</v>
      </c>
      <c r="E38" s="2954">
        <v>14.7</v>
      </c>
      <c r="F38" s="2954"/>
      <c r="G38" s="2954"/>
    </row>
    <row r="39" spans="1:8">
      <c r="A39" s="2951">
        <v>35</v>
      </c>
      <c r="B39" s="2952" t="s">
        <v>3093</v>
      </c>
      <c r="C39" s="2953">
        <v>135</v>
      </c>
      <c r="D39" s="2954">
        <v>32.42</v>
      </c>
      <c r="E39" s="2954">
        <v>9.8000000000000007</v>
      </c>
      <c r="F39" s="2954"/>
      <c r="G39" s="2954"/>
    </row>
    <row r="40" spans="1:8">
      <c r="A40" s="2951">
        <v>36</v>
      </c>
      <c r="B40" s="2952" t="s">
        <v>3094</v>
      </c>
      <c r="C40" s="2953">
        <v>136</v>
      </c>
      <c r="D40" s="2954">
        <v>29.67</v>
      </c>
      <c r="E40" s="2954">
        <v>8.9</v>
      </c>
      <c r="F40" s="2954"/>
      <c r="G40" s="2954"/>
    </row>
    <row r="41" spans="1:8">
      <c r="A41" s="2951">
        <v>37</v>
      </c>
      <c r="B41" s="2952" t="s">
        <v>3095</v>
      </c>
      <c r="C41" s="2953">
        <v>137</v>
      </c>
      <c r="D41" s="2954">
        <v>24.8</v>
      </c>
      <c r="E41" s="2954">
        <v>7.5</v>
      </c>
      <c r="F41" s="2954"/>
      <c r="G41" s="2954"/>
    </row>
    <row r="42" spans="1:8">
      <c r="A42" s="2951">
        <v>38</v>
      </c>
      <c r="B42" s="2952" t="s">
        <v>3096</v>
      </c>
      <c r="C42" s="2953">
        <v>138</v>
      </c>
      <c r="D42" s="2954">
        <v>66.08</v>
      </c>
      <c r="E42" s="2954">
        <v>19.899999999999999</v>
      </c>
      <c r="F42" s="2954"/>
      <c r="G42" s="2954"/>
    </row>
    <row r="43" spans="1:8">
      <c r="A43" s="2951">
        <v>39</v>
      </c>
      <c r="B43" s="2952" t="s">
        <v>3097</v>
      </c>
      <c r="C43" s="2953">
        <v>139</v>
      </c>
      <c r="D43" s="2954">
        <v>48.39</v>
      </c>
      <c r="E43" s="2954">
        <v>14.6</v>
      </c>
      <c r="F43" s="2954"/>
      <c r="G43" s="2954"/>
    </row>
    <row r="44" spans="1:8">
      <c r="A44" s="2951">
        <v>40</v>
      </c>
      <c r="B44" s="2952" t="s">
        <v>3098</v>
      </c>
      <c r="C44" s="2953">
        <v>140</v>
      </c>
      <c r="D44" s="2954">
        <v>66.08</v>
      </c>
      <c r="E44" s="2954">
        <v>19.899999999999999</v>
      </c>
      <c r="F44" s="2954"/>
      <c r="G44" s="2954"/>
    </row>
    <row r="45" spans="1:8">
      <c r="A45" s="2951">
        <v>41</v>
      </c>
      <c r="B45" s="2952" t="s">
        <v>3099</v>
      </c>
      <c r="C45" s="2953">
        <v>141</v>
      </c>
      <c r="D45" s="2954">
        <v>94.68</v>
      </c>
      <c r="E45" s="2954">
        <v>28.5</v>
      </c>
      <c r="F45" s="2954"/>
      <c r="G45" s="2954"/>
    </row>
    <row r="46" spans="1:8">
      <c r="A46" s="2951">
        <v>42</v>
      </c>
      <c r="B46" s="2952" t="s">
        <v>3100</v>
      </c>
      <c r="C46" s="2953">
        <v>142</v>
      </c>
      <c r="D46" s="2954">
        <v>44.92</v>
      </c>
      <c r="E46" s="2954">
        <v>13.5</v>
      </c>
      <c r="F46" s="2954"/>
      <c r="G46" s="2954"/>
    </row>
    <row r="47" spans="1:8">
      <c r="A47" s="2951">
        <v>43</v>
      </c>
      <c r="B47" s="2952" t="s">
        <v>3101</v>
      </c>
      <c r="C47" s="2953">
        <v>143</v>
      </c>
      <c r="D47" s="2954">
        <v>10795.99</v>
      </c>
      <c r="E47" s="2954">
        <v>3247.8</v>
      </c>
      <c r="F47" s="2954"/>
      <c r="G47" s="2954"/>
      <c r="H47" s="2955" t="s">
        <v>3102</v>
      </c>
    </row>
    <row r="48" spans="1:8">
      <c r="A48" s="2951">
        <v>44</v>
      </c>
      <c r="B48" s="2952" t="s">
        <v>3103</v>
      </c>
      <c r="C48" s="2953">
        <v>144</v>
      </c>
      <c r="D48" s="2954">
        <v>38.57</v>
      </c>
      <c r="E48" s="2954">
        <v>11.6</v>
      </c>
      <c r="F48" s="2954"/>
      <c r="G48" s="2954"/>
    </row>
    <row r="49" spans="1:7">
      <c r="A49" s="2951">
        <v>45</v>
      </c>
      <c r="B49" s="2952" t="s">
        <v>3104</v>
      </c>
      <c r="C49" s="2953">
        <v>145</v>
      </c>
      <c r="D49" s="2954">
        <v>25.2</v>
      </c>
      <c r="E49" s="2954">
        <v>7.6</v>
      </c>
      <c r="F49" s="2954"/>
      <c r="G49" s="2954"/>
    </row>
    <row r="50" spans="1:7">
      <c r="A50" s="2951">
        <v>46</v>
      </c>
      <c r="B50" s="2952" t="s">
        <v>3105</v>
      </c>
      <c r="C50" s="2953">
        <v>146</v>
      </c>
      <c r="D50" s="2954">
        <v>31.64</v>
      </c>
      <c r="E50" s="2954">
        <v>9.5</v>
      </c>
      <c r="F50" s="2954"/>
      <c r="G50" s="2954"/>
    </row>
    <row r="51" spans="1:7">
      <c r="A51" s="2951">
        <v>47</v>
      </c>
      <c r="B51" s="2952" t="s">
        <v>3106</v>
      </c>
      <c r="C51" s="2953">
        <v>147</v>
      </c>
      <c r="D51" s="2954">
        <v>40.18</v>
      </c>
      <c r="E51" s="2954">
        <v>12.1</v>
      </c>
      <c r="F51" s="2954"/>
      <c r="G51" s="2954"/>
    </row>
    <row r="52" spans="1:7">
      <c r="A52" s="2951">
        <v>48</v>
      </c>
      <c r="B52" s="2952" t="s">
        <v>3107</v>
      </c>
      <c r="C52" s="2953">
        <v>148</v>
      </c>
      <c r="D52" s="2954">
        <v>51.17</v>
      </c>
      <c r="E52" s="2954">
        <v>15.4</v>
      </c>
      <c r="F52" s="2954"/>
      <c r="G52" s="2954"/>
    </row>
    <row r="53" spans="1:7">
      <c r="A53" s="2951">
        <v>49</v>
      </c>
      <c r="B53" s="2952" t="s">
        <v>3108</v>
      </c>
      <c r="C53" s="2953">
        <v>149</v>
      </c>
      <c r="D53" s="2954">
        <v>63.98</v>
      </c>
      <c r="E53" s="2954">
        <v>19.2</v>
      </c>
      <c r="F53" s="2954"/>
      <c r="G53" s="2954"/>
    </row>
    <row r="54" spans="1:7">
      <c r="A54" s="2951">
        <v>50</v>
      </c>
      <c r="B54" s="2952" t="s">
        <v>3109</v>
      </c>
      <c r="C54" s="2953">
        <v>150</v>
      </c>
      <c r="D54" s="2954">
        <v>76.760000000000005</v>
      </c>
      <c r="E54" s="2954">
        <v>23.1</v>
      </c>
      <c r="F54" s="2954"/>
      <c r="G54" s="2954"/>
    </row>
    <row r="55" spans="1:7">
      <c r="A55" s="2951">
        <v>51</v>
      </c>
      <c r="B55" s="2952" t="s">
        <v>3110</v>
      </c>
      <c r="C55" s="2953">
        <v>151</v>
      </c>
      <c r="D55" s="2954">
        <v>51.11</v>
      </c>
      <c r="E55" s="2954">
        <v>15.4</v>
      </c>
      <c r="F55" s="2954"/>
      <c r="G55" s="2954"/>
    </row>
    <row r="56" spans="1:7">
      <c r="A56" s="2951">
        <v>52</v>
      </c>
      <c r="B56" s="2952" t="s">
        <v>3111</v>
      </c>
      <c r="C56" s="2953">
        <v>152</v>
      </c>
      <c r="D56" s="2954">
        <v>65.8</v>
      </c>
      <c r="E56" s="2954">
        <v>19.8</v>
      </c>
      <c r="F56" s="2954"/>
      <c r="G56" s="2954"/>
    </row>
    <row r="57" spans="1:7">
      <c r="A57" s="2951">
        <v>53</v>
      </c>
      <c r="B57" s="2952" t="s">
        <v>3112</v>
      </c>
      <c r="C57" s="2953">
        <v>153</v>
      </c>
      <c r="D57" s="2954">
        <v>73.42</v>
      </c>
      <c r="E57" s="2954">
        <v>22.1</v>
      </c>
      <c r="F57" s="2954"/>
      <c r="G57" s="2954"/>
    </row>
    <row r="58" spans="1:7">
      <c r="A58" s="2951">
        <v>54</v>
      </c>
      <c r="B58" s="2952" t="s">
        <v>3113</v>
      </c>
      <c r="C58" s="2953">
        <v>154</v>
      </c>
      <c r="D58" s="2954">
        <v>72.069999999999993</v>
      </c>
      <c r="E58" s="2954">
        <v>21.7</v>
      </c>
      <c r="F58" s="2954"/>
      <c r="G58" s="2954"/>
    </row>
    <row r="59" spans="1:7">
      <c r="A59" s="2951">
        <v>55</v>
      </c>
      <c r="B59" s="2952" t="s">
        <v>3114</v>
      </c>
      <c r="C59" s="2953">
        <v>155</v>
      </c>
      <c r="D59" s="2954">
        <v>99.64</v>
      </c>
      <c r="E59" s="2954">
        <v>30</v>
      </c>
      <c r="F59" s="2954"/>
      <c r="G59" s="2954"/>
    </row>
    <row r="60" spans="1:7">
      <c r="A60" s="2951">
        <v>56</v>
      </c>
      <c r="B60" s="2952" t="s">
        <v>3115</v>
      </c>
      <c r="C60" s="2953">
        <v>156</v>
      </c>
      <c r="D60" s="2954">
        <v>32.65</v>
      </c>
      <c r="E60" s="2954">
        <v>9.8000000000000007</v>
      </c>
      <c r="F60" s="2954"/>
      <c r="G60" s="2954"/>
    </row>
    <row r="61" spans="1:7">
      <c r="A61" s="2951">
        <v>57</v>
      </c>
      <c r="B61" s="2952" t="s">
        <v>3116</v>
      </c>
      <c r="C61" s="2953">
        <v>157</v>
      </c>
      <c r="D61" s="2954">
        <v>94.64</v>
      </c>
      <c r="E61" s="2954">
        <v>28.5</v>
      </c>
      <c r="F61" s="2954"/>
      <c r="G61" s="2954"/>
    </row>
    <row r="62" spans="1:7">
      <c r="A62" s="2951">
        <v>58</v>
      </c>
      <c r="B62" s="2952" t="s">
        <v>3117</v>
      </c>
      <c r="C62" s="2953">
        <v>158</v>
      </c>
      <c r="D62" s="2954">
        <v>70.959999999999994</v>
      </c>
      <c r="E62" s="2954">
        <v>21.3</v>
      </c>
      <c r="F62" s="2954"/>
      <c r="G62" s="2954"/>
    </row>
    <row r="63" spans="1:7">
      <c r="A63" s="2951">
        <v>59</v>
      </c>
      <c r="B63" s="2952" t="s">
        <v>3118</v>
      </c>
      <c r="C63" s="2953">
        <v>159</v>
      </c>
      <c r="D63" s="2954">
        <v>64.33</v>
      </c>
      <c r="E63" s="2954">
        <v>19.399999999999999</v>
      </c>
      <c r="F63" s="2954"/>
      <c r="G63" s="2954"/>
    </row>
    <row r="64" spans="1:7">
      <c r="A64" s="2951">
        <v>60</v>
      </c>
      <c r="B64" s="2952" t="s">
        <v>3119</v>
      </c>
      <c r="C64" s="2953">
        <v>160</v>
      </c>
      <c r="D64" s="2954">
        <v>59.54</v>
      </c>
      <c r="E64" s="2954">
        <v>17.899999999999999</v>
      </c>
      <c r="F64" s="2954"/>
      <c r="G64" s="2954"/>
    </row>
    <row r="65" spans="1:7">
      <c r="A65" s="2951">
        <v>61</v>
      </c>
      <c r="B65" s="2952" t="s">
        <v>3120</v>
      </c>
      <c r="C65" s="2953">
        <v>161</v>
      </c>
      <c r="D65" s="2954">
        <v>84.02</v>
      </c>
      <c r="E65" s="2954">
        <v>25.3</v>
      </c>
      <c r="F65" s="2954"/>
      <c r="G65" s="2954"/>
    </row>
    <row r="66" spans="1:7">
      <c r="A66" s="2951">
        <v>62</v>
      </c>
      <c r="B66" s="2952" t="s">
        <v>3121</v>
      </c>
      <c r="C66" s="2953">
        <v>162</v>
      </c>
      <c r="D66" s="2954">
        <v>54.78</v>
      </c>
      <c r="E66" s="2954">
        <v>16.5</v>
      </c>
      <c r="F66" s="2954"/>
      <c r="G66" s="2954"/>
    </row>
    <row r="67" spans="1:7">
      <c r="A67" s="2951">
        <v>63</v>
      </c>
      <c r="B67" s="2952" t="s">
        <v>3122</v>
      </c>
      <c r="C67" s="2953">
        <v>163</v>
      </c>
      <c r="D67" s="2954">
        <v>54.79</v>
      </c>
      <c r="E67" s="2954">
        <v>16.5</v>
      </c>
      <c r="F67" s="2954"/>
      <c r="G67" s="2954"/>
    </row>
    <row r="68" spans="1:7">
      <c r="A68" s="2951">
        <v>64</v>
      </c>
      <c r="B68" s="2952" t="s">
        <v>3123</v>
      </c>
      <c r="C68" s="2953">
        <v>164</v>
      </c>
      <c r="D68" s="2954">
        <v>55.44</v>
      </c>
      <c r="E68" s="2954">
        <v>16.7</v>
      </c>
      <c r="F68" s="2954"/>
      <c r="G68" s="2954"/>
    </row>
    <row r="69" spans="1:7">
      <c r="A69" s="2951">
        <v>65</v>
      </c>
      <c r="B69" s="2952" t="s">
        <v>3124</v>
      </c>
      <c r="C69" s="2953">
        <v>165</v>
      </c>
      <c r="D69" s="2954">
        <v>64.58</v>
      </c>
      <c r="E69" s="2954">
        <v>19.399999999999999</v>
      </c>
      <c r="F69" s="2954"/>
      <c r="G69" s="2954"/>
    </row>
    <row r="70" spans="1:7">
      <c r="A70" s="2951">
        <v>66</v>
      </c>
      <c r="B70" s="2952" t="s">
        <v>3125</v>
      </c>
      <c r="C70" s="2953">
        <v>166</v>
      </c>
      <c r="D70" s="2954">
        <v>63.31</v>
      </c>
      <c r="E70" s="2954">
        <v>19</v>
      </c>
      <c r="F70" s="2954"/>
      <c r="G70" s="2954"/>
    </row>
    <row r="71" spans="1:7">
      <c r="A71" s="2951">
        <v>67</v>
      </c>
      <c r="B71" s="2952" t="s">
        <v>3126</v>
      </c>
      <c r="C71" s="2953">
        <v>167</v>
      </c>
      <c r="D71" s="2954">
        <v>75.08</v>
      </c>
      <c r="E71" s="2954">
        <v>22.6</v>
      </c>
      <c r="F71" s="2954"/>
      <c r="G71" s="2954"/>
    </row>
    <row r="72" spans="1:7">
      <c r="A72" s="2951">
        <v>68</v>
      </c>
      <c r="B72" s="2952" t="s">
        <v>3127</v>
      </c>
      <c r="C72" s="2953">
        <v>168</v>
      </c>
      <c r="D72" s="2954">
        <v>54.24</v>
      </c>
      <c r="E72" s="2954">
        <v>16.3</v>
      </c>
      <c r="F72" s="2954"/>
      <c r="G72" s="2954"/>
    </row>
    <row r="73" spans="1:7">
      <c r="A73" s="2951">
        <v>69</v>
      </c>
      <c r="B73" s="2952" t="s">
        <v>3128</v>
      </c>
      <c r="C73" s="2953">
        <v>169</v>
      </c>
      <c r="D73" s="2954">
        <v>54.24</v>
      </c>
      <c r="E73" s="2954">
        <v>16.3</v>
      </c>
      <c r="F73" s="2954"/>
      <c r="G73" s="2954"/>
    </row>
    <row r="74" spans="1:7">
      <c r="A74" s="2951">
        <v>70</v>
      </c>
      <c r="B74" s="2952" t="s">
        <v>3129</v>
      </c>
      <c r="C74" s="2953">
        <v>170</v>
      </c>
      <c r="D74" s="2954">
        <v>72.709999999999994</v>
      </c>
      <c r="E74" s="2954">
        <v>21.9</v>
      </c>
      <c r="F74" s="2954"/>
      <c r="G74" s="2954"/>
    </row>
    <row r="75" spans="1:7">
      <c r="A75" s="2951">
        <v>71</v>
      </c>
      <c r="B75" s="2952" t="s">
        <v>3130</v>
      </c>
      <c r="C75" s="2953">
        <v>171</v>
      </c>
      <c r="D75" s="2954">
        <v>127.65</v>
      </c>
      <c r="E75" s="2954">
        <v>38.4</v>
      </c>
      <c r="F75" s="2954"/>
      <c r="G75" s="2954"/>
    </row>
    <row r="76" spans="1:7">
      <c r="A76" s="2951">
        <v>72</v>
      </c>
      <c r="B76" s="2952" t="s">
        <v>3131</v>
      </c>
      <c r="C76" s="2953">
        <v>172</v>
      </c>
      <c r="D76" s="2954">
        <v>61.36</v>
      </c>
      <c r="E76" s="2954">
        <v>18.5</v>
      </c>
      <c r="F76" s="2954"/>
      <c r="G76" s="2954"/>
    </row>
    <row r="77" spans="1:7">
      <c r="A77" s="2951">
        <v>73</v>
      </c>
      <c r="B77" s="2952" t="s">
        <v>3132</v>
      </c>
      <c r="C77" s="2953">
        <v>173</v>
      </c>
      <c r="D77" s="2954">
        <v>77.17</v>
      </c>
      <c r="E77" s="2954">
        <v>23.2</v>
      </c>
      <c r="F77" s="2954"/>
      <c r="G77" s="2954"/>
    </row>
    <row r="78" spans="1:7">
      <c r="A78" s="2951">
        <v>74</v>
      </c>
      <c r="B78" s="2952" t="s">
        <v>3133</v>
      </c>
      <c r="C78" s="2953">
        <v>174</v>
      </c>
      <c r="D78" s="2954">
        <v>72.61</v>
      </c>
      <c r="E78" s="2954">
        <v>21.8</v>
      </c>
      <c r="F78" s="2954"/>
      <c r="G78" s="2954"/>
    </row>
    <row r="79" spans="1:7">
      <c r="A79" s="2951">
        <v>75</v>
      </c>
      <c r="B79" s="2952" t="s">
        <v>3134</v>
      </c>
      <c r="C79" s="2953">
        <v>175</v>
      </c>
      <c r="D79" s="2954">
        <v>62.08</v>
      </c>
      <c r="E79" s="2954">
        <v>18.7</v>
      </c>
      <c r="F79" s="2954"/>
      <c r="G79" s="2954"/>
    </row>
    <row r="80" spans="1:7">
      <c r="A80" s="2951">
        <v>76</v>
      </c>
      <c r="B80" s="2952" t="s">
        <v>3135</v>
      </c>
      <c r="C80" s="2953">
        <v>176</v>
      </c>
      <c r="D80" s="2954">
        <v>41.97</v>
      </c>
      <c r="E80" s="2954">
        <v>12.6</v>
      </c>
      <c r="F80" s="2954"/>
      <c r="G80" s="2954"/>
    </row>
    <row r="81" spans="1:7">
      <c r="A81" s="2951">
        <v>77</v>
      </c>
      <c r="B81" s="2952" t="s">
        <v>3136</v>
      </c>
      <c r="C81" s="2953">
        <v>177</v>
      </c>
      <c r="D81" s="2954">
        <v>62.38</v>
      </c>
      <c r="E81" s="2954">
        <v>18.8</v>
      </c>
      <c r="F81" s="2954"/>
      <c r="G81" s="2954"/>
    </row>
    <row r="82" spans="1:7">
      <c r="A82" s="2951">
        <v>78</v>
      </c>
      <c r="B82" s="2952" t="s">
        <v>3137</v>
      </c>
      <c r="C82" s="2953">
        <v>178</v>
      </c>
      <c r="D82" s="2954">
        <v>52.87</v>
      </c>
      <c r="E82" s="2954">
        <v>15.9</v>
      </c>
      <c r="F82" s="2954"/>
      <c r="G82" s="2954"/>
    </row>
    <row r="83" spans="1:7">
      <c r="A83" s="2951">
        <v>79</v>
      </c>
      <c r="B83" s="2952" t="s">
        <v>3138</v>
      </c>
      <c r="C83" s="2953">
        <v>179</v>
      </c>
      <c r="D83" s="2954">
        <v>53.31</v>
      </c>
      <c r="E83" s="2954">
        <v>16</v>
      </c>
      <c r="F83" s="2954"/>
      <c r="G83" s="2954"/>
    </row>
    <row r="84" spans="1:7">
      <c r="A84" s="2951">
        <v>80</v>
      </c>
      <c r="B84" s="2952" t="s">
        <v>3139</v>
      </c>
      <c r="C84" s="2953">
        <v>180</v>
      </c>
      <c r="D84" s="2954">
        <v>54.94</v>
      </c>
      <c r="E84" s="2954">
        <v>16.5</v>
      </c>
      <c r="F84" s="2954"/>
      <c r="G84" s="2954"/>
    </row>
    <row r="85" spans="1:7">
      <c r="A85" s="2951">
        <v>81</v>
      </c>
      <c r="B85" s="2952" t="s">
        <v>3140</v>
      </c>
      <c r="C85" s="2953">
        <v>181</v>
      </c>
      <c r="D85" s="2954">
        <v>55.19</v>
      </c>
      <c r="E85" s="2954">
        <v>16.600000000000001</v>
      </c>
      <c r="F85" s="2954"/>
      <c r="G85" s="2954"/>
    </row>
    <row r="86" spans="1:7">
      <c r="A86" s="2951">
        <v>82</v>
      </c>
      <c r="B86" s="2952" t="s">
        <v>3141</v>
      </c>
      <c r="C86" s="2953">
        <v>182</v>
      </c>
      <c r="D86" s="2954">
        <v>28.44</v>
      </c>
      <c r="E86" s="2954">
        <v>8.6</v>
      </c>
      <c r="F86" s="2954"/>
      <c r="G86" s="2954"/>
    </row>
    <row r="87" spans="1:7">
      <c r="A87" s="2951">
        <v>83</v>
      </c>
      <c r="B87" s="2952" t="s">
        <v>3142</v>
      </c>
      <c r="C87" s="2953">
        <v>183</v>
      </c>
      <c r="D87" s="2954">
        <v>64.45</v>
      </c>
      <c r="E87" s="2954">
        <v>19.399999999999999</v>
      </c>
      <c r="F87" s="2954"/>
      <c r="G87" s="2954"/>
    </row>
    <row r="88" spans="1:7">
      <c r="A88" s="2951">
        <v>84</v>
      </c>
      <c r="B88" s="2952" t="s">
        <v>3143</v>
      </c>
      <c r="C88" s="2953">
        <v>184</v>
      </c>
      <c r="D88" s="2954">
        <v>27.71</v>
      </c>
      <c r="E88" s="2954">
        <v>8.3000000000000007</v>
      </c>
      <c r="F88" s="2954"/>
      <c r="G88" s="2954"/>
    </row>
    <row r="89" spans="1:7">
      <c r="A89" s="2951">
        <v>85</v>
      </c>
      <c r="B89" s="2952" t="s">
        <v>3144</v>
      </c>
      <c r="C89" s="2953">
        <v>185</v>
      </c>
      <c r="D89" s="2954">
        <v>40.700000000000003</v>
      </c>
      <c r="E89" s="2954">
        <v>12.2</v>
      </c>
      <c r="F89" s="2954"/>
      <c r="G89" s="2954"/>
    </row>
    <row r="90" spans="1:7">
      <c r="A90" s="2951">
        <v>86</v>
      </c>
      <c r="B90" s="2952" t="s">
        <v>3145</v>
      </c>
      <c r="C90" s="2953">
        <v>186</v>
      </c>
      <c r="D90" s="2954">
        <v>36.090000000000003</v>
      </c>
      <c r="E90" s="2954">
        <v>10.9</v>
      </c>
      <c r="F90" s="2954"/>
      <c r="G90" s="2954"/>
    </row>
    <row r="91" spans="1:7">
      <c r="A91" s="2951">
        <v>87</v>
      </c>
      <c r="B91" s="2952" t="s">
        <v>3146</v>
      </c>
      <c r="C91" s="2953">
        <v>187</v>
      </c>
      <c r="D91" s="2954">
        <v>46.01</v>
      </c>
      <c r="E91" s="2954">
        <v>13.8</v>
      </c>
      <c r="F91" s="2954"/>
      <c r="G91" s="2954"/>
    </row>
    <row r="92" spans="1:7">
      <c r="A92" s="2951">
        <v>88</v>
      </c>
      <c r="B92" s="2952" t="s">
        <v>3147</v>
      </c>
      <c r="C92" s="2953">
        <v>188</v>
      </c>
      <c r="D92" s="2954">
        <v>65.040000000000006</v>
      </c>
      <c r="E92" s="2954">
        <v>19.600000000000001</v>
      </c>
      <c r="F92" s="2954"/>
      <c r="G92" s="2954"/>
    </row>
    <row r="93" spans="1:7">
      <c r="A93" s="2951">
        <v>89</v>
      </c>
      <c r="B93" s="2952" t="s">
        <v>3148</v>
      </c>
      <c r="C93" s="2953">
        <v>189</v>
      </c>
      <c r="D93" s="2954">
        <v>38.61</v>
      </c>
      <c r="E93" s="2954">
        <v>11.6</v>
      </c>
      <c r="F93" s="2954"/>
      <c r="G93" s="2954"/>
    </row>
    <row r="94" spans="1:7">
      <c r="A94" s="2951">
        <v>90</v>
      </c>
      <c r="B94" s="2952" t="s">
        <v>3149</v>
      </c>
      <c r="C94" s="2953">
        <v>190</v>
      </c>
      <c r="D94" s="2954">
        <v>39.53</v>
      </c>
      <c r="E94" s="2954">
        <v>11.9</v>
      </c>
      <c r="F94" s="2954"/>
      <c r="G94" s="2954"/>
    </row>
    <row r="95" spans="1:7">
      <c r="A95" s="2951">
        <v>91</v>
      </c>
      <c r="B95" s="2952" t="s">
        <v>3150</v>
      </c>
      <c r="C95" s="2953">
        <v>191</v>
      </c>
      <c r="D95" s="2954">
        <v>35.67</v>
      </c>
      <c r="E95" s="2954">
        <v>10.7</v>
      </c>
      <c r="F95" s="2954"/>
      <c r="G95" s="2954"/>
    </row>
    <row r="96" spans="1:7">
      <c r="A96" s="2951">
        <v>92</v>
      </c>
      <c r="B96" s="2952" t="s">
        <v>3151</v>
      </c>
      <c r="C96" s="2953">
        <v>192</v>
      </c>
      <c r="D96" s="2954">
        <v>41.17</v>
      </c>
      <c r="E96" s="2954">
        <v>12.4</v>
      </c>
      <c r="F96" s="2954"/>
      <c r="G96" s="2954"/>
    </row>
    <row r="97" spans="1:8">
      <c r="A97" s="2951">
        <v>93</v>
      </c>
      <c r="B97" s="2952" t="s">
        <v>3152</v>
      </c>
      <c r="C97" s="2953">
        <v>193</v>
      </c>
      <c r="D97" s="2954">
        <v>47.49</v>
      </c>
      <c r="E97" s="2954">
        <v>14.3</v>
      </c>
      <c r="F97" s="2954"/>
      <c r="G97" s="2954"/>
    </row>
    <row r="98" spans="1:8">
      <c r="A98" s="2951">
        <v>94</v>
      </c>
      <c r="B98" s="2952" t="s">
        <v>3153</v>
      </c>
      <c r="C98" s="2953">
        <v>194</v>
      </c>
      <c r="D98" s="2954">
        <v>38.57</v>
      </c>
      <c r="E98" s="2954">
        <v>11.6</v>
      </c>
      <c r="F98" s="2954"/>
      <c r="G98" s="2954"/>
    </row>
    <row r="99" spans="1:8">
      <c r="A99" s="2951">
        <v>95</v>
      </c>
      <c r="B99" s="2952" t="s">
        <v>3154</v>
      </c>
      <c r="C99" s="2953">
        <v>195</v>
      </c>
      <c r="D99" s="2954">
        <v>41.34</v>
      </c>
      <c r="E99" s="2954">
        <v>12.4</v>
      </c>
      <c r="F99" s="2954"/>
      <c r="G99" s="2954"/>
    </row>
    <row r="100" spans="1:8">
      <c r="A100" s="2951">
        <v>96</v>
      </c>
      <c r="B100" s="2952" t="s">
        <v>3155</v>
      </c>
      <c r="C100" s="2953">
        <v>196</v>
      </c>
      <c r="D100" s="2954">
        <v>32.18</v>
      </c>
      <c r="E100" s="2954">
        <v>9.6999999999999993</v>
      </c>
      <c r="F100" s="2954"/>
      <c r="G100" s="2954"/>
    </row>
    <row r="101" spans="1:8">
      <c r="A101" s="2951">
        <v>97</v>
      </c>
      <c r="B101" s="2952" t="s">
        <v>3156</v>
      </c>
      <c r="C101" s="2953">
        <v>197</v>
      </c>
      <c r="D101" s="2954">
        <v>37.090000000000003</v>
      </c>
      <c r="E101" s="2954">
        <v>11.2</v>
      </c>
      <c r="F101" s="2954"/>
      <c r="G101" s="2954"/>
    </row>
    <row r="102" spans="1:8">
      <c r="A102" s="2951">
        <v>98</v>
      </c>
      <c r="B102" s="2952" t="s">
        <v>3157</v>
      </c>
      <c r="C102" s="2953">
        <v>198</v>
      </c>
      <c r="D102" s="2954">
        <v>30.5</v>
      </c>
      <c r="E102" s="2954">
        <v>9.1999999999999993</v>
      </c>
      <c r="F102" s="2954"/>
      <c r="G102" s="2954"/>
    </row>
    <row r="103" spans="1:8">
      <c r="A103" s="2951">
        <v>99</v>
      </c>
      <c r="B103" s="2952" t="s">
        <v>3158</v>
      </c>
      <c r="C103" s="2953">
        <v>199</v>
      </c>
      <c r="D103" s="2954">
        <v>47.16</v>
      </c>
      <c r="E103" s="2954">
        <v>14.2</v>
      </c>
      <c r="F103" s="2954"/>
      <c r="G103" s="2954"/>
    </row>
    <row r="104" spans="1:8">
      <c r="A104" s="2951">
        <v>100</v>
      </c>
      <c r="B104" s="2952" t="s">
        <v>3159</v>
      </c>
      <c r="C104" s="2953">
        <v>1100</v>
      </c>
      <c r="D104" s="2954">
        <v>67.33</v>
      </c>
      <c r="E104" s="2954">
        <v>20.3</v>
      </c>
      <c r="F104" s="2954"/>
      <c r="G104" s="2954"/>
    </row>
    <row r="105" spans="1:8">
      <c r="A105" s="2951">
        <v>101</v>
      </c>
      <c r="B105" s="2952" t="s">
        <v>3160</v>
      </c>
      <c r="C105" s="2953">
        <v>1101</v>
      </c>
      <c r="D105" s="2954">
        <v>45.79</v>
      </c>
      <c r="E105" s="2954">
        <v>13.8</v>
      </c>
      <c r="F105" s="2954"/>
      <c r="G105" s="2954"/>
    </row>
    <row r="106" spans="1:8">
      <c r="A106" s="2951">
        <v>102</v>
      </c>
      <c r="B106" s="2952" t="s">
        <v>3161</v>
      </c>
      <c r="C106" s="2953">
        <v>1102</v>
      </c>
      <c r="D106" s="2954">
        <v>45.58</v>
      </c>
      <c r="E106" s="2954">
        <v>13.7</v>
      </c>
      <c r="F106" s="2954"/>
      <c r="G106" s="2954"/>
    </row>
    <row r="107" spans="1:8">
      <c r="A107" s="2951">
        <v>103</v>
      </c>
      <c r="B107" s="2952" t="s">
        <v>3162</v>
      </c>
      <c r="C107" s="2953">
        <v>1103</v>
      </c>
      <c r="D107" s="2954">
        <v>45.11</v>
      </c>
      <c r="E107" s="2954">
        <v>13.6</v>
      </c>
      <c r="F107" s="2954"/>
      <c r="G107" s="2954"/>
    </row>
    <row r="108" spans="1:8">
      <c r="A108" s="2951">
        <v>104</v>
      </c>
      <c r="B108" s="2952" t="s">
        <v>3163</v>
      </c>
      <c r="C108" s="2953">
        <v>1104</v>
      </c>
      <c r="D108" s="2954">
        <v>26.18</v>
      </c>
      <c r="E108" s="2954">
        <v>7.9</v>
      </c>
      <c r="F108" s="2954"/>
      <c r="G108" s="2954"/>
    </row>
    <row r="109" spans="1:8">
      <c r="A109" s="2951">
        <v>105</v>
      </c>
      <c r="B109" s="2952" t="s">
        <v>3164</v>
      </c>
      <c r="C109" s="2953">
        <v>1105</v>
      </c>
      <c r="D109" s="2954">
        <v>21.2</v>
      </c>
      <c r="E109" s="2954">
        <v>6.4</v>
      </c>
      <c r="F109" s="2954"/>
      <c r="G109" s="2954"/>
    </row>
    <row r="110" spans="1:8">
      <c r="A110" s="2951">
        <v>106</v>
      </c>
      <c r="B110" s="2956" t="s">
        <v>3165</v>
      </c>
      <c r="C110" s="2953">
        <v>1106</v>
      </c>
      <c r="D110" s="2954">
        <v>55.34</v>
      </c>
      <c r="E110" s="2954">
        <v>16.600000000000001</v>
      </c>
      <c r="F110" s="2954"/>
      <c r="G110" s="2954"/>
      <c r="H110" s="2955" t="s">
        <v>3166</v>
      </c>
    </row>
    <row r="111" spans="1:8">
      <c r="A111" s="2951">
        <v>107</v>
      </c>
      <c r="B111" s="2952" t="s">
        <v>3167</v>
      </c>
      <c r="C111" s="2953">
        <v>1107</v>
      </c>
      <c r="D111" s="2954">
        <v>47.17</v>
      </c>
      <c r="E111" s="2954">
        <v>14.2</v>
      </c>
      <c r="F111" s="2954"/>
      <c r="G111" s="2954"/>
    </row>
    <row r="112" spans="1:8">
      <c r="A112" s="2951">
        <v>108</v>
      </c>
      <c r="B112" s="2952" t="s">
        <v>3168</v>
      </c>
      <c r="C112" s="2953">
        <v>1108</v>
      </c>
      <c r="D112" s="2954">
        <v>51.19</v>
      </c>
      <c r="E112" s="2954">
        <v>15.4</v>
      </c>
      <c r="F112" s="2954"/>
      <c r="G112" s="2954"/>
    </row>
    <row r="113" spans="1:7">
      <c r="A113" s="2951">
        <v>109</v>
      </c>
      <c r="B113" s="2952" t="s">
        <v>3169</v>
      </c>
      <c r="C113" s="2953">
        <v>1109</v>
      </c>
      <c r="D113" s="2954">
        <v>47.16</v>
      </c>
      <c r="E113" s="2954">
        <v>14.2</v>
      </c>
      <c r="F113" s="2954"/>
      <c r="G113" s="2954"/>
    </row>
    <row r="114" spans="1:7">
      <c r="A114" s="2951">
        <v>110</v>
      </c>
      <c r="B114" s="2952" t="s">
        <v>3170</v>
      </c>
      <c r="C114" s="2953">
        <v>1110</v>
      </c>
      <c r="D114" s="2954">
        <v>31.3</v>
      </c>
      <c r="E114" s="2954">
        <v>9.4</v>
      </c>
      <c r="F114" s="2954"/>
      <c r="G114" s="2954"/>
    </row>
    <row r="115" spans="1:7">
      <c r="A115" s="2951">
        <v>111</v>
      </c>
      <c r="B115" s="2952" t="s">
        <v>3171</v>
      </c>
      <c r="C115" s="2953">
        <v>1111</v>
      </c>
      <c r="D115" s="2954">
        <v>32.18</v>
      </c>
      <c r="E115" s="2954">
        <v>9.6999999999999993</v>
      </c>
      <c r="F115" s="2954"/>
      <c r="G115" s="2954"/>
    </row>
    <row r="116" spans="1:7">
      <c r="A116" s="2951">
        <v>112</v>
      </c>
      <c r="B116" s="2952" t="s">
        <v>3172</v>
      </c>
      <c r="C116" s="2953">
        <v>1112</v>
      </c>
      <c r="D116" s="2954">
        <v>47.16</v>
      </c>
      <c r="E116" s="2954">
        <v>14.2</v>
      </c>
      <c r="F116" s="2954"/>
      <c r="G116" s="2954"/>
    </row>
    <row r="117" spans="1:7">
      <c r="A117" s="2951">
        <v>113</v>
      </c>
      <c r="B117" s="2952" t="s">
        <v>3173</v>
      </c>
      <c r="C117" s="2953">
        <v>1113</v>
      </c>
      <c r="D117" s="2954">
        <v>37.1</v>
      </c>
      <c r="E117" s="2954">
        <v>11.2</v>
      </c>
      <c r="F117" s="2954"/>
      <c r="G117" s="2954"/>
    </row>
    <row r="118" spans="1:7">
      <c r="A118" s="2951">
        <v>114</v>
      </c>
      <c r="B118" s="2952" t="s">
        <v>3174</v>
      </c>
      <c r="C118" s="2953">
        <v>1114</v>
      </c>
      <c r="D118" s="2954">
        <v>54.94</v>
      </c>
      <c r="E118" s="2954">
        <v>16.5</v>
      </c>
      <c r="F118" s="2954"/>
      <c r="G118" s="2954"/>
    </row>
    <row r="119" spans="1:7">
      <c r="A119" s="2951">
        <v>115</v>
      </c>
      <c r="B119" s="2952" t="s">
        <v>3175</v>
      </c>
      <c r="C119" s="2953">
        <v>1115</v>
      </c>
      <c r="D119" s="2954">
        <v>28.38</v>
      </c>
      <c r="E119" s="2954">
        <v>8.5</v>
      </c>
      <c r="F119" s="2954"/>
      <c r="G119" s="2954"/>
    </row>
    <row r="120" spans="1:7">
      <c r="A120" s="2951">
        <v>116</v>
      </c>
      <c r="B120" s="2952" t="s">
        <v>3176</v>
      </c>
      <c r="C120" s="2953">
        <v>1116</v>
      </c>
      <c r="D120" s="2954">
        <v>26.45</v>
      </c>
      <c r="E120" s="2954">
        <v>8</v>
      </c>
      <c r="F120" s="2954"/>
      <c r="G120" s="2954"/>
    </row>
    <row r="121" spans="1:7">
      <c r="A121" s="2951">
        <v>117</v>
      </c>
      <c r="B121" s="2952" t="s">
        <v>3177</v>
      </c>
      <c r="C121" s="2953">
        <v>1117</v>
      </c>
      <c r="D121" s="2954">
        <v>40.049999999999997</v>
      </c>
      <c r="E121" s="2954">
        <v>12</v>
      </c>
      <c r="F121" s="2954"/>
      <c r="G121" s="2954"/>
    </row>
    <row r="122" spans="1:7">
      <c r="A122" s="2951">
        <v>118</v>
      </c>
      <c r="B122" s="2952" t="s">
        <v>3178</v>
      </c>
      <c r="C122" s="2953">
        <v>1118</v>
      </c>
      <c r="D122" s="2954">
        <v>44.26</v>
      </c>
      <c r="E122" s="2954">
        <v>13.3</v>
      </c>
      <c r="F122" s="2954"/>
      <c r="G122" s="2954"/>
    </row>
    <row r="123" spans="1:7">
      <c r="A123" s="2951">
        <v>119</v>
      </c>
      <c r="B123" s="2952" t="s">
        <v>3179</v>
      </c>
      <c r="C123" s="2953">
        <v>1119</v>
      </c>
      <c r="D123" s="2954">
        <v>44.92</v>
      </c>
      <c r="E123" s="2954">
        <v>13.5</v>
      </c>
      <c r="F123" s="2954"/>
      <c r="G123" s="2954"/>
    </row>
    <row r="124" spans="1:7">
      <c r="A124" s="2951">
        <v>120</v>
      </c>
      <c r="B124" s="2952" t="s">
        <v>3180</v>
      </c>
      <c r="C124" s="2953">
        <v>1120</v>
      </c>
      <c r="D124" s="2954">
        <v>33.659999999999997</v>
      </c>
      <c r="E124" s="2954">
        <v>10.1</v>
      </c>
      <c r="F124" s="2954"/>
      <c r="G124" s="2954"/>
    </row>
    <row r="125" spans="1:7">
      <c r="A125" s="2951">
        <v>121</v>
      </c>
      <c r="B125" s="2952" t="s">
        <v>3181</v>
      </c>
      <c r="C125" s="2953">
        <v>1121</v>
      </c>
      <c r="D125" s="2954">
        <v>64.11</v>
      </c>
      <c r="E125" s="2954">
        <v>19.3</v>
      </c>
      <c r="F125" s="2954"/>
      <c r="G125" s="2954"/>
    </row>
    <row r="126" spans="1:7">
      <c r="A126" s="2951">
        <v>122</v>
      </c>
      <c r="B126" s="2952" t="s">
        <v>3182</v>
      </c>
      <c r="C126" s="2953">
        <v>1122</v>
      </c>
      <c r="D126" s="2954">
        <v>54.83</v>
      </c>
      <c r="E126" s="2954">
        <v>16.5</v>
      </c>
      <c r="F126" s="2954"/>
      <c r="G126" s="2954"/>
    </row>
    <row r="127" spans="1:7">
      <c r="A127" s="2951">
        <v>123</v>
      </c>
      <c r="B127" s="2952" t="s">
        <v>3183</v>
      </c>
      <c r="C127" s="2953">
        <v>1123</v>
      </c>
      <c r="D127" s="2954">
        <v>54.82</v>
      </c>
      <c r="E127" s="2954">
        <v>16.5</v>
      </c>
      <c r="F127" s="2954"/>
      <c r="G127" s="2954"/>
    </row>
    <row r="128" spans="1:7">
      <c r="A128" s="2951">
        <v>124</v>
      </c>
      <c r="B128" s="2952" t="s">
        <v>3184</v>
      </c>
      <c r="C128" s="2953">
        <v>1124</v>
      </c>
      <c r="D128" s="2954">
        <v>54.82</v>
      </c>
      <c r="E128" s="2954">
        <v>16.5</v>
      </c>
      <c r="F128" s="2954"/>
      <c r="G128" s="2954"/>
    </row>
    <row r="129" spans="1:7">
      <c r="A129" s="2951">
        <v>125</v>
      </c>
      <c r="B129" s="2952" t="s">
        <v>3185</v>
      </c>
      <c r="C129" s="2953">
        <v>1125</v>
      </c>
      <c r="D129" s="2954">
        <v>50.31</v>
      </c>
      <c r="E129" s="2954">
        <v>15.1</v>
      </c>
      <c r="F129" s="2954"/>
      <c r="G129" s="2954"/>
    </row>
    <row r="130" spans="1:7">
      <c r="A130" s="2951">
        <v>126</v>
      </c>
      <c r="B130" s="2952" t="s">
        <v>3186</v>
      </c>
      <c r="C130" s="2953">
        <v>1126</v>
      </c>
      <c r="D130" s="2954">
        <v>30.93</v>
      </c>
      <c r="E130" s="2954">
        <v>9.3000000000000007</v>
      </c>
      <c r="F130" s="2954"/>
      <c r="G130" s="2954"/>
    </row>
    <row r="131" spans="1:7">
      <c r="A131" s="2951">
        <v>127</v>
      </c>
      <c r="B131" s="2952" t="s">
        <v>3187</v>
      </c>
      <c r="C131" s="2953">
        <v>1127</v>
      </c>
      <c r="D131" s="2954">
        <v>53.44</v>
      </c>
      <c r="E131" s="2954">
        <v>16.100000000000001</v>
      </c>
      <c r="F131" s="2954"/>
      <c r="G131" s="2954"/>
    </row>
    <row r="132" spans="1:7">
      <c r="A132" s="2951">
        <v>128</v>
      </c>
      <c r="B132" s="2952" t="s">
        <v>3188</v>
      </c>
      <c r="C132" s="2953">
        <v>1128</v>
      </c>
      <c r="D132" s="2954">
        <v>35.119999999999997</v>
      </c>
      <c r="E132" s="2954">
        <v>10.6</v>
      </c>
      <c r="F132" s="2954"/>
      <c r="G132" s="2954"/>
    </row>
    <row r="133" spans="1:7">
      <c r="A133" s="2951">
        <v>129</v>
      </c>
      <c r="B133" s="2952" t="s">
        <v>3189</v>
      </c>
      <c r="C133" s="2953">
        <v>1129</v>
      </c>
      <c r="D133" s="2954">
        <v>59.89</v>
      </c>
      <c r="E133" s="2954">
        <v>18</v>
      </c>
      <c r="F133" s="2954"/>
      <c r="G133" s="2954"/>
    </row>
    <row r="134" spans="1:7">
      <c r="A134" s="2951">
        <v>130</v>
      </c>
      <c r="B134" s="2952" t="s">
        <v>3190</v>
      </c>
      <c r="C134" s="2953">
        <v>1130</v>
      </c>
      <c r="D134" s="2954">
        <v>29.24</v>
      </c>
      <c r="E134" s="2954">
        <v>8.8000000000000007</v>
      </c>
      <c r="F134" s="2954"/>
      <c r="G134" s="2954"/>
    </row>
    <row r="135" spans="1:7">
      <c r="A135" s="2951">
        <v>131</v>
      </c>
      <c r="B135" s="2952" t="s">
        <v>3191</v>
      </c>
      <c r="C135" s="2953">
        <v>1131</v>
      </c>
      <c r="D135" s="2954">
        <v>48.98</v>
      </c>
      <c r="E135" s="2954">
        <v>14.7</v>
      </c>
      <c r="F135" s="2954"/>
      <c r="G135" s="2954"/>
    </row>
    <row r="136" spans="1:7">
      <c r="A136" s="2951">
        <v>132</v>
      </c>
      <c r="B136" s="2952" t="s">
        <v>3192</v>
      </c>
      <c r="C136" s="2953">
        <v>1132</v>
      </c>
      <c r="D136" s="2954">
        <v>28.96</v>
      </c>
      <c r="E136" s="2954">
        <v>8.6999999999999993</v>
      </c>
      <c r="F136" s="2954"/>
      <c r="G136" s="2954"/>
    </row>
    <row r="137" spans="1:7">
      <c r="A137" s="2951">
        <v>133</v>
      </c>
      <c r="B137" s="2952" t="s">
        <v>3193</v>
      </c>
      <c r="C137" s="2953">
        <v>1133</v>
      </c>
      <c r="D137" s="2954">
        <v>52.75</v>
      </c>
      <c r="E137" s="2954">
        <v>15.9</v>
      </c>
      <c r="F137" s="2954"/>
      <c r="G137" s="2954"/>
    </row>
    <row r="138" spans="1:7">
      <c r="A138" s="2951">
        <v>134</v>
      </c>
      <c r="B138" s="2952" t="s">
        <v>3194</v>
      </c>
      <c r="C138" s="2953">
        <v>1134</v>
      </c>
      <c r="D138" s="2954">
        <v>31.3</v>
      </c>
      <c r="E138" s="2954">
        <v>9.4</v>
      </c>
      <c r="F138" s="2954"/>
      <c r="G138" s="2954"/>
    </row>
    <row r="139" spans="1:7">
      <c r="A139" s="2951">
        <v>135</v>
      </c>
      <c r="B139" s="2952" t="s">
        <v>3195</v>
      </c>
      <c r="C139" s="2953">
        <v>1135</v>
      </c>
      <c r="D139" s="2954">
        <v>54.53</v>
      </c>
      <c r="E139" s="2954">
        <v>16.399999999999999</v>
      </c>
      <c r="F139" s="2954"/>
      <c r="G139" s="2954"/>
    </row>
    <row r="140" spans="1:7">
      <c r="A140" s="2951">
        <v>136</v>
      </c>
      <c r="B140" s="2952" t="s">
        <v>3196</v>
      </c>
      <c r="C140" s="2953">
        <v>1136</v>
      </c>
      <c r="D140" s="2954">
        <v>36.39</v>
      </c>
      <c r="E140" s="2954">
        <v>10.9</v>
      </c>
      <c r="F140" s="2954"/>
      <c r="G140" s="2954"/>
    </row>
    <row r="141" spans="1:7">
      <c r="A141" s="2951">
        <v>137</v>
      </c>
      <c r="B141" s="2952" t="s">
        <v>3197</v>
      </c>
      <c r="C141" s="2953">
        <v>1137</v>
      </c>
      <c r="D141" s="2954">
        <v>54.78</v>
      </c>
      <c r="E141" s="2954">
        <v>16.5</v>
      </c>
      <c r="F141" s="2954"/>
      <c r="G141" s="2954"/>
    </row>
    <row r="142" spans="1:7">
      <c r="A142" s="2951">
        <v>138</v>
      </c>
      <c r="B142" s="2952" t="s">
        <v>3198</v>
      </c>
      <c r="C142" s="2953">
        <v>1138</v>
      </c>
      <c r="D142" s="2954">
        <v>44.64</v>
      </c>
      <c r="E142" s="2954">
        <v>13.4</v>
      </c>
      <c r="F142" s="2954"/>
      <c r="G142" s="2954"/>
    </row>
    <row r="143" spans="1:7">
      <c r="A143" s="2951">
        <v>139</v>
      </c>
      <c r="B143" s="2952" t="s">
        <v>3199</v>
      </c>
      <c r="C143" s="2953">
        <v>1139</v>
      </c>
      <c r="D143" s="2954">
        <v>54.77</v>
      </c>
      <c r="E143" s="2954">
        <v>16.5</v>
      </c>
      <c r="F143" s="2954"/>
      <c r="G143" s="2954"/>
    </row>
    <row r="144" spans="1:7">
      <c r="A144" s="2951">
        <v>140</v>
      </c>
      <c r="B144" s="2952" t="s">
        <v>3200</v>
      </c>
      <c r="C144" s="2953">
        <v>1140</v>
      </c>
      <c r="D144" s="2954">
        <v>53.93</v>
      </c>
      <c r="E144" s="2954">
        <v>16.2</v>
      </c>
      <c r="F144" s="2954"/>
      <c r="G144" s="2954"/>
    </row>
    <row r="145" spans="1:7">
      <c r="A145" s="2951">
        <v>141</v>
      </c>
      <c r="B145" s="2952" t="s">
        <v>3201</v>
      </c>
      <c r="C145" s="2953">
        <v>1141</v>
      </c>
      <c r="D145" s="2954">
        <v>55.86</v>
      </c>
      <c r="E145" s="2954">
        <v>16.8</v>
      </c>
      <c r="F145" s="2954"/>
      <c r="G145" s="2954"/>
    </row>
    <row r="146" spans="1:7">
      <c r="A146" s="2951">
        <v>142</v>
      </c>
      <c r="B146" s="2952" t="s">
        <v>3202</v>
      </c>
      <c r="C146" s="2953">
        <v>1142</v>
      </c>
      <c r="D146" s="2954">
        <v>66.28</v>
      </c>
      <c r="E146" s="2954">
        <v>19.899999999999999</v>
      </c>
      <c r="F146" s="2954"/>
      <c r="G146" s="2954"/>
    </row>
    <row r="147" spans="1:7">
      <c r="A147" s="2951">
        <v>143</v>
      </c>
      <c r="B147" s="2952" t="s">
        <v>3203</v>
      </c>
      <c r="C147" s="2953">
        <v>1143</v>
      </c>
      <c r="D147" s="2954">
        <v>30</v>
      </c>
      <c r="E147" s="2954">
        <v>9</v>
      </c>
      <c r="F147" s="2954"/>
      <c r="G147" s="2954"/>
    </row>
    <row r="148" spans="1:7">
      <c r="A148" s="2951">
        <v>144</v>
      </c>
      <c r="B148" s="2952" t="s">
        <v>3204</v>
      </c>
      <c r="C148" s="2953">
        <v>1144</v>
      </c>
      <c r="D148" s="2954">
        <v>60.77</v>
      </c>
      <c r="E148" s="2954">
        <v>18.3</v>
      </c>
      <c r="F148" s="2954"/>
      <c r="G148" s="2954"/>
    </row>
    <row r="149" spans="1:7">
      <c r="A149" s="2951">
        <v>145</v>
      </c>
      <c r="B149" s="2952" t="s">
        <v>3205</v>
      </c>
      <c r="C149" s="2953">
        <v>1145</v>
      </c>
      <c r="D149" s="2954">
        <v>36.200000000000003</v>
      </c>
      <c r="E149" s="2954">
        <v>10.9</v>
      </c>
      <c r="F149" s="2954"/>
      <c r="G149" s="2954"/>
    </row>
    <row r="150" spans="1:7">
      <c r="A150" s="2951">
        <v>146</v>
      </c>
      <c r="B150" s="2952" t="s">
        <v>3206</v>
      </c>
      <c r="C150" s="2953">
        <v>1146</v>
      </c>
      <c r="D150" s="2954">
        <v>27.64</v>
      </c>
      <c r="E150" s="2954">
        <v>8.3000000000000007</v>
      </c>
      <c r="F150" s="2954"/>
      <c r="G150" s="2954"/>
    </row>
    <row r="151" spans="1:7">
      <c r="A151" s="2951">
        <v>147</v>
      </c>
      <c r="B151" s="2952" t="s">
        <v>3207</v>
      </c>
      <c r="C151" s="2953">
        <v>1147</v>
      </c>
      <c r="D151" s="2954">
        <v>27.64</v>
      </c>
      <c r="E151" s="2954">
        <v>8.3000000000000007</v>
      </c>
      <c r="F151" s="2954"/>
      <c r="G151" s="2954"/>
    </row>
    <row r="152" spans="1:7">
      <c r="A152" s="2951">
        <v>148</v>
      </c>
      <c r="B152" s="2952" t="s">
        <v>3208</v>
      </c>
      <c r="C152" s="2953">
        <v>1148</v>
      </c>
      <c r="D152" s="2954">
        <v>22.93</v>
      </c>
      <c r="E152" s="2954">
        <v>6.9</v>
      </c>
      <c r="F152" s="2954"/>
      <c r="G152" s="2954"/>
    </row>
    <row r="153" spans="1:7">
      <c r="A153" s="2951">
        <v>149</v>
      </c>
      <c r="B153" s="2952" t="s">
        <v>3209</v>
      </c>
      <c r="C153" s="2953">
        <v>1149</v>
      </c>
      <c r="D153" s="2954">
        <v>25.89</v>
      </c>
      <c r="E153" s="2954">
        <v>7.8</v>
      </c>
      <c r="F153" s="2954"/>
      <c r="G153" s="2954"/>
    </row>
    <row r="154" spans="1:7">
      <c r="A154" s="2951">
        <v>150</v>
      </c>
      <c r="B154" s="2952" t="s">
        <v>3210</v>
      </c>
      <c r="C154" s="2953">
        <v>1150</v>
      </c>
      <c r="D154" s="2954">
        <v>83.98</v>
      </c>
      <c r="E154" s="2954">
        <v>25.3</v>
      </c>
      <c r="F154" s="2954"/>
      <c r="G154" s="2954"/>
    </row>
    <row r="155" spans="1:7">
      <c r="A155" s="2951">
        <v>151</v>
      </c>
      <c r="B155" s="2952" t="s">
        <v>3211</v>
      </c>
      <c r="C155" s="2953">
        <v>1151</v>
      </c>
      <c r="D155" s="2954">
        <v>79.459999999999994</v>
      </c>
      <c r="E155" s="2954">
        <v>23.9</v>
      </c>
      <c r="F155" s="2954"/>
      <c r="G155" s="2954"/>
    </row>
    <row r="156" spans="1:7">
      <c r="A156" s="2951">
        <v>152</v>
      </c>
      <c r="B156" s="2952" t="s">
        <v>3212</v>
      </c>
      <c r="C156" s="2953">
        <v>1152</v>
      </c>
      <c r="D156" s="2954">
        <v>49.84</v>
      </c>
      <c r="E156" s="2954">
        <v>15</v>
      </c>
      <c r="F156" s="2954"/>
      <c r="G156" s="2954"/>
    </row>
    <row r="157" spans="1:7">
      <c r="A157" s="2951">
        <v>153</v>
      </c>
      <c r="B157" s="2952" t="s">
        <v>3213</v>
      </c>
      <c r="C157" s="2953">
        <v>1153</v>
      </c>
      <c r="D157" s="2954">
        <v>35.630000000000003</v>
      </c>
      <c r="E157" s="2954">
        <v>10.7</v>
      </c>
      <c r="F157" s="2954"/>
      <c r="G157" s="2954"/>
    </row>
    <row r="158" spans="1:7">
      <c r="A158" s="2951">
        <v>154</v>
      </c>
      <c r="B158" s="2952" t="s">
        <v>3214</v>
      </c>
      <c r="C158" s="2953">
        <v>1154</v>
      </c>
      <c r="D158" s="2954">
        <v>25.88</v>
      </c>
      <c r="E158" s="2954">
        <v>7.8</v>
      </c>
      <c r="F158" s="2954"/>
      <c r="G158" s="2954"/>
    </row>
    <row r="159" spans="1:7">
      <c r="A159" s="2951">
        <v>155</v>
      </c>
      <c r="B159" s="2952" t="s">
        <v>3215</v>
      </c>
      <c r="C159" s="2953">
        <v>1156</v>
      </c>
      <c r="D159" s="2954">
        <v>41.16</v>
      </c>
      <c r="E159" s="2954">
        <v>12.4</v>
      </c>
      <c r="F159" s="2954"/>
      <c r="G159" s="2954"/>
    </row>
    <row r="160" spans="1:7">
      <c r="A160" s="2951">
        <v>156</v>
      </c>
      <c r="B160" s="2952" t="s">
        <v>3216</v>
      </c>
      <c r="C160" s="2953">
        <v>1157</v>
      </c>
      <c r="D160" s="2954">
        <v>41.31</v>
      </c>
      <c r="E160" s="2954">
        <v>12.4</v>
      </c>
      <c r="F160" s="2954"/>
      <c r="G160" s="2954"/>
    </row>
    <row r="161" spans="1:7">
      <c r="A161" s="2951">
        <v>157</v>
      </c>
      <c r="B161" s="2952" t="s">
        <v>3217</v>
      </c>
      <c r="C161" s="2953">
        <v>1158</v>
      </c>
      <c r="D161" s="2954">
        <v>41.23</v>
      </c>
      <c r="E161" s="2954">
        <v>12.4</v>
      </c>
      <c r="F161" s="2954"/>
      <c r="G161" s="2954"/>
    </row>
    <row r="162" spans="1:7">
      <c r="A162" s="2951">
        <v>158</v>
      </c>
      <c r="B162" s="2952" t="s">
        <v>3218</v>
      </c>
      <c r="C162" s="2953">
        <v>1159</v>
      </c>
      <c r="D162" s="2954">
        <v>49.43</v>
      </c>
      <c r="E162" s="2954">
        <v>14.9</v>
      </c>
      <c r="F162" s="2954"/>
      <c r="G162" s="2954"/>
    </row>
    <row r="163" spans="1:7">
      <c r="A163" s="2951">
        <v>159</v>
      </c>
      <c r="B163" s="2952" t="s">
        <v>3219</v>
      </c>
      <c r="C163" s="2953">
        <v>1160</v>
      </c>
      <c r="D163" s="2954">
        <v>60.76</v>
      </c>
      <c r="E163" s="2954">
        <v>18.3</v>
      </c>
      <c r="F163" s="2954"/>
      <c r="G163" s="2954"/>
    </row>
    <row r="164" spans="1:7">
      <c r="A164" s="2951">
        <v>160</v>
      </c>
      <c r="B164" s="2952" t="s">
        <v>3220</v>
      </c>
      <c r="C164" s="2953">
        <v>1161</v>
      </c>
      <c r="D164" s="2954">
        <v>33.950000000000003</v>
      </c>
      <c r="E164" s="2954">
        <v>10.199999999999999</v>
      </c>
      <c r="F164" s="2954"/>
      <c r="G164" s="2954"/>
    </row>
    <row r="165" spans="1:7">
      <c r="A165" s="2951">
        <v>161</v>
      </c>
      <c r="B165" s="2952" t="s">
        <v>3221</v>
      </c>
      <c r="C165" s="2953">
        <v>1162</v>
      </c>
      <c r="D165" s="2954">
        <v>24.61</v>
      </c>
      <c r="E165" s="2954">
        <v>7.4</v>
      </c>
      <c r="F165" s="2954"/>
      <c r="G165" s="2954"/>
    </row>
    <row r="166" spans="1:7">
      <c r="A166" s="2951">
        <v>162</v>
      </c>
      <c r="B166" s="2952" t="s">
        <v>3222</v>
      </c>
      <c r="C166" s="2953">
        <v>1163</v>
      </c>
      <c r="D166" s="2954">
        <v>38.520000000000003</v>
      </c>
      <c r="E166" s="2954">
        <v>11.6</v>
      </c>
      <c r="F166" s="2954"/>
      <c r="G166" s="2954"/>
    </row>
    <row r="167" spans="1:7">
      <c r="A167" s="2951">
        <v>163</v>
      </c>
      <c r="B167" s="2952" t="s">
        <v>3223</v>
      </c>
      <c r="C167" s="2953">
        <v>1164</v>
      </c>
      <c r="D167" s="2954">
        <v>50.36</v>
      </c>
      <c r="E167" s="2954">
        <v>15.1</v>
      </c>
      <c r="F167" s="2954"/>
      <c r="G167" s="2954"/>
    </row>
    <row r="168" spans="1:7">
      <c r="A168" s="2951">
        <v>164</v>
      </c>
      <c r="B168" s="2952" t="s">
        <v>3224</v>
      </c>
      <c r="C168" s="2953">
        <v>201</v>
      </c>
      <c r="D168" s="2954">
        <v>170.7</v>
      </c>
      <c r="E168" s="2954">
        <v>51.4</v>
      </c>
      <c r="F168" s="2954"/>
      <c r="G168" s="2954"/>
    </row>
    <row r="169" spans="1:7">
      <c r="A169" s="2951">
        <v>165</v>
      </c>
      <c r="B169" s="2952" t="s">
        <v>3225</v>
      </c>
      <c r="C169" s="2953">
        <v>202</v>
      </c>
      <c r="D169" s="2954">
        <v>33.369999999999997</v>
      </c>
      <c r="E169" s="2954">
        <v>10</v>
      </c>
      <c r="F169" s="2954"/>
      <c r="G169" s="2954"/>
    </row>
    <row r="170" spans="1:7">
      <c r="A170" s="2951">
        <v>166</v>
      </c>
      <c r="B170" s="2952" t="s">
        <v>3226</v>
      </c>
      <c r="C170" s="2953">
        <v>204</v>
      </c>
      <c r="D170" s="2954">
        <v>48.22</v>
      </c>
      <c r="E170" s="2954">
        <v>14.5</v>
      </c>
      <c r="F170" s="2954"/>
      <c r="G170" s="2954"/>
    </row>
    <row r="171" spans="1:7">
      <c r="A171" s="2951">
        <v>167</v>
      </c>
      <c r="B171" s="2952" t="s">
        <v>3227</v>
      </c>
      <c r="C171" s="2953">
        <v>205</v>
      </c>
      <c r="D171" s="2954">
        <v>44.04</v>
      </c>
      <c r="E171" s="2954">
        <v>13.2</v>
      </c>
      <c r="F171" s="2954"/>
      <c r="G171" s="2954"/>
    </row>
    <row r="172" spans="1:7">
      <c r="A172" s="2951">
        <v>168</v>
      </c>
      <c r="B172" s="2952" t="s">
        <v>3228</v>
      </c>
      <c r="C172" s="2953">
        <v>207</v>
      </c>
      <c r="D172" s="2954">
        <v>41.41</v>
      </c>
      <c r="E172" s="2954">
        <v>12.5</v>
      </c>
      <c r="F172" s="2954"/>
      <c r="G172" s="2954"/>
    </row>
    <row r="173" spans="1:7">
      <c r="A173" s="2951">
        <v>169</v>
      </c>
      <c r="B173" s="2952" t="s">
        <v>3229</v>
      </c>
      <c r="C173" s="2953">
        <v>208</v>
      </c>
      <c r="D173" s="2954">
        <v>38.83</v>
      </c>
      <c r="E173" s="2954">
        <v>11.7</v>
      </c>
      <c r="F173" s="2954"/>
      <c r="G173" s="2954"/>
    </row>
    <row r="174" spans="1:7">
      <c r="A174" s="2951">
        <v>170</v>
      </c>
      <c r="B174" s="2952" t="s">
        <v>3230</v>
      </c>
      <c r="C174" s="2953">
        <v>209</v>
      </c>
      <c r="D174" s="2954">
        <v>43.68</v>
      </c>
      <c r="E174" s="2954">
        <v>13.1</v>
      </c>
      <c r="F174" s="2954"/>
      <c r="G174" s="2954"/>
    </row>
    <row r="175" spans="1:7">
      <c r="A175" s="2951">
        <v>171</v>
      </c>
      <c r="B175" s="2952" t="s">
        <v>3231</v>
      </c>
      <c r="C175" s="2953">
        <v>210</v>
      </c>
      <c r="D175" s="2954">
        <v>54.28</v>
      </c>
      <c r="E175" s="2954">
        <v>16.3</v>
      </c>
      <c r="F175" s="2954"/>
      <c r="G175" s="2954"/>
    </row>
    <row r="176" spans="1:7">
      <c r="A176" s="2951">
        <v>172</v>
      </c>
      <c r="B176" s="2952" t="s">
        <v>3232</v>
      </c>
      <c r="C176" s="2953">
        <v>211</v>
      </c>
      <c r="D176" s="2954">
        <v>71.66</v>
      </c>
      <c r="E176" s="2954">
        <v>21.6</v>
      </c>
      <c r="F176" s="2954"/>
      <c r="G176" s="2954"/>
    </row>
    <row r="177" spans="1:7">
      <c r="A177" s="2951">
        <v>173</v>
      </c>
      <c r="B177" s="2952" t="s">
        <v>3233</v>
      </c>
      <c r="C177" s="2953">
        <v>212</v>
      </c>
      <c r="D177" s="2954">
        <v>33.22</v>
      </c>
      <c r="E177" s="2954">
        <v>10</v>
      </c>
      <c r="F177" s="2954"/>
      <c r="G177" s="2954"/>
    </row>
    <row r="178" spans="1:7">
      <c r="A178" s="2951">
        <v>174</v>
      </c>
      <c r="B178" s="2952" t="s">
        <v>3234</v>
      </c>
      <c r="C178" s="2953">
        <v>213</v>
      </c>
      <c r="D178" s="2954">
        <v>41.57</v>
      </c>
      <c r="E178" s="2954">
        <v>12.5</v>
      </c>
      <c r="F178" s="2954"/>
      <c r="G178" s="2954"/>
    </row>
    <row r="179" spans="1:7">
      <c r="A179" s="2951">
        <v>175</v>
      </c>
      <c r="B179" s="2952" t="s">
        <v>3235</v>
      </c>
      <c r="C179" s="2953">
        <v>214</v>
      </c>
      <c r="D179" s="2954">
        <v>79.3</v>
      </c>
      <c r="E179" s="2954">
        <v>23.9</v>
      </c>
      <c r="F179" s="2954"/>
      <c r="G179" s="2954"/>
    </row>
    <row r="180" spans="1:7">
      <c r="A180" s="2951">
        <v>176</v>
      </c>
      <c r="B180" s="2952" t="s">
        <v>3236</v>
      </c>
      <c r="C180" s="2953">
        <v>215</v>
      </c>
      <c r="D180" s="2954">
        <v>103.77</v>
      </c>
      <c r="E180" s="2954">
        <v>31.2</v>
      </c>
      <c r="F180" s="2954"/>
      <c r="G180" s="2954"/>
    </row>
    <row r="181" spans="1:7">
      <c r="A181" s="2951">
        <v>177</v>
      </c>
      <c r="B181" s="2952" t="s">
        <v>3237</v>
      </c>
      <c r="C181" s="2953">
        <v>216</v>
      </c>
      <c r="D181" s="2954">
        <v>590.15</v>
      </c>
      <c r="E181" s="2954">
        <v>177.5</v>
      </c>
      <c r="F181" s="2954"/>
      <c r="G181" s="2954"/>
    </row>
    <row r="182" spans="1:7">
      <c r="A182" s="2951">
        <v>178</v>
      </c>
      <c r="B182" s="2952" t="s">
        <v>3238</v>
      </c>
      <c r="C182" s="2953">
        <v>217</v>
      </c>
      <c r="D182" s="2954">
        <v>48.51</v>
      </c>
      <c r="E182" s="2954">
        <v>14.6</v>
      </c>
      <c r="F182" s="2954"/>
      <c r="G182" s="2954"/>
    </row>
    <row r="183" spans="1:7">
      <c r="A183" s="2951">
        <v>179</v>
      </c>
      <c r="B183" s="2952" t="s">
        <v>3239</v>
      </c>
      <c r="C183" s="2953">
        <v>218</v>
      </c>
      <c r="D183" s="2954">
        <v>53.94</v>
      </c>
      <c r="E183" s="2954">
        <v>16.2</v>
      </c>
      <c r="F183" s="2954"/>
      <c r="G183" s="2954"/>
    </row>
    <row r="184" spans="1:7">
      <c r="A184" s="2951">
        <v>180</v>
      </c>
      <c r="B184" s="2952" t="s">
        <v>3240</v>
      </c>
      <c r="C184" s="2953">
        <v>219</v>
      </c>
      <c r="D184" s="2954">
        <v>58.1</v>
      </c>
      <c r="E184" s="2954">
        <v>17.5</v>
      </c>
      <c r="F184" s="2954"/>
      <c r="G184" s="2954"/>
    </row>
    <row r="185" spans="1:7">
      <c r="A185" s="2951">
        <v>181</v>
      </c>
      <c r="B185" s="2952" t="s">
        <v>3241</v>
      </c>
      <c r="C185" s="2953">
        <v>220</v>
      </c>
      <c r="D185" s="2954">
        <v>58.1</v>
      </c>
      <c r="E185" s="2954">
        <v>17.5</v>
      </c>
      <c r="F185" s="2954"/>
      <c r="G185" s="2954"/>
    </row>
    <row r="186" spans="1:7">
      <c r="A186" s="2951">
        <v>182</v>
      </c>
      <c r="B186" s="2952" t="s">
        <v>3242</v>
      </c>
      <c r="C186" s="2953">
        <v>221</v>
      </c>
      <c r="D186" s="2954">
        <v>60.45</v>
      </c>
      <c r="E186" s="2954">
        <v>18.2</v>
      </c>
      <c r="F186" s="2954"/>
      <c r="G186" s="2954"/>
    </row>
    <row r="187" spans="1:7">
      <c r="A187" s="2951">
        <v>183</v>
      </c>
      <c r="B187" s="2952" t="s">
        <v>3243</v>
      </c>
      <c r="C187" s="2953">
        <v>222</v>
      </c>
      <c r="D187" s="2954">
        <v>44.28</v>
      </c>
      <c r="E187" s="2954">
        <v>13.3</v>
      </c>
      <c r="F187" s="2954"/>
      <c r="G187" s="2954"/>
    </row>
    <row r="188" spans="1:7">
      <c r="A188" s="2951">
        <v>184</v>
      </c>
      <c r="B188" s="2952" t="s">
        <v>3244</v>
      </c>
      <c r="C188" s="2953">
        <v>223</v>
      </c>
      <c r="D188" s="2954">
        <v>64.78</v>
      </c>
      <c r="E188" s="2954">
        <v>19.5</v>
      </c>
      <c r="F188" s="2954"/>
      <c r="G188" s="2954"/>
    </row>
    <row r="189" spans="1:7">
      <c r="A189" s="2951">
        <v>185</v>
      </c>
      <c r="B189" s="2952" t="s">
        <v>3245</v>
      </c>
      <c r="C189" s="2953">
        <v>224</v>
      </c>
      <c r="D189" s="2954">
        <v>65.41</v>
      </c>
      <c r="E189" s="2954">
        <v>19.7</v>
      </c>
      <c r="F189" s="2954"/>
      <c r="G189" s="2954"/>
    </row>
    <row r="190" spans="1:7">
      <c r="A190" s="2951">
        <v>186</v>
      </c>
      <c r="B190" s="2952" t="s">
        <v>3246</v>
      </c>
      <c r="C190" s="2953">
        <v>225</v>
      </c>
      <c r="D190" s="2954">
        <v>65.41</v>
      </c>
      <c r="E190" s="2954">
        <v>19.7</v>
      </c>
      <c r="F190" s="2954"/>
      <c r="G190" s="2954"/>
    </row>
    <row r="191" spans="1:7">
      <c r="A191" s="2951">
        <v>187</v>
      </c>
      <c r="B191" s="2952" t="s">
        <v>3247</v>
      </c>
      <c r="C191" s="2953">
        <v>226</v>
      </c>
      <c r="D191" s="2954">
        <v>65.41</v>
      </c>
      <c r="E191" s="2954">
        <v>19.7</v>
      </c>
      <c r="F191" s="2954"/>
      <c r="G191" s="2954"/>
    </row>
    <row r="192" spans="1:7">
      <c r="A192" s="2951">
        <v>188</v>
      </c>
      <c r="B192" s="2952" t="s">
        <v>3248</v>
      </c>
      <c r="C192" s="2953">
        <v>227</v>
      </c>
      <c r="D192" s="2954">
        <v>48.19</v>
      </c>
      <c r="E192" s="2954">
        <v>14.5</v>
      </c>
      <c r="F192" s="2954"/>
      <c r="G192" s="2954"/>
    </row>
    <row r="193" spans="1:8">
      <c r="A193" s="2951">
        <v>189</v>
      </c>
      <c r="B193" s="2952" t="s">
        <v>3249</v>
      </c>
      <c r="C193" s="2953">
        <v>228</v>
      </c>
      <c r="D193" s="2954">
        <v>57.85</v>
      </c>
      <c r="E193" s="2954">
        <v>17.399999999999999</v>
      </c>
      <c r="F193" s="2954"/>
      <c r="G193" s="2954"/>
    </row>
    <row r="194" spans="1:8">
      <c r="A194" s="2951"/>
      <c r="B194" s="2952"/>
      <c r="C194" s="2953"/>
      <c r="D194" s="2954"/>
      <c r="E194" s="2954"/>
      <c r="F194" s="2954"/>
      <c r="G194" s="2954"/>
      <c r="H194" s="2955"/>
    </row>
    <row r="195" spans="1:8">
      <c r="A195" s="2951">
        <v>191</v>
      </c>
      <c r="B195" s="2952" t="s">
        <v>3251</v>
      </c>
      <c r="C195" s="2953">
        <v>230</v>
      </c>
      <c r="D195" s="2954">
        <v>60.01</v>
      </c>
      <c r="E195" s="2954">
        <v>18.100000000000001</v>
      </c>
      <c r="F195" s="2954"/>
      <c r="G195" s="2954"/>
    </row>
    <row r="196" spans="1:8">
      <c r="A196" s="2951">
        <v>192</v>
      </c>
      <c r="B196" s="2952" t="s">
        <v>3252</v>
      </c>
      <c r="C196" s="2953">
        <v>231</v>
      </c>
      <c r="D196" s="2954">
        <v>41.91</v>
      </c>
      <c r="E196" s="2954">
        <v>12.6</v>
      </c>
      <c r="F196" s="2954"/>
      <c r="G196" s="2954"/>
    </row>
    <row r="197" spans="1:8">
      <c r="A197" s="2951">
        <v>193</v>
      </c>
      <c r="B197" s="2952" t="s">
        <v>3253</v>
      </c>
      <c r="C197" s="2953">
        <v>234</v>
      </c>
      <c r="D197" s="2954">
        <v>37.35</v>
      </c>
      <c r="E197" s="2954">
        <v>11.2</v>
      </c>
      <c r="F197" s="2954"/>
      <c r="G197" s="2954"/>
    </row>
    <row r="198" spans="1:8">
      <c r="A198" s="2951">
        <v>194</v>
      </c>
      <c r="B198" s="2952" t="s">
        <v>3254</v>
      </c>
      <c r="C198" s="2953">
        <v>235</v>
      </c>
      <c r="D198" s="2954">
        <v>43.43</v>
      </c>
      <c r="E198" s="2954">
        <v>13.1</v>
      </c>
      <c r="F198" s="2954"/>
      <c r="G198" s="2954"/>
    </row>
    <row r="199" spans="1:8">
      <c r="A199" s="2951">
        <v>195</v>
      </c>
      <c r="B199" s="2952" t="s">
        <v>3255</v>
      </c>
      <c r="C199" s="2953">
        <v>237</v>
      </c>
      <c r="D199" s="2954">
        <v>58.69</v>
      </c>
      <c r="E199" s="2954">
        <v>17.7</v>
      </c>
      <c r="F199" s="2954"/>
      <c r="G199" s="2954"/>
    </row>
    <row r="200" spans="1:8">
      <c r="A200" s="2951">
        <v>196</v>
      </c>
      <c r="B200" s="2952" t="s">
        <v>3256</v>
      </c>
      <c r="C200" s="2953">
        <v>238</v>
      </c>
      <c r="D200" s="2954">
        <v>50.69</v>
      </c>
      <c r="E200" s="2954">
        <v>15.2</v>
      </c>
      <c r="F200" s="2954"/>
      <c r="G200" s="2954"/>
    </row>
    <row r="201" spans="1:8">
      <c r="A201" s="2951">
        <v>197</v>
      </c>
      <c r="B201" s="2952" t="s">
        <v>3257</v>
      </c>
      <c r="C201" s="2953">
        <v>239</v>
      </c>
      <c r="D201" s="2954">
        <v>70.2</v>
      </c>
      <c r="E201" s="2954">
        <v>21.1</v>
      </c>
      <c r="F201" s="2954"/>
      <c r="G201" s="2954"/>
    </row>
    <row r="202" spans="1:8">
      <c r="A202" s="2951">
        <v>198</v>
      </c>
      <c r="B202" s="2952" t="s">
        <v>3258</v>
      </c>
      <c r="C202" s="2953">
        <v>240</v>
      </c>
      <c r="D202" s="2954">
        <v>50.07</v>
      </c>
      <c r="E202" s="2954">
        <v>15.1</v>
      </c>
      <c r="F202" s="2954"/>
      <c r="G202" s="2954"/>
    </row>
    <row r="203" spans="1:8">
      <c r="A203" s="2951">
        <v>199</v>
      </c>
      <c r="B203" s="2952" t="s">
        <v>3259</v>
      </c>
      <c r="C203" s="2953">
        <v>241</v>
      </c>
      <c r="D203" s="2954">
        <v>88.64</v>
      </c>
      <c r="E203" s="2954">
        <v>26.7</v>
      </c>
      <c r="F203" s="2954"/>
      <c r="G203" s="2954"/>
    </row>
    <row r="204" spans="1:8">
      <c r="A204" s="2951">
        <v>200</v>
      </c>
      <c r="B204" s="2952" t="s">
        <v>3260</v>
      </c>
      <c r="C204" s="2953">
        <v>242</v>
      </c>
      <c r="D204" s="2954">
        <v>63.08</v>
      </c>
      <c r="E204" s="2954">
        <v>19</v>
      </c>
      <c r="F204" s="2954"/>
      <c r="G204" s="2954"/>
    </row>
    <row r="205" spans="1:8">
      <c r="A205" s="2951">
        <v>201</v>
      </c>
      <c r="B205" s="2952" t="s">
        <v>3261</v>
      </c>
      <c r="C205" s="2953">
        <v>243</v>
      </c>
      <c r="D205" s="2954">
        <v>63.59</v>
      </c>
      <c r="E205" s="2954">
        <v>19.100000000000001</v>
      </c>
      <c r="F205" s="2954"/>
      <c r="G205" s="2954"/>
    </row>
    <row r="206" spans="1:8">
      <c r="A206" s="2951">
        <v>202</v>
      </c>
      <c r="B206" s="2952" t="s">
        <v>3262</v>
      </c>
      <c r="C206" s="2953">
        <v>244</v>
      </c>
      <c r="D206" s="2954">
        <v>65.55</v>
      </c>
      <c r="E206" s="2954">
        <v>19.7</v>
      </c>
      <c r="F206" s="2954"/>
      <c r="G206" s="2954"/>
    </row>
    <row r="207" spans="1:8">
      <c r="A207" s="2951">
        <v>203</v>
      </c>
      <c r="B207" s="2952" t="s">
        <v>3263</v>
      </c>
      <c r="C207" s="2953">
        <v>245</v>
      </c>
      <c r="D207" s="2954">
        <v>65.84</v>
      </c>
      <c r="E207" s="2954">
        <v>19.8</v>
      </c>
      <c r="F207" s="2954"/>
      <c r="G207" s="2954"/>
    </row>
    <row r="208" spans="1:8">
      <c r="A208" s="2951">
        <v>204</v>
      </c>
      <c r="B208" s="2952" t="s">
        <v>3264</v>
      </c>
      <c r="C208" s="2953">
        <v>246</v>
      </c>
      <c r="D208" s="2954">
        <v>33.94</v>
      </c>
      <c r="E208" s="2954">
        <v>10.199999999999999</v>
      </c>
      <c r="F208" s="2954"/>
      <c r="G208" s="2954"/>
    </row>
    <row r="209" spans="1:7">
      <c r="A209" s="2951">
        <v>205</v>
      </c>
      <c r="B209" s="2952" t="s">
        <v>3265</v>
      </c>
      <c r="C209" s="2953">
        <v>247</v>
      </c>
      <c r="D209" s="2954">
        <v>76.88</v>
      </c>
      <c r="E209" s="2954">
        <v>23.1</v>
      </c>
      <c r="F209" s="2954"/>
      <c r="G209" s="2954"/>
    </row>
    <row r="210" spans="1:7">
      <c r="A210" s="2951">
        <v>206</v>
      </c>
      <c r="B210" s="2952" t="s">
        <v>3266</v>
      </c>
      <c r="C210" s="2953">
        <v>248</v>
      </c>
      <c r="D210" s="2954">
        <v>81.63</v>
      </c>
      <c r="E210" s="2954">
        <v>24.6</v>
      </c>
      <c r="F210" s="2954"/>
      <c r="G210" s="2954"/>
    </row>
    <row r="211" spans="1:7">
      <c r="A211" s="2951">
        <v>207</v>
      </c>
      <c r="B211" s="2952" t="s">
        <v>3267</v>
      </c>
      <c r="C211" s="2953">
        <v>249</v>
      </c>
      <c r="D211" s="2954">
        <v>87</v>
      </c>
      <c r="E211" s="2954">
        <v>26.2</v>
      </c>
      <c r="F211" s="2954"/>
      <c r="G211" s="2954"/>
    </row>
    <row r="212" spans="1:7">
      <c r="A212" s="2951">
        <v>208</v>
      </c>
      <c r="B212" s="2952" t="s">
        <v>3268</v>
      </c>
      <c r="C212" s="2953">
        <v>250</v>
      </c>
      <c r="D212" s="2954">
        <v>397.35</v>
      </c>
      <c r="E212" s="2954">
        <v>119.5</v>
      </c>
      <c r="F212" s="2954"/>
      <c r="G212" s="2954"/>
    </row>
    <row r="213" spans="1:7">
      <c r="A213" s="2951">
        <v>209</v>
      </c>
      <c r="B213" s="2952" t="s">
        <v>3269</v>
      </c>
      <c r="C213" s="2953">
        <v>251</v>
      </c>
      <c r="D213" s="2954">
        <v>30.86</v>
      </c>
      <c r="E213" s="2954">
        <v>9.3000000000000007</v>
      </c>
      <c r="F213" s="2954"/>
      <c r="G213" s="2954"/>
    </row>
    <row r="214" spans="1:7">
      <c r="A214" s="2951">
        <v>210</v>
      </c>
      <c r="B214" s="2952" t="s">
        <v>3270</v>
      </c>
      <c r="C214" s="2953">
        <v>252</v>
      </c>
      <c r="D214" s="2954">
        <v>50.93</v>
      </c>
      <c r="E214" s="2954">
        <v>15.3</v>
      </c>
      <c r="F214" s="2954"/>
      <c r="G214" s="2954"/>
    </row>
    <row r="215" spans="1:7">
      <c r="A215" s="2951">
        <v>211</v>
      </c>
      <c r="B215" s="2952" t="s">
        <v>3271</v>
      </c>
      <c r="C215" s="2953">
        <v>253</v>
      </c>
      <c r="D215" s="2954">
        <v>48.02</v>
      </c>
      <c r="E215" s="2954">
        <v>14.4</v>
      </c>
      <c r="F215" s="2954"/>
      <c r="G215" s="2954"/>
    </row>
    <row r="216" spans="1:7">
      <c r="A216" s="2951">
        <v>212</v>
      </c>
      <c r="B216" s="2952" t="s">
        <v>3272</v>
      </c>
      <c r="C216" s="2953">
        <v>254</v>
      </c>
      <c r="D216" s="2954">
        <v>48.08</v>
      </c>
      <c r="E216" s="2954">
        <v>14.5</v>
      </c>
      <c r="F216" s="2954"/>
      <c r="G216" s="2954"/>
    </row>
    <row r="217" spans="1:7">
      <c r="A217" s="2951">
        <v>213</v>
      </c>
      <c r="B217" s="2952" t="s">
        <v>3273</v>
      </c>
      <c r="C217" s="2953">
        <v>255</v>
      </c>
      <c r="D217" s="2954">
        <v>48.08</v>
      </c>
      <c r="E217" s="2954">
        <v>14.5</v>
      </c>
      <c r="F217" s="2954"/>
      <c r="G217" s="2954"/>
    </row>
    <row r="218" spans="1:7">
      <c r="A218" s="2951">
        <v>214</v>
      </c>
      <c r="B218" s="2952" t="s">
        <v>3274</v>
      </c>
      <c r="C218" s="2953">
        <v>256</v>
      </c>
      <c r="D218" s="2954">
        <v>80.48</v>
      </c>
      <c r="E218" s="2954">
        <v>24.2</v>
      </c>
      <c r="F218" s="2954"/>
      <c r="G218" s="2954"/>
    </row>
    <row r="219" spans="1:7">
      <c r="A219" s="2951">
        <v>215</v>
      </c>
      <c r="B219" s="2952" t="s">
        <v>3275</v>
      </c>
      <c r="C219" s="2953">
        <v>257</v>
      </c>
      <c r="D219" s="2954">
        <v>48.08</v>
      </c>
      <c r="E219" s="2954">
        <v>14.5</v>
      </c>
      <c r="F219" s="2954"/>
      <c r="G219" s="2954"/>
    </row>
    <row r="220" spans="1:7">
      <c r="A220" s="2951">
        <v>216</v>
      </c>
      <c r="B220" s="2952" t="s">
        <v>3276</v>
      </c>
      <c r="C220" s="2953">
        <v>258</v>
      </c>
      <c r="D220" s="2954">
        <v>67.099999999999994</v>
      </c>
      <c r="E220" s="2954">
        <v>20.2</v>
      </c>
      <c r="F220" s="2954"/>
      <c r="G220" s="2954"/>
    </row>
    <row r="221" spans="1:7">
      <c r="A221" s="2951">
        <v>217</v>
      </c>
      <c r="B221" s="2952" t="s">
        <v>3277</v>
      </c>
      <c r="C221" s="2953">
        <v>259</v>
      </c>
      <c r="D221" s="2954">
        <v>66.45</v>
      </c>
      <c r="E221" s="2954">
        <v>20</v>
      </c>
      <c r="F221" s="2954"/>
      <c r="G221" s="2954"/>
    </row>
    <row r="222" spans="1:7">
      <c r="A222" s="2951">
        <v>218</v>
      </c>
      <c r="B222" s="2952" t="s">
        <v>3278</v>
      </c>
      <c r="C222" s="2953">
        <v>260</v>
      </c>
      <c r="D222" s="2954">
        <v>48.09</v>
      </c>
      <c r="E222" s="2954">
        <v>14.5</v>
      </c>
      <c r="F222" s="2954"/>
      <c r="G222" s="2954"/>
    </row>
    <row r="223" spans="1:7">
      <c r="A223" s="2951">
        <v>219</v>
      </c>
      <c r="B223" s="2952" t="s">
        <v>3279</v>
      </c>
      <c r="C223" s="2953">
        <v>261</v>
      </c>
      <c r="D223" s="2954">
        <v>48.08</v>
      </c>
      <c r="E223" s="2954">
        <v>14.5</v>
      </c>
      <c r="F223" s="2954"/>
      <c r="G223" s="2954"/>
    </row>
    <row r="224" spans="1:7">
      <c r="A224" s="2951">
        <v>220</v>
      </c>
      <c r="B224" s="2952" t="s">
        <v>3280</v>
      </c>
      <c r="C224" s="2953">
        <v>262</v>
      </c>
      <c r="D224" s="2954">
        <v>71.39</v>
      </c>
      <c r="E224" s="2954">
        <v>21.5</v>
      </c>
      <c r="F224" s="2954"/>
      <c r="G224" s="2954"/>
    </row>
    <row r="225" spans="1:7">
      <c r="A225" s="2951">
        <v>221</v>
      </c>
      <c r="B225" s="2952" t="s">
        <v>3281</v>
      </c>
      <c r="C225" s="2953">
        <v>263</v>
      </c>
      <c r="D225" s="2954">
        <v>60.27</v>
      </c>
      <c r="E225" s="2954">
        <v>18.100000000000001</v>
      </c>
      <c r="F225" s="2954"/>
      <c r="G225" s="2954"/>
    </row>
    <row r="226" spans="1:7">
      <c r="A226" s="2951">
        <v>222</v>
      </c>
      <c r="B226" s="2952" t="s">
        <v>3282</v>
      </c>
      <c r="C226" s="2953">
        <v>264</v>
      </c>
      <c r="D226" s="2954">
        <v>60.27</v>
      </c>
      <c r="E226" s="2954">
        <v>18.100000000000001</v>
      </c>
      <c r="F226" s="2954"/>
      <c r="G226" s="2954"/>
    </row>
    <row r="227" spans="1:7">
      <c r="A227" s="2951">
        <v>223</v>
      </c>
      <c r="B227" s="2952" t="s">
        <v>3283</v>
      </c>
      <c r="C227" s="2953">
        <v>265</v>
      </c>
      <c r="D227" s="2954">
        <v>69.05</v>
      </c>
      <c r="E227" s="2954">
        <v>20.8</v>
      </c>
      <c r="F227" s="2954"/>
      <c r="G227" s="2954"/>
    </row>
    <row r="228" spans="1:7">
      <c r="A228" s="2951">
        <v>224</v>
      </c>
      <c r="B228" s="2952" t="s">
        <v>3284</v>
      </c>
      <c r="C228" s="2953">
        <v>266</v>
      </c>
      <c r="D228" s="2954">
        <v>74.78</v>
      </c>
      <c r="E228" s="2954">
        <v>22.5</v>
      </c>
      <c r="F228" s="2954"/>
      <c r="G228" s="2954"/>
    </row>
    <row r="229" spans="1:7">
      <c r="A229" s="2951">
        <v>225</v>
      </c>
      <c r="B229" s="2952" t="s">
        <v>3285</v>
      </c>
      <c r="C229" s="2953">
        <v>268</v>
      </c>
      <c r="D229" s="2954">
        <v>80.33</v>
      </c>
      <c r="E229" s="2954">
        <v>24.2</v>
      </c>
      <c r="F229" s="2954"/>
      <c r="G229" s="2954"/>
    </row>
    <row r="230" spans="1:7">
      <c r="A230" s="2951">
        <v>226</v>
      </c>
      <c r="B230" s="2952" t="s">
        <v>3286</v>
      </c>
      <c r="C230" s="2953">
        <v>269</v>
      </c>
      <c r="D230" s="2954">
        <v>56.27</v>
      </c>
      <c r="E230" s="2954">
        <v>16.899999999999999</v>
      </c>
      <c r="F230" s="2954"/>
      <c r="G230" s="2954"/>
    </row>
    <row r="231" spans="1:7">
      <c r="A231" s="2951">
        <v>227</v>
      </c>
      <c r="B231" s="2952" t="s">
        <v>3287</v>
      </c>
      <c r="C231" s="2953">
        <v>270</v>
      </c>
      <c r="D231" s="2954">
        <v>64.680000000000007</v>
      </c>
      <c r="E231" s="2954">
        <v>19.5</v>
      </c>
      <c r="F231" s="2954"/>
      <c r="G231" s="2954"/>
    </row>
    <row r="232" spans="1:7">
      <c r="A232" s="2951">
        <v>228</v>
      </c>
      <c r="B232" s="2952" t="s">
        <v>3288</v>
      </c>
      <c r="C232" s="2953">
        <v>271</v>
      </c>
      <c r="D232" s="2954">
        <v>54.64</v>
      </c>
      <c r="E232" s="2954">
        <v>16.399999999999999</v>
      </c>
      <c r="F232" s="2954"/>
      <c r="G232" s="2954"/>
    </row>
    <row r="233" spans="1:7">
      <c r="A233" s="2951">
        <v>229</v>
      </c>
      <c r="B233" s="2952" t="s">
        <v>3289</v>
      </c>
      <c r="C233" s="2953">
        <v>272</v>
      </c>
      <c r="D233" s="2954">
        <v>35.46</v>
      </c>
      <c r="E233" s="2954">
        <v>10.7</v>
      </c>
      <c r="F233" s="2954"/>
      <c r="G233" s="2954"/>
    </row>
    <row r="234" spans="1:7">
      <c r="A234" s="2951">
        <v>230</v>
      </c>
      <c r="B234" s="2952" t="s">
        <v>3290</v>
      </c>
      <c r="C234" s="2953">
        <v>273</v>
      </c>
      <c r="D234" s="2954">
        <v>53.83</v>
      </c>
      <c r="E234" s="2954">
        <v>16.2</v>
      </c>
      <c r="F234" s="2954"/>
      <c r="G234" s="2954"/>
    </row>
    <row r="235" spans="1:7">
      <c r="A235" s="2951">
        <v>231</v>
      </c>
      <c r="B235" s="2952" t="s">
        <v>3291</v>
      </c>
      <c r="C235" s="2953">
        <v>274</v>
      </c>
      <c r="D235" s="2954">
        <v>38.44</v>
      </c>
      <c r="E235" s="2954">
        <v>11.6</v>
      </c>
      <c r="F235" s="2954"/>
      <c r="G235" s="2954"/>
    </row>
    <row r="236" spans="1:7">
      <c r="A236" s="2951">
        <v>232</v>
      </c>
      <c r="B236" s="2952" t="s">
        <v>3292</v>
      </c>
      <c r="C236" s="2953">
        <v>275</v>
      </c>
      <c r="D236" s="2954">
        <v>53.38</v>
      </c>
      <c r="E236" s="2954">
        <v>16.100000000000001</v>
      </c>
      <c r="F236" s="2954"/>
      <c r="G236" s="2954"/>
    </row>
    <row r="237" spans="1:7">
      <c r="A237" s="2951">
        <v>233</v>
      </c>
      <c r="B237" s="2952" t="s">
        <v>3293</v>
      </c>
      <c r="C237" s="2953">
        <v>276</v>
      </c>
      <c r="D237" s="2954">
        <v>61.07</v>
      </c>
      <c r="E237" s="2954">
        <v>18.399999999999999</v>
      </c>
      <c r="F237" s="2954"/>
      <c r="G237" s="2954"/>
    </row>
    <row r="238" spans="1:7">
      <c r="A238" s="2951">
        <v>234</v>
      </c>
      <c r="B238" s="2952" t="s">
        <v>3294</v>
      </c>
      <c r="C238" s="2953">
        <v>277</v>
      </c>
      <c r="D238" s="2954">
        <v>32.270000000000003</v>
      </c>
      <c r="E238" s="2954">
        <v>9.6999999999999993</v>
      </c>
      <c r="F238" s="2954"/>
      <c r="G238" s="2954"/>
    </row>
    <row r="239" spans="1:7">
      <c r="A239" s="2951">
        <v>235</v>
      </c>
      <c r="B239" s="2952" t="s">
        <v>3295</v>
      </c>
      <c r="C239" s="2953">
        <v>278</v>
      </c>
      <c r="D239" s="2954">
        <v>75.75</v>
      </c>
      <c r="E239" s="2954">
        <v>22.8</v>
      </c>
      <c r="F239" s="2954"/>
      <c r="G239" s="2954"/>
    </row>
    <row r="240" spans="1:7">
      <c r="A240" s="2951">
        <v>236</v>
      </c>
      <c r="B240" s="2952" t="s">
        <v>3296</v>
      </c>
      <c r="C240" s="2953">
        <v>279</v>
      </c>
      <c r="D240" s="2954">
        <v>79.39</v>
      </c>
      <c r="E240" s="2954">
        <v>23.9</v>
      </c>
      <c r="F240" s="2954"/>
      <c r="G240" s="2954"/>
    </row>
    <row r="241" spans="1:7">
      <c r="A241" s="2951">
        <v>237</v>
      </c>
      <c r="B241" s="2952" t="s">
        <v>3297</v>
      </c>
      <c r="C241" s="2953">
        <v>280</v>
      </c>
      <c r="D241" s="2954">
        <v>99.65</v>
      </c>
      <c r="E241" s="2954">
        <v>30</v>
      </c>
      <c r="F241" s="2954"/>
      <c r="G241" s="2954"/>
    </row>
    <row r="242" spans="1:7">
      <c r="A242" s="2951">
        <v>238</v>
      </c>
      <c r="B242" s="2952" t="s">
        <v>3298</v>
      </c>
      <c r="C242" s="2953">
        <v>281</v>
      </c>
      <c r="D242" s="2954">
        <v>65.56</v>
      </c>
      <c r="E242" s="2954">
        <v>19.7</v>
      </c>
      <c r="F242" s="2954"/>
      <c r="G242" s="2954"/>
    </row>
    <row r="243" spans="1:7">
      <c r="A243" s="2951">
        <v>239</v>
      </c>
      <c r="B243" s="2952" t="s">
        <v>3299</v>
      </c>
      <c r="C243" s="2953">
        <v>282</v>
      </c>
      <c r="D243" s="2954">
        <v>65.42</v>
      </c>
      <c r="E243" s="2954">
        <v>19.7</v>
      </c>
      <c r="F243" s="2954"/>
      <c r="G243" s="2954"/>
    </row>
    <row r="244" spans="1:7">
      <c r="A244" s="2951">
        <v>240</v>
      </c>
      <c r="B244" s="2952" t="s">
        <v>3300</v>
      </c>
      <c r="C244" s="2953">
        <v>283</v>
      </c>
      <c r="D244" s="2954">
        <v>45.95</v>
      </c>
      <c r="E244" s="2954">
        <v>13.8</v>
      </c>
      <c r="F244" s="2954"/>
      <c r="G244" s="2954"/>
    </row>
    <row r="245" spans="1:7">
      <c r="A245" s="2951">
        <v>241</v>
      </c>
      <c r="B245" s="2952" t="s">
        <v>3301</v>
      </c>
      <c r="C245" s="2953">
        <v>284</v>
      </c>
      <c r="D245" s="2954">
        <v>52.81</v>
      </c>
      <c r="E245" s="2954">
        <v>15.9</v>
      </c>
      <c r="F245" s="2954"/>
      <c r="G245" s="2954"/>
    </row>
    <row r="246" spans="1:7">
      <c r="A246" s="2951">
        <v>242</v>
      </c>
      <c r="B246" s="2952" t="s">
        <v>3302</v>
      </c>
      <c r="C246" s="2953">
        <v>301</v>
      </c>
      <c r="D246" s="2954">
        <v>170.7</v>
      </c>
      <c r="E246" s="2954">
        <v>51.4</v>
      </c>
      <c r="F246" s="2954"/>
      <c r="G246" s="2954"/>
    </row>
    <row r="247" spans="1:7">
      <c r="A247" s="2951">
        <v>243</v>
      </c>
      <c r="B247" s="2952" t="s">
        <v>3303</v>
      </c>
      <c r="C247" s="2953">
        <v>302</v>
      </c>
      <c r="D247" s="2954">
        <v>33.369999999999997</v>
      </c>
      <c r="E247" s="2954">
        <v>10</v>
      </c>
      <c r="F247" s="2954"/>
      <c r="G247" s="2954"/>
    </row>
    <row r="248" spans="1:7">
      <c r="A248" s="2951">
        <v>244</v>
      </c>
      <c r="B248" s="2952" t="s">
        <v>3304</v>
      </c>
      <c r="C248" s="2953">
        <v>303</v>
      </c>
      <c r="D248" s="2954">
        <v>24.95</v>
      </c>
      <c r="E248" s="2954">
        <v>7.5</v>
      </c>
      <c r="F248" s="2954"/>
      <c r="G248" s="2954"/>
    </row>
    <row r="249" spans="1:7">
      <c r="A249" s="2951">
        <v>245</v>
      </c>
      <c r="B249" s="2952" t="s">
        <v>3305</v>
      </c>
      <c r="C249" s="2953">
        <v>304</v>
      </c>
      <c r="D249" s="2954">
        <v>48.22</v>
      </c>
      <c r="E249" s="2954">
        <v>14.5</v>
      </c>
      <c r="F249" s="2954"/>
      <c r="G249" s="2954"/>
    </row>
    <row r="250" spans="1:7">
      <c r="A250" s="2951">
        <v>246</v>
      </c>
      <c r="B250" s="2952" t="s">
        <v>3306</v>
      </c>
      <c r="C250" s="2953">
        <v>305</v>
      </c>
      <c r="D250" s="2954">
        <v>82.43</v>
      </c>
      <c r="E250" s="2954">
        <v>24.8</v>
      </c>
      <c r="F250" s="2954"/>
      <c r="G250" s="2954"/>
    </row>
    <row r="251" spans="1:7">
      <c r="A251" s="2951">
        <v>247</v>
      </c>
      <c r="B251" s="2952" t="s">
        <v>3307</v>
      </c>
      <c r="C251" s="2953">
        <v>306</v>
      </c>
      <c r="D251" s="2954">
        <v>78.27</v>
      </c>
      <c r="E251" s="2954">
        <v>23.5</v>
      </c>
      <c r="F251" s="2954"/>
      <c r="G251" s="2954"/>
    </row>
    <row r="252" spans="1:7">
      <c r="A252" s="2951">
        <v>248</v>
      </c>
      <c r="B252" s="2952" t="s">
        <v>3308</v>
      </c>
      <c r="C252" s="2953">
        <v>307</v>
      </c>
      <c r="D252" s="2954">
        <v>97.97</v>
      </c>
      <c r="E252" s="2954">
        <v>29.5</v>
      </c>
      <c r="F252" s="2954"/>
      <c r="G252" s="2954"/>
    </row>
    <row r="253" spans="1:7">
      <c r="A253" s="2951">
        <v>249</v>
      </c>
      <c r="B253" s="2952" t="s">
        <v>3309</v>
      </c>
      <c r="C253" s="2953">
        <v>308</v>
      </c>
      <c r="D253" s="2954">
        <v>71.66</v>
      </c>
      <c r="E253" s="2954">
        <v>21.6</v>
      </c>
      <c r="F253" s="2954"/>
      <c r="G253" s="2954"/>
    </row>
    <row r="254" spans="1:7">
      <c r="A254" s="2951">
        <v>250</v>
      </c>
      <c r="B254" s="2952" t="s">
        <v>3310</v>
      </c>
      <c r="C254" s="2953">
        <v>309</v>
      </c>
      <c r="D254" s="2954">
        <v>33.21</v>
      </c>
      <c r="E254" s="2954">
        <v>10</v>
      </c>
      <c r="F254" s="2954"/>
      <c r="G254" s="2954"/>
    </row>
    <row r="255" spans="1:7">
      <c r="A255" s="2951">
        <v>251</v>
      </c>
      <c r="B255" s="2952" t="s">
        <v>3311</v>
      </c>
      <c r="C255" s="2953">
        <v>310</v>
      </c>
      <c r="D255" s="2954">
        <v>120.82</v>
      </c>
      <c r="E255" s="2954">
        <v>36.299999999999997</v>
      </c>
      <c r="F255" s="2954"/>
      <c r="G255" s="2954"/>
    </row>
    <row r="256" spans="1:7">
      <c r="A256" s="2951">
        <v>252</v>
      </c>
      <c r="B256" s="2952" t="s">
        <v>3312</v>
      </c>
      <c r="C256" s="2953">
        <v>311</v>
      </c>
      <c r="D256" s="2954">
        <v>103.77</v>
      </c>
      <c r="E256" s="2954">
        <v>31.2</v>
      </c>
      <c r="F256" s="2954"/>
      <c r="G256" s="2954"/>
    </row>
    <row r="257" spans="1:8">
      <c r="A257" s="2951">
        <v>253</v>
      </c>
      <c r="B257" s="2952" t="s">
        <v>3313</v>
      </c>
      <c r="C257" s="2953">
        <v>312</v>
      </c>
      <c r="D257" s="2954">
        <v>590.15</v>
      </c>
      <c r="E257" s="2954">
        <v>177.5</v>
      </c>
      <c r="F257" s="2954"/>
      <c r="G257" s="2954"/>
    </row>
    <row r="258" spans="1:8">
      <c r="A258" s="2951">
        <v>254</v>
      </c>
      <c r="B258" s="2952" t="s">
        <v>3314</v>
      </c>
      <c r="C258" s="2953">
        <v>313</v>
      </c>
      <c r="D258" s="2954">
        <v>48.51</v>
      </c>
      <c r="E258" s="2954">
        <v>14.6</v>
      </c>
      <c r="F258" s="2954"/>
      <c r="G258" s="2954"/>
    </row>
    <row r="259" spans="1:8">
      <c r="A259" s="2951">
        <v>255</v>
      </c>
      <c r="B259" s="2952" t="s">
        <v>3315</v>
      </c>
      <c r="C259" s="2953">
        <v>314</v>
      </c>
      <c r="D259" s="2954">
        <v>53.94</v>
      </c>
      <c r="E259" s="2954">
        <v>16.2</v>
      </c>
      <c r="F259" s="2954"/>
      <c r="G259" s="2954"/>
    </row>
    <row r="260" spans="1:8">
      <c r="A260" s="2951">
        <v>256</v>
      </c>
      <c r="B260" s="2952" t="s">
        <v>3316</v>
      </c>
      <c r="C260" s="2953">
        <v>315</v>
      </c>
      <c r="D260" s="2954">
        <v>58.1</v>
      </c>
      <c r="E260" s="2954">
        <v>17.5</v>
      </c>
      <c r="F260" s="2954"/>
      <c r="G260" s="2954"/>
    </row>
    <row r="261" spans="1:8">
      <c r="A261" s="2951">
        <v>257</v>
      </c>
      <c r="B261" s="2952" t="s">
        <v>3317</v>
      </c>
      <c r="C261" s="2953">
        <v>316</v>
      </c>
      <c r="D261" s="2954">
        <v>58.1</v>
      </c>
      <c r="E261" s="2954">
        <v>17.5</v>
      </c>
      <c r="F261" s="2954"/>
      <c r="G261" s="2954"/>
    </row>
    <row r="262" spans="1:8">
      <c r="A262" s="2951">
        <v>258</v>
      </c>
      <c r="B262" s="2952" t="s">
        <v>3318</v>
      </c>
      <c r="C262" s="2953">
        <v>317</v>
      </c>
      <c r="D262" s="2954">
        <v>60.45</v>
      </c>
      <c r="E262" s="2954">
        <v>18.2</v>
      </c>
      <c r="F262" s="2954"/>
      <c r="G262" s="2954"/>
    </row>
    <row r="263" spans="1:8">
      <c r="A263" s="2951">
        <v>259</v>
      </c>
      <c r="B263" s="2952" t="s">
        <v>3319</v>
      </c>
      <c r="C263" s="2953">
        <v>318</v>
      </c>
      <c r="D263" s="2954">
        <v>44.28</v>
      </c>
      <c r="E263" s="2954">
        <v>13.3</v>
      </c>
      <c r="F263" s="2954"/>
      <c r="G263" s="2954"/>
    </row>
    <row r="264" spans="1:8">
      <c r="A264" s="2951">
        <v>260</v>
      </c>
      <c r="B264" s="2952" t="s">
        <v>3320</v>
      </c>
      <c r="C264" s="2953">
        <v>319</v>
      </c>
      <c r="D264" s="2954">
        <v>64.78</v>
      </c>
      <c r="E264" s="2954">
        <v>19.5</v>
      </c>
      <c r="F264" s="2954"/>
      <c r="G264" s="2954"/>
    </row>
    <row r="265" spans="1:8">
      <c r="A265" s="2951">
        <v>261</v>
      </c>
      <c r="B265" s="2952" t="s">
        <v>3321</v>
      </c>
      <c r="C265" s="2953">
        <v>320</v>
      </c>
      <c r="D265" s="2954">
        <v>65.41</v>
      </c>
      <c r="E265" s="2954">
        <v>19.7</v>
      </c>
      <c r="F265" s="2954"/>
      <c r="G265" s="2954"/>
    </row>
    <row r="266" spans="1:8">
      <c r="A266" s="2951">
        <v>262</v>
      </c>
      <c r="B266" s="2952" t="s">
        <v>3322</v>
      </c>
      <c r="C266" s="2953">
        <v>321</v>
      </c>
      <c r="D266" s="2954">
        <v>65.41</v>
      </c>
      <c r="E266" s="2954">
        <v>19.7</v>
      </c>
      <c r="F266" s="2954"/>
      <c r="G266" s="2954"/>
    </row>
    <row r="267" spans="1:8">
      <c r="A267" s="2951">
        <v>263</v>
      </c>
      <c r="B267" s="2952" t="s">
        <v>3323</v>
      </c>
      <c r="C267" s="2953">
        <v>322</v>
      </c>
      <c r="D267" s="2954">
        <v>65.41</v>
      </c>
      <c r="E267" s="2954">
        <v>19.7</v>
      </c>
      <c r="F267" s="2954"/>
      <c r="G267" s="2954"/>
    </row>
    <row r="268" spans="1:8">
      <c r="A268" s="2951">
        <v>264</v>
      </c>
      <c r="B268" s="2952" t="s">
        <v>3324</v>
      </c>
      <c r="C268" s="2953">
        <v>323</v>
      </c>
      <c r="D268" s="2954">
        <v>48.7</v>
      </c>
      <c r="E268" s="2954">
        <v>14.7</v>
      </c>
      <c r="F268" s="2954"/>
      <c r="G268" s="2954"/>
    </row>
    <row r="269" spans="1:8">
      <c r="A269" s="2951">
        <v>265</v>
      </c>
      <c r="B269" s="2952" t="s">
        <v>3325</v>
      </c>
      <c r="C269" s="2953">
        <v>324</v>
      </c>
      <c r="D269" s="2954">
        <v>45.61</v>
      </c>
      <c r="E269" s="2954">
        <v>13.7</v>
      </c>
      <c r="F269" s="2954"/>
      <c r="G269" s="2954"/>
    </row>
    <row r="270" spans="1:8">
      <c r="A270" s="2951">
        <v>266</v>
      </c>
      <c r="B270" s="2952" t="s">
        <v>3326</v>
      </c>
      <c r="C270" s="2953">
        <v>325</v>
      </c>
      <c r="D270" s="2954">
        <v>3424.4</v>
      </c>
      <c r="E270" s="2954">
        <v>1030.2</v>
      </c>
      <c r="F270" s="2954"/>
      <c r="G270" s="2954"/>
      <c r="H270" s="2955" t="s">
        <v>3250</v>
      </c>
    </row>
    <row r="271" spans="1:8">
      <c r="A271" s="2951">
        <v>267</v>
      </c>
      <c r="B271" s="2952" t="s">
        <v>3327</v>
      </c>
      <c r="C271" s="2953">
        <v>326</v>
      </c>
      <c r="D271" s="2954">
        <v>1766.89</v>
      </c>
      <c r="E271" s="2954">
        <v>531.5</v>
      </c>
      <c r="F271" s="2954"/>
      <c r="G271" s="2954"/>
    </row>
    <row r="272" spans="1:8">
      <c r="A272" s="2951">
        <v>268</v>
      </c>
      <c r="B272" s="2952" t="s">
        <v>3328</v>
      </c>
      <c r="C272" s="2953">
        <v>327</v>
      </c>
      <c r="D272" s="2954">
        <v>2078.75</v>
      </c>
      <c r="E272" s="2954">
        <v>625.4</v>
      </c>
      <c r="F272" s="2954"/>
      <c r="G272" s="2954"/>
      <c r="H272" s="2955" t="s">
        <v>3250</v>
      </c>
    </row>
    <row r="273" spans="1:7">
      <c r="A273" s="2951">
        <v>269</v>
      </c>
      <c r="B273" s="2952" t="s">
        <v>3329</v>
      </c>
      <c r="C273" s="2953">
        <v>328</v>
      </c>
      <c r="D273" s="2954">
        <v>58.09</v>
      </c>
      <c r="E273" s="2954">
        <v>17.5</v>
      </c>
      <c r="F273" s="2954"/>
      <c r="G273" s="2954"/>
    </row>
    <row r="274" spans="1:7">
      <c r="A274" s="2951">
        <v>270</v>
      </c>
      <c r="B274" s="2952" t="s">
        <v>3330</v>
      </c>
      <c r="C274" s="2953">
        <v>329</v>
      </c>
      <c r="D274" s="2954">
        <v>83.31</v>
      </c>
      <c r="E274" s="2954">
        <v>25.1</v>
      </c>
      <c r="F274" s="2954"/>
      <c r="G274" s="2954"/>
    </row>
    <row r="275" spans="1:7">
      <c r="A275" s="2951">
        <v>271</v>
      </c>
      <c r="B275" s="2952" t="s">
        <v>3331</v>
      </c>
      <c r="C275" s="2953">
        <v>330</v>
      </c>
      <c r="D275" s="2954">
        <v>38.44</v>
      </c>
      <c r="E275" s="2954">
        <v>11.6</v>
      </c>
      <c r="F275" s="2954"/>
      <c r="G275" s="2954"/>
    </row>
    <row r="276" spans="1:7">
      <c r="A276" s="2951">
        <v>272</v>
      </c>
      <c r="B276" s="2952" t="s">
        <v>3332</v>
      </c>
      <c r="C276" s="2953">
        <v>331</v>
      </c>
      <c r="D276" s="2954">
        <v>40.71</v>
      </c>
      <c r="E276" s="2954">
        <v>12.2</v>
      </c>
      <c r="F276" s="2954"/>
      <c r="G276" s="2954"/>
    </row>
    <row r="277" spans="1:7">
      <c r="A277" s="2951">
        <v>273</v>
      </c>
      <c r="B277" s="2952" t="s">
        <v>3333</v>
      </c>
      <c r="C277" s="2953">
        <v>332</v>
      </c>
      <c r="D277" s="2954">
        <v>78.930000000000007</v>
      </c>
      <c r="E277" s="2954">
        <v>23.7</v>
      </c>
      <c r="F277" s="2954"/>
      <c r="G277" s="2954"/>
    </row>
    <row r="278" spans="1:7">
      <c r="A278" s="2951">
        <v>274</v>
      </c>
      <c r="B278" s="2952" t="s">
        <v>3334</v>
      </c>
      <c r="C278" s="2953">
        <v>333</v>
      </c>
      <c r="D278" s="2954">
        <v>67.14</v>
      </c>
      <c r="E278" s="2954">
        <v>20.2</v>
      </c>
      <c r="F278" s="2954"/>
      <c r="G278" s="2954"/>
    </row>
    <row r="279" spans="1:7">
      <c r="A279" s="2951">
        <v>275</v>
      </c>
      <c r="B279" s="2952" t="s">
        <v>3335</v>
      </c>
      <c r="C279" s="2953">
        <v>334</v>
      </c>
      <c r="D279" s="2954">
        <v>49.84</v>
      </c>
      <c r="E279" s="2954">
        <v>15</v>
      </c>
      <c r="F279" s="2954"/>
      <c r="G279" s="2954"/>
    </row>
    <row r="280" spans="1:7">
      <c r="A280" s="2951">
        <v>276</v>
      </c>
      <c r="B280" s="2952" t="s">
        <v>3336</v>
      </c>
      <c r="C280" s="2953">
        <v>335</v>
      </c>
      <c r="D280" s="2954">
        <v>54.65</v>
      </c>
      <c r="E280" s="2954">
        <v>16.399999999999999</v>
      </c>
      <c r="F280" s="2954"/>
      <c r="G280" s="2954"/>
    </row>
    <row r="281" spans="1:7">
      <c r="A281" s="2951">
        <v>277</v>
      </c>
      <c r="B281" s="2952" t="s">
        <v>3337</v>
      </c>
      <c r="C281" s="2953">
        <v>343</v>
      </c>
      <c r="D281" s="2954">
        <v>44.67</v>
      </c>
      <c r="E281" s="2954">
        <v>13.4</v>
      </c>
      <c r="F281" s="2954"/>
      <c r="G281" s="2954"/>
    </row>
    <row r="282" spans="1:7">
      <c r="A282" s="2951">
        <v>278</v>
      </c>
      <c r="B282" s="2952" t="s">
        <v>3338</v>
      </c>
      <c r="C282" s="2953">
        <v>346</v>
      </c>
      <c r="D282" s="2954">
        <v>80.33</v>
      </c>
      <c r="E282" s="2954">
        <v>24.2</v>
      </c>
      <c r="F282" s="2954"/>
      <c r="G282" s="2954"/>
    </row>
    <row r="283" spans="1:7">
      <c r="A283" s="2951">
        <v>279</v>
      </c>
      <c r="B283" s="2952" t="s">
        <v>3339</v>
      </c>
      <c r="C283" s="2953">
        <v>349</v>
      </c>
      <c r="D283" s="2954">
        <v>53.83</v>
      </c>
      <c r="E283" s="2954">
        <v>16.2</v>
      </c>
      <c r="F283" s="2954"/>
      <c r="G283" s="2954"/>
    </row>
    <row r="284" spans="1:7">
      <c r="A284" s="2951">
        <v>280</v>
      </c>
      <c r="B284" s="2952" t="s">
        <v>3340</v>
      </c>
      <c r="C284" s="2953">
        <v>350</v>
      </c>
      <c r="D284" s="2954">
        <v>35.46</v>
      </c>
      <c r="E284" s="2954">
        <v>10.7</v>
      </c>
      <c r="F284" s="2954"/>
      <c r="G284" s="2954"/>
    </row>
    <row r="285" spans="1:7">
      <c r="A285" s="2951">
        <v>281</v>
      </c>
      <c r="B285" s="2952" t="s">
        <v>3341</v>
      </c>
      <c r="C285" s="2953">
        <v>351</v>
      </c>
      <c r="D285" s="2954">
        <v>38.44</v>
      </c>
      <c r="E285" s="2954">
        <v>11.6</v>
      </c>
      <c r="F285" s="2954"/>
      <c r="G285" s="2954"/>
    </row>
    <row r="286" spans="1:7">
      <c r="A286" s="2951">
        <v>282</v>
      </c>
      <c r="B286" s="2952" t="s">
        <v>3342</v>
      </c>
      <c r="C286" s="2953">
        <v>352</v>
      </c>
      <c r="D286" s="2954">
        <v>61.07</v>
      </c>
      <c r="E286" s="2954">
        <v>18.399999999999999</v>
      </c>
      <c r="F286" s="2954"/>
      <c r="G286" s="2954"/>
    </row>
    <row r="287" spans="1:7">
      <c r="A287" s="2951">
        <v>283</v>
      </c>
      <c r="B287" s="2952" t="s">
        <v>3343</v>
      </c>
      <c r="C287" s="2953">
        <v>353</v>
      </c>
      <c r="D287" s="2954">
        <v>53.38</v>
      </c>
      <c r="E287" s="2954">
        <v>16.100000000000001</v>
      </c>
      <c r="F287" s="2954"/>
      <c r="G287" s="2954"/>
    </row>
    <row r="288" spans="1:7">
      <c r="A288" s="2951">
        <v>284</v>
      </c>
      <c r="B288" s="2952" t="s">
        <v>3344</v>
      </c>
      <c r="C288" s="2953">
        <v>355</v>
      </c>
      <c r="D288" s="2954">
        <v>111.65</v>
      </c>
      <c r="E288" s="2954">
        <v>33.6</v>
      </c>
      <c r="F288" s="2954"/>
      <c r="G288" s="2954"/>
    </row>
    <row r="289" spans="1:7">
      <c r="A289" s="3059" t="s">
        <v>37</v>
      </c>
      <c r="B289" s="3060"/>
      <c r="C289" s="3061"/>
      <c r="D289" s="2954">
        <f>SUM(D5:D288)</f>
        <v>34353.799999999996</v>
      </c>
      <c r="E289" s="2954">
        <f>SUM(E5:E288)</f>
        <v>10335.5</v>
      </c>
      <c r="F289" s="2954"/>
      <c r="G289" s="2954"/>
    </row>
  </sheetData>
  <mergeCells count="2">
    <mergeCell ref="A1:G2"/>
    <mergeCell ref="A289:C289"/>
  </mergeCells>
  <phoneticPr fontId="143" type="noConversion"/>
  <pageMargins left="0.75" right="0.75" top="1" bottom="1" header="0.5" footer="0.5"/>
  <pageSetup paperSize="9"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71" t="s">
        <v>1935</v>
      </c>
      <c r="B2" s="3071"/>
      <c r="C2" s="3071"/>
      <c r="D2" s="969" t="s">
        <v>1911</v>
      </c>
      <c r="E2" s="2228" t="s">
        <v>1912</v>
      </c>
      <c r="F2" s="1394"/>
      <c r="G2" s="2229"/>
      <c r="H2" s="2230"/>
      <c r="I2" s="2231" t="s">
        <v>1936</v>
      </c>
      <c r="J2" s="1394"/>
      <c r="K2" s="1394"/>
      <c r="L2" s="1394"/>
      <c r="M2" s="1394"/>
      <c r="N2" s="1429"/>
      <c r="O2" s="1394"/>
      <c r="P2" s="1394"/>
    </row>
    <row r="3" spans="1:16" ht="15.75" thickBot="1">
      <c r="A3" s="3072" t="s">
        <v>1909</v>
      </c>
      <c r="B3" s="3072"/>
      <c r="C3" s="3072"/>
      <c r="D3" s="46">
        <f>'数据-基础表'!AY6</f>
        <v>10335.5</v>
      </c>
      <c r="E3" s="46">
        <f>'数据-基础表'!AZ5</f>
        <v>34353.799999999996</v>
      </c>
      <c r="F3" s="1394"/>
      <c r="G3" s="1401"/>
      <c r="H3" s="1249" t="s">
        <v>1910</v>
      </c>
      <c r="I3" s="55">
        <f>ROUND('数据-基础表'!B3/'数据-基础表'!A3,2)</f>
        <v>3.32</v>
      </c>
      <c r="J3" s="1394"/>
      <c r="K3" s="1394"/>
      <c r="L3" s="1394"/>
      <c r="M3" s="1394"/>
      <c r="N3" s="1429"/>
      <c r="O3" s="1394"/>
      <c r="P3" s="1394"/>
    </row>
    <row r="4" spans="1:16" ht="15">
      <c r="A4" s="3073"/>
      <c r="B4" s="3074"/>
      <c r="C4" s="3075"/>
      <c r="D4" s="2232" t="s">
        <v>1911</v>
      </c>
      <c r="E4" s="2233" t="s">
        <v>1912</v>
      </c>
      <c r="F4" s="1394"/>
      <c r="G4" s="2234" t="s">
        <v>1937</v>
      </c>
      <c r="H4" s="1249" t="s">
        <v>1917</v>
      </c>
      <c r="I4" s="55">
        <f>ROUND(SUMIF('数据-基础表'!I9:AS9,"地上",'数据-基础表'!I5:AS5)/'数据-基础表'!A3,2)</f>
        <v>3.32</v>
      </c>
      <c r="J4" s="1394"/>
      <c r="K4" s="1394"/>
      <c r="L4" s="1394"/>
      <c r="M4" s="1394"/>
      <c r="N4" s="1429"/>
      <c r="O4" s="1394"/>
      <c r="P4" s="1394"/>
    </row>
    <row r="5" spans="1:16">
      <c r="A5" s="47" t="s">
        <v>1913</v>
      </c>
      <c r="B5" s="3076" t="s">
        <v>1914</v>
      </c>
      <c r="C5" s="3076"/>
      <c r="D5" s="48">
        <f>ROUND($D$3*E5/$E$3,2)</f>
        <v>0</v>
      </c>
      <c r="E5" s="49">
        <f>SUMIF('数据-基础表'!$11:$11,"住宅",'数据-基础表'!$5:$5)</f>
        <v>0</v>
      </c>
      <c r="F5" s="1394"/>
      <c r="G5" s="1401"/>
      <c r="H5" s="1249" t="s">
        <v>1910</v>
      </c>
      <c r="I5" s="55">
        <f>ROUND(E31/D31,2)</f>
        <v>3.32</v>
      </c>
      <c r="J5" s="1394"/>
      <c r="K5" s="1394"/>
      <c r="L5" s="1394"/>
      <c r="M5" s="1394"/>
      <c r="N5" s="1394"/>
      <c r="O5" s="1394"/>
      <c r="P5" s="1394"/>
    </row>
    <row r="6" spans="1:16" ht="15" thickBot="1">
      <c r="A6" s="2235"/>
      <c r="B6" s="3076" t="s">
        <v>1915</v>
      </c>
      <c r="C6" s="3076"/>
      <c r="D6" s="48">
        <f>ROUND($D$3*E6/$E$3,2)</f>
        <v>10335.5</v>
      </c>
      <c r="E6" s="49">
        <f>E3-E5</f>
        <v>34353.799999999996</v>
      </c>
      <c r="F6" s="1394"/>
      <c r="G6" s="2236" t="s">
        <v>1916</v>
      </c>
      <c r="H6" s="1401" t="s">
        <v>1917</v>
      </c>
      <c r="I6" s="941">
        <f>ROUND(F31/D31,2)</f>
        <v>3.32</v>
      </c>
      <c r="J6" s="1394"/>
      <c r="K6" s="1394"/>
      <c r="L6" s="1394"/>
      <c r="M6" s="1394"/>
      <c r="N6" s="1394"/>
      <c r="O6" s="1394"/>
      <c r="P6" s="1394"/>
    </row>
    <row r="7" spans="1:16" ht="15">
      <c r="A7" s="3068"/>
      <c r="B7" s="3069"/>
      <c r="C7" s="3070"/>
      <c r="D7" s="2232" t="s">
        <v>1911</v>
      </c>
      <c r="E7" s="2237" t="s">
        <v>1918</v>
      </c>
      <c r="F7" s="1394"/>
      <c r="G7" s="2229" t="s">
        <v>1919</v>
      </c>
      <c r="H7" s="64"/>
      <c r="I7" s="420">
        <v>1.6</v>
      </c>
      <c r="J7" s="1394"/>
      <c r="K7" s="1394"/>
      <c r="L7" s="1394"/>
      <c r="M7" s="1394"/>
      <c r="N7" s="1394"/>
      <c r="O7" s="1394"/>
      <c r="P7" s="1394"/>
    </row>
    <row r="8" spans="1:16">
      <c r="A8" s="47" t="s">
        <v>1920</v>
      </c>
      <c r="B8" s="50" t="s">
        <v>1921</v>
      </c>
      <c r="C8" s="48" t="s">
        <v>1922</v>
      </c>
      <c r="D8" s="48">
        <f t="shared" ref="D8:D15" si="0">ROUND($D$3*E8/$E$3,2)</f>
        <v>10335.5</v>
      </c>
      <c r="E8" s="51">
        <f>SUMIF('数据-基础表'!BB10:BK10,"地上",'数据-基础表'!BB5:BK5)</f>
        <v>34353.799999999996</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10335.5</v>
      </c>
      <c r="E16" s="53">
        <f>SUM(E8:E15)</f>
        <v>34353.799999999996</v>
      </c>
      <c r="F16" s="1394"/>
      <c r="G16" s="2238"/>
      <c r="H16" s="2241" t="s">
        <v>1939</v>
      </c>
      <c r="I16" s="2242"/>
      <c r="J16" s="1394"/>
      <c r="K16" s="3065" t="s">
        <v>1939</v>
      </c>
      <c r="L16" s="3066"/>
      <c r="M16" s="3066"/>
      <c r="N16" s="3066"/>
      <c r="O16" s="3066"/>
      <c r="P16" s="3067"/>
    </row>
    <row r="17" spans="1:19" ht="15">
      <c r="A17" s="2243" t="s">
        <v>1940</v>
      </c>
      <c r="B17" s="2244" t="s">
        <v>1941</v>
      </c>
      <c r="C17" s="2245" t="s">
        <v>1942</v>
      </c>
      <c r="D17" s="2246" t="s">
        <v>1930</v>
      </c>
      <c r="E17" s="2247" t="s">
        <v>1931</v>
      </c>
      <c r="F17" s="2248"/>
      <c r="G17" s="2249"/>
      <c r="H17" s="2250" t="s">
        <v>1943</v>
      </c>
      <c r="I17" s="2251" t="s">
        <v>1928</v>
      </c>
      <c r="J17" s="1394"/>
      <c r="K17" s="3062" t="s">
        <v>1944</v>
      </c>
      <c r="L17" s="3063"/>
      <c r="M17" s="3064"/>
      <c r="N17" s="3062" t="s">
        <v>1945</v>
      </c>
      <c r="O17" s="3063"/>
      <c r="P17" s="3064"/>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261">
        <f>'数据-基础表'!C13</f>
        <v>101</v>
      </c>
      <c r="D19" s="48">
        <f>ROUND($D$3*E19/$E$3,2)</f>
        <v>9.0500000000000007</v>
      </c>
      <c r="E19" s="56">
        <f t="shared" ref="E19:E26" si="1">SUM(F19:G19)</f>
        <v>30.09</v>
      </c>
      <c r="F19" s="57">
        <f>'数据-基础表'!I13</f>
        <v>30.09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9.0500000000000007</v>
      </c>
      <c r="S19" s="1250">
        <f t="shared" si="5"/>
        <v>30.09</v>
      </c>
    </row>
    <row r="20" spans="1:19">
      <c r="A20" s="2264"/>
      <c r="B20" s="50" t="s">
        <v>1957</v>
      </c>
      <c r="C20" s="2261" t="str">
        <f>'数据-基础表'!C14</f>
        <v>其他商业</v>
      </c>
      <c r="D20" s="48">
        <f t="shared" ref="D20:D26" si="6">ROUND($D$3*E20/$E$3,2)</f>
        <v>10326.450000000001</v>
      </c>
      <c r="E20" s="56">
        <f t="shared" si="1"/>
        <v>34323.71</v>
      </c>
      <c r="F20" s="57">
        <f>'数据-基础表'!I14</f>
        <v>34323.71</v>
      </c>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10326.450000000001</v>
      </c>
      <c r="S20" s="1250">
        <f t="shared" si="5"/>
        <v>34323.71</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10335.5</v>
      </c>
      <c r="E27" s="1396">
        <f>IF(SUM(E19:E26)='数据-基础表'!BA5,SUM(E19:E26),IF(F27="地上面积有误","面积有误","地下面积有误"))</f>
        <v>34353.799999999996</v>
      </c>
      <c r="F27" s="1395">
        <f>IF(SUM(F19:F26)=E8,SUM(F19:F26),"地上面积有误")</f>
        <v>34353.799999999996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10335.5</v>
      </c>
      <c r="S27" s="1249">
        <f>IF(SUM(S19:S26)=$E$3,SUM(S19:S26),SUM(S19:S26)&amp;"误差"&amp;ROUND(SUM(S19:S26)-E3,2))</f>
        <v>34353.799999999996</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10335.5</v>
      </c>
      <c r="E31" s="728">
        <f>E27+E30</f>
        <v>34353.799999999996</v>
      </c>
      <c r="F31" s="729">
        <f>F27+F30</f>
        <v>34353.799999999996</v>
      </c>
      <c r="G31" s="730">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8">
        <f>项目基本情况!D3</f>
        <v>43405</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3349</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f>'数据-汇总表'!C19</f>
        <v>101</v>
      </c>
      <c r="B6" s="2308" t="str">
        <f>IF(A6=0,"","经营性")</f>
        <v>经营性</v>
      </c>
      <c r="C6" s="2309" t="s">
        <v>1377</v>
      </c>
      <c r="D6" s="1053">
        <f>SUMIF(项目基本情况!D$12:I$12,C6,项目基本情况!D$14:I$14)</f>
        <v>40</v>
      </c>
      <c r="E6" s="1050">
        <f>IF(B6="","",SUMIF(项目基本情况!D$12:I$12,C6,项目基本情况!D$13:I$13))</f>
        <v>56719</v>
      </c>
      <c r="F6" s="72">
        <f>SUMIF(项目基本情况!D$12:I$12,C6,项目基本情况!D$15:I$15)</f>
        <v>36.47</v>
      </c>
      <c r="G6" s="73">
        <f>IF(ISERROR(ROUND(POWER(1+H6,D6-F6)*(POWER(1+H6,F6)-1)/(POWER(1+H6,D6)-1),3)),0,ROUND(POWER(1+H6,D6-F6)*(POWER(1+H6,F6)-1)/(POWER(1+H6,D6)-1),3))</f>
        <v>0.96899999999999997</v>
      </c>
      <c r="H6" s="801">
        <v>0.05</v>
      </c>
      <c r="I6" s="801">
        <v>5.5E-2</v>
      </c>
      <c r="J6" s="74">
        <v>8.5000000000000006E-2</v>
      </c>
      <c r="K6" s="1253">
        <f>SUMIF('数据-汇总表'!C$19:C$33,A6,'数据-汇总表'!E$19:E$33)</f>
        <v>30.09</v>
      </c>
      <c r="L6" s="802">
        <v>4000</v>
      </c>
      <c r="M6" s="75">
        <f t="shared" ref="M6:M14" si="0">ROUND(K6*L6/10000,0)</f>
        <v>12</v>
      </c>
      <c r="N6" s="800">
        <f>ROUND(1-(2018-2016)/60,2)</f>
        <v>0.97</v>
      </c>
      <c r="O6" s="75" t="str">
        <f>IF($N$5="成新度","——",ROUND(M6*N6,0))</f>
        <v>——</v>
      </c>
      <c r="P6" s="76" t="str">
        <f>IF($N$5="成新度","——",M6-O6)</f>
        <v>——</v>
      </c>
      <c r="Q6" s="803">
        <v>0.2</v>
      </c>
      <c r="R6" s="77">
        <f ca="1">SUMIF('数据-汇总表'!C$19:C$33,A6,'数据-汇总表'!R$19:R$27)</f>
        <v>9.0500000000000007</v>
      </c>
      <c r="S6" s="54">
        <f>IF('数据-汇总表'!$I$17="按面积比例",SUMIF('数据-汇总表'!C$19:C$33,A6,'数据-汇总表'!K$19:K$33),SUMIF('数据-汇总表'!C$19:C$33,A6,'数据-汇总表'!N$19:N$33))</f>
        <v>0</v>
      </c>
      <c r="T6" s="1445">
        <f>ROUND($L$14*S6/10000,0)</f>
        <v>0</v>
      </c>
      <c r="U6" s="78">
        <v>3.5</v>
      </c>
      <c r="V6" s="79">
        <v>3.5000000000000003E-2</v>
      </c>
      <c r="W6" s="79">
        <v>0.05</v>
      </c>
      <c r="X6" s="1263"/>
      <c r="Y6" s="80">
        <v>0.97</v>
      </c>
      <c r="Z6" s="81"/>
      <c r="AA6" s="74"/>
      <c r="AB6" s="74"/>
      <c r="AC6" s="1263"/>
      <c r="AD6" s="82"/>
      <c r="AE6" s="1264">
        <f ca="1">IF(AN6="",0,SUMIF(INDIRECT("'"&amp;AN6&amp;"'"&amp;"!E:E"),$AE$5,INDIRECT("'"&amp;AN6&amp;"'"&amp;"!F:F")))</f>
        <v>36.47</v>
      </c>
      <c r="AF6" s="1804"/>
      <c r="AG6" s="147">
        <f>IF(AF6="",0,AE6-AF6)</f>
        <v>0</v>
      </c>
      <c r="AH6" s="83"/>
      <c r="AI6" s="85">
        <v>365</v>
      </c>
      <c r="AJ6" s="86"/>
      <c r="AK6" s="87">
        <v>1.4999999999999999E-2</v>
      </c>
      <c r="AL6" s="88">
        <v>1.5E-3</v>
      </c>
      <c r="AM6" s="89">
        <v>0.01</v>
      </c>
      <c r="AN6" s="2310" t="s">
        <v>3350</v>
      </c>
      <c r="AO6" s="55">
        <f ca="1">SUMIF(INDIRECT("'"&amp;AN6&amp;"'"&amp;"!A:A"),"总价",INDIRECT("'"&amp;AN6&amp;"'"&amp;"!B:B"))</f>
        <v>67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其他商业</v>
      </c>
      <c r="B7" s="2308" t="str">
        <f t="shared" ref="B7:B13" si="1">IF(A7=0,"","经营性")</f>
        <v>经营性</v>
      </c>
      <c r="C7" s="2309" t="s">
        <v>1377</v>
      </c>
      <c r="D7" s="1053">
        <f>SUMIF(项目基本情况!D$12:I$12,C7,项目基本情况!D$14:I$14)</f>
        <v>40</v>
      </c>
      <c r="E7" s="1050">
        <f>IF(B7="","",SUMIF(项目基本情况!D$12:I$12,C7,项目基本情况!D$13:I$13))</f>
        <v>56719</v>
      </c>
      <c r="F7" s="72">
        <f>SUMIF(项目基本情况!D$12:I$12,C7,项目基本情况!D$15:I$15)</f>
        <v>36.47</v>
      </c>
      <c r="G7" s="73">
        <f t="shared" ref="G7:G11" si="2">IF(ISERROR(ROUND(POWER(1+H7,D7-F7)*(POWER(1+H7,F7)-1)/(POWER(1+H7,D7)-1),3)),0,ROUND(POWER(1+H7,D7-F7)*(POWER(1+H7,F7)-1)/(POWER(1+H7,D7)-1),3))</f>
        <v>0.96899999999999997</v>
      </c>
      <c r="H7" s="801">
        <v>0.05</v>
      </c>
      <c r="I7" s="801">
        <v>5.5E-2</v>
      </c>
      <c r="J7" s="74">
        <v>8.5000000000000006E-2</v>
      </c>
      <c r="K7" s="1253">
        <f>SUMIF('数据-汇总表'!C$19:C$33,A7,'数据-汇总表'!E$19:E$33)</f>
        <v>34323.71</v>
      </c>
      <c r="L7" s="802">
        <v>4000</v>
      </c>
      <c r="M7" s="75">
        <f t="shared" si="0"/>
        <v>13729</v>
      </c>
      <c r="N7" s="800">
        <f>ROUND(1-(2018-2016)/60,2)</f>
        <v>0.97</v>
      </c>
      <c r="O7" s="75" t="str">
        <f t="shared" ref="O7:O14" si="3">IF($N$5="成新度","——",ROUND(M7*N7,0))</f>
        <v>——</v>
      </c>
      <c r="P7" s="76" t="str">
        <f t="shared" ref="P7:P14" si="4">IF($N$5="成新度","——",M7-O7)</f>
        <v>——</v>
      </c>
      <c r="Q7" s="803">
        <v>0.2</v>
      </c>
      <c r="R7" s="77">
        <f ca="1">SUMIF('数据-汇总表'!C$19:C$33,A7,'数据-汇总表'!R$19:R$27)</f>
        <v>10326.450000000001</v>
      </c>
      <c r="S7" s="54">
        <f>IF('数据-汇总表'!$I$17="按面积比例",SUMIF('数据-汇总表'!C$19:C$33,A7,'数据-汇总表'!K$19:K$33),SUMIF('数据-汇总表'!C$19:C$33,A7,'数据-汇总表'!N$19:N$33))</f>
        <v>0</v>
      </c>
      <c r="T7" s="1445">
        <f t="shared" ref="T7:T13" si="5">ROUND($L$14*S7/10000,0)</f>
        <v>0</v>
      </c>
      <c r="U7" s="78"/>
      <c r="V7" s="79"/>
      <c r="W7" s="79">
        <v>0.05</v>
      </c>
      <c r="X7" s="1263"/>
      <c r="Y7" s="80">
        <v>0.97</v>
      </c>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hidden="1">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v>4000</v>
      </c>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hidden="1">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v>4000</v>
      </c>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hidden="1">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v>4000</v>
      </c>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hidden="1">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802">
        <v>4000</v>
      </c>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hidden="1">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802">
        <v>4000</v>
      </c>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hidden="1">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802">
        <v>4000</v>
      </c>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7"/>
      <c r="D16" s="2315"/>
      <c r="E16" s="97"/>
      <c r="F16" s="97"/>
      <c r="G16" s="98">
        <f>ROUND(SUMPRODUCT(G6:G13,K6:K13)/SUMPRODUCT((G6:G13&gt;0)*(K6:K13)),3)</f>
        <v>0.96899999999999997</v>
      </c>
      <c r="H16" s="99">
        <f>ROUND(SUMPRODUCT(H6:H13,K6:K13)/SUMPRODUCT((H6:H13&gt;0)*(K6:K13)),3)</f>
        <v>0.05</v>
      </c>
      <c r="I16" s="100"/>
      <c r="J16" s="100"/>
      <c r="K16" s="101">
        <f>SUM(K6:K15)</f>
        <v>34353.799999999996</v>
      </c>
      <c r="L16" s="102">
        <f>ROUND(M16*10000/SUM(K6:K14),0)</f>
        <v>4000</v>
      </c>
      <c r="M16" s="102">
        <f>SUM(M6:M14)</f>
        <v>13741</v>
      </c>
      <c r="N16" s="103">
        <f>ROUND(SUMPRODUCT(M6:M14,N6:N14)/M16,3)</f>
        <v>0.97</v>
      </c>
      <c r="O16" s="102">
        <f>SUM(O6:O14)</f>
        <v>0</v>
      </c>
      <c r="P16" s="102">
        <f>SUM(P6:P14)</f>
        <v>0</v>
      </c>
      <c r="Q16" s="104">
        <f>ROUND(SUMPRODUCT(Q6:Q13,K6:K13)/SUMPRODUCT((Q6:Q13&gt;0)*(K6:K13)),2)</f>
        <v>0.2</v>
      </c>
      <c r="R16" s="1257">
        <f ca="1">SUM(R6:R13)</f>
        <v>10335.5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2.5</v>
      </c>
      <c r="C20" s="2278" t="s">
        <v>2018</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2019</v>
      </c>
      <c r="B21" s="113">
        <v>2.5</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2020</v>
      </c>
      <c r="B22" s="114">
        <f>B19+B20</f>
        <v>2.5</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2.5</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v>140</v>
      </c>
      <c r="C27" s="1764" t="s">
        <v>2027</v>
      </c>
      <c r="D27" s="2324"/>
      <c r="E27" s="1429"/>
      <c r="F27" s="1429"/>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140</v>
      </c>
      <c r="C28" s="2327"/>
      <c r="D28" s="2324"/>
      <c r="E28" s="1429"/>
      <c r="F28" s="1429"/>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f ca="1">'成本法 (元)'!C10</f>
        <v>4213</v>
      </c>
      <c r="C29" s="1764" t="s">
        <v>2030</v>
      </c>
      <c r="D29" s="2324"/>
      <c r="E29" s="1429"/>
      <c r="F29" s="1429"/>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4"/>
      <c r="D31" s="2324"/>
      <c r="E31" s="1429"/>
      <c r="F31" s="1429"/>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0.05</v>
      </c>
      <c r="C33" s="1763"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v>
      </c>
      <c r="C34" s="1763" t="s">
        <v>2037</v>
      </c>
      <c r="D34" s="2279" t="s">
        <v>2038</v>
      </c>
      <c r="E34" s="731"/>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3" t="s">
        <v>2040</v>
      </c>
      <c r="D35" s="2324"/>
      <c r="E35" s="1429"/>
      <c r="F35" s="1429"/>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3"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0.03</v>
      </c>
      <c r="C37" s="1763"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0.03</v>
      </c>
      <c r="C38" s="1763"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3"/>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2">
        <f ca="1">存贷款利率!G1</f>
        <v>4.7500000000000001E-2</v>
      </c>
      <c r="C40" s="1763"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5.6000000000000001E-2</v>
      </c>
      <c r="C41" s="1764"/>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6.000000000000001E-3</v>
      </c>
      <c r="C43" s="1764"/>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3"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4"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4"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0</v>
      </c>
      <c r="C47" s="1764"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9"/>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9"/>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5</v>
      </c>
      <c r="C52" s="1429"/>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442</v>
      </c>
      <c r="C53" s="1429" t="s">
        <v>2068</v>
      </c>
      <c r="D53" s="2338" t="s">
        <v>2069</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2070</v>
      </c>
      <c r="B54" s="84"/>
      <c r="C54" s="1429">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2071</v>
      </c>
      <c r="B55" s="84"/>
      <c r="C55" s="1429">
        <v>24</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2072</v>
      </c>
      <c r="B56" s="84">
        <v>5</v>
      </c>
      <c r="C56" s="1429">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2073</v>
      </c>
      <c r="B57" s="84"/>
      <c r="C57" s="1429">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2074</v>
      </c>
      <c r="B58" s="84"/>
      <c r="C58" s="1429">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2075</v>
      </c>
      <c r="B59" s="84"/>
      <c r="C59" s="1429">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2076</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2077</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2078</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2079</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7" t="s">
        <v>2080</v>
      </c>
      <c r="B1" s="3078"/>
      <c r="C1" s="3078"/>
      <c r="D1" s="3078"/>
      <c r="E1" s="3078"/>
      <c r="F1" s="3078"/>
      <c r="G1" s="307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27">
      <c r="A3" s="415" t="s">
        <v>2083</v>
      </c>
      <c r="B3" s="1270" t="s">
        <v>2084</v>
      </c>
      <c r="C3" s="2371"/>
      <c r="D3" s="2372"/>
      <c r="E3" s="431" t="s">
        <v>2083</v>
      </c>
      <c r="F3" s="2373" t="s">
        <v>2085</v>
      </c>
      <c r="G3" s="2374"/>
      <c r="H3" s="2369"/>
      <c r="I3" s="2369"/>
      <c r="J3" s="2369"/>
      <c r="K3" s="2369"/>
      <c r="L3" s="2369"/>
      <c r="M3" s="2369"/>
      <c r="N3" s="2369"/>
      <c r="O3" s="2369"/>
      <c r="P3" s="2369"/>
      <c r="Q3" s="2369"/>
      <c r="R3" s="2369"/>
    </row>
    <row r="4" spans="1:29" ht="15">
      <c r="A4" s="431"/>
      <c r="B4" s="1795" t="s">
        <v>2086</v>
      </c>
      <c r="C4" s="2375"/>
      <c r="D4" s="2372"/>
      <c r="E4" s="2376"/>
      <c r="F4" s="42" t="s">
        <v>2087</v>
      </c>
      <c r="G4" s="2377"/>
      <c r="H4" s="2369"/>
      <c r="I4" s="2369"/>
      <c r="J4" s="2369"/>
      <c r="K4" s="2369"/>
      <c r="L4" s="2369"/>
      <c r="M4" s="2369"/>
      <c r="N4" s="2369"/>
      <c r="O4" s="2369"/>
      <c r="P4" s="2369"/>
      <c r="Q4" s="2369"/>
      <c r="R4" s="2369"/>
    </row>
    <row r="5" spans="1:29" ht="15">
      <c r="A5" s="431"/>
      <c r="B5" s="1795" t="s">
        <v>2088</v>
      </c>
      <c r="C5" s="2375"/>
      <c r="D5" s="2372"/>
      <c r="E5" s="2376"/>
      <c r="F5" s="1795" t="s">
        <v>2089</v>
      </c>
      <c r="G5" s="2377"/>
      <c r="H5" s="2369"/>
      <c r="I5" s="2369"/>
      <c r="J5" s="2369"/>
      <c r="K5" s="2369"/>
      <c r="L5" s="2369"/>
      <c r="M5" s="2369"/>
      <c r="N5" s="2369"/>
      <c r="O5" s="2369"/>
      <c r="P5" s="2369"/>
      <c r="Q5" s="2369"/>
      <c r="R5" s="2369"/>
    </row>
    <row r="6" spans="1:29" ht="15">
      <c r="A6" s="431"/>
      <c r="B6" s="1795" t="s">
        <v>2090</v>
      </c>
      <c r="C6" s="2377"/>
      <c r="D6" s="2372"/>
      <c r="E6" s="2376"/>
      <c r="F6" s="1795" t="s">
        <v>2091</v>
      </c>
      <c r="G6" s="2377"/>
      <c r="H6" s="2369"/>
      <c r="I6" s="2369"/>
      <c r="J6" s="2369"/>
      <c r="K6" s="2369"/>
      <c r="L6" s="2369"/>
      <c r="M6" s="2369"/>
      <c r="N6" s="2369"/>
      <c r="O6" s="2369"/>
      <c r="P6" s="2369"/>
      <c r="Q6" s="2369"/>
      <c r="R6" s="2369"/>
    </row>
    <row r="7" spans="1:29" ht="15.75" thickBot="1">
      <c r="A7" s="431"/>
      <c r="B7" s="1795" t="s">
        <v>2089</v>
      </c>
      <c r="C7" s="2377"/>
      <c r="D7" s="2378"/>
      <c r="E7" s="2379"/>
      <c r="F7" s="2380" t="s">
        <v>2092</v>
      </c>
      <c r="G7" s="2381"/>
      <c r="H7" s="2369"/>
      <c r="I7" s="2369"/>
      <c r="J7" s="2369"/>
      <c r="K7" s="2369"/>
      <c r="L7" s="2369"/>
      <c r="M7" s="2369"/>
      <c r="N7" s="2369"/>
      <c r="O7" s="2369"/>
      <c r="P7" s="2369"/>
      <c r="Q7" s="2369"/>
      <c r="R7" s="2369"/>
    </row>
    <row r="8" spans="1:29" ht="15">
      <c r="A8" s="431"/>
      <c r="B8" s="1795" t="s">
        <v>2091</v>
      </c>
      <c r="C8" s="2377"/>
      <c r="D8" s="2378"/>
      <c r="E8" s="2378"/>
      <c r="F8" s="1135"/>
      <c r="G8" s="1135"/>
      <c r="H8" s="2369"/>
      <c r="I8" s="2369"/>
      <c r="J8" s="2369"/>
      <c r="K8" s="2369"/>
      <c r="L8" s="2369"/>
      <c r="M8" s="2369"/>
      <c r="N8" s="2369"/>
      <c r="O8" s="2369"/>
      <c r="P8" s="2369"/>
      <c r="Q8" s="2369"/>
      <c r="R8" s="2369"/>
    </row>
    <row r="9" spans="1:29" ht="15">
      <c r="A9" s="431"/>
      <c r="B9" s="1795" t="s">
        <v>2093</v>
      </c>
      <c r="C9" s="2375"/>
      <c r="D9" s="2372"/>
      <c r="E9" s="2378"/>
      <c r="F9" s="1135"/>
      <c r="G9" s="1135"/>
      <c r="H9" s="2369"/>
      <c r="I9" s="2369"/>
      <c r="J9" s="2369"/>
      <c r="K9" s="2369"/>
      <c r="L9" s="2369"/>
      <c r="M9" s="2369"/>
      <c r="N9" s="2369"/>
      <c r="O9" s="2369"/>
      <c r="P9" s="2369"/>
      <c r="Q9" s="2369"/>
      <c r="R9" s="2369"/>
    </row>
    <row r="10" spans="1:29" s="117" customFormat="1" ht="15.75" thickBot="1">
      <c r="A10" s="2382"/>
      <c r="B10" s="2383" t="s">
        <v>2094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2095</v>
      </c>
      <c r="B13" s="2389"/>
      <c r="C13" s="2389"/>
      <c r="D13" s="2396"/>
      <c r="E13" s="2389"/>
      <c r="F13" s="2389"/>
      <c r="G13" s="2389"/>
    </row>
    <row r="14" spans="1:29" ht="15.75" thickBot="1">
      <c r="A14" s="2400"/>
      <c r="B14" s="2401"/>
      <c r="C14" s="2402" t="s">
        <v>2096</v>
      </c>
      <c r="D14" s="2372"/>
      <c r="E14" s="2403"/>
      <c r="F14" s="2403"/>
      <c r="G14" s="2366" t="s">
        <v>2097</v>
      </c>
    </row>
    <row r="15" spans="1:29" ht="27">
      <c r="A15" s="68" t="s">
        <v>2098</v>
      </c>
      <c r="B15" s="1269" t="s">
        <v>2084</v>
      </c>
      <c r="C15" s="2404">
        <f>C3</f>
        <v>0</v>
      </c>
      <c r="D15" s="2372"/>
      <c r="E15" s="2405" t="s">
        <v>2099</v>
      </c>
      <c r="F15" s="1269" t="s">
        <v>2100</v>
      </c>
      <c r="G15" s="135">
        <f>G3</f>
        <v>0</v>
      </c>
    </row>
    <row r="16" spans="1:29" ht="15">
      <c r="A16" s="645"/>
      <c r="B16" s="2406" t="s">
        <v>2086</v>
      </c>
      <c r="C16" s="2407">
        <f>C4</f>
        <v>0</v>
      </c>
      <c r="D16" s="2372"/>
      <c r="E16" s="2408"/>
      <c r="F16" s="2409" t="s">
        <v>2087</v>
      </c>
      <c r="G16" s="136">
        <f>G4</f>
        <v>0</v>
      </c>
    </row>
    <row r="17" spans="1:18" ht="15">
      <c r="A17" s="645"/>
      <c r="B17" s="2406" t="s">
        <v>2088</v>
      </c>
      <c r="C17" s="2407">
        <f>C5</f>
        <v>0</v>
      </c>
      <c r="D17" s="2378"/>
      <c r="E17" s="2408"/>
      <c r="F17" s="2409" t="s">
        <v>2101</v>
      </c>
      <c r="G17" s="1570"/>
    </row>
    <row r="18" spans="1:18" ht="15">
      <c r="A18" s="645"/>
      <c r="B18" s="2409" t="s">
        <v>2090</v>
      </c>
      <c r="C18" s="136">
        <f>C6</f>
        <v>0</v>
      </c>
      <c r="D18" s="2378"/>
      <c r="E18" s="2408"/>
      <c r="F18" s="2409" t="s">
        <v>2092</v>
      </c>
      <c r="G18" s="136">
        <f>G7</f>
        <v>0</v>
      </c>
    </row>
    <row r="19" spans="1:18" ht="15">
      <c r="A19" s="645"/>
      <c r="B19" s="2409" t="s">
        <v>2102</v>
      </c>
      <c r="C19" s="1570"/>
      <c r="D19" s="2372"/>
      <c r="E19" s="2408"/>
      <c r="F19" s="1795" t="s">
        <v>2089</v>
      </c>
      <c r="G19" s="136">
        <f>G5</f>
        <v>0</v>
      </c>
    </row>
    <row r="20" spans="1:18" ht="15">
      <c r="A20" s="645"/>
      <c r="B20" s="2409" t="s">
        <v>2103</v>
      </c>
      <c r="C20" s="2407">
        <f>C9</f>
        <v>0</v>
      </c>
      <c r="D20" s="2378"/>
      <c r="E20" s="2408"/>
      <c r="F20" s="1795" t="s">
        <v>2104</v>
      </c>
      <c r="G20" s="136">
        <f>G6</f>
        <v>0</v>
      </c>
    </row>
    <row r="21" spans="1:18" ht="15">
      <c r="A21" s="645"/>
      <c r="B21" s="1795" t="s">
        <v>2089</v>
      </c>
      <c r="C21" s="136">
        <f>C7</f>
        <v>0</v>
      </c>
      <c r="D21" s="2372"/>
      <c r="E21" s="2408"/>
      <c r="F21" s="2409" t="s">
        <v>2105</v>
      </c>
      <c r="G21" s="2410"/>
    </row>
    <row r="22" spans="1:18" ht="13.5" customHeight="1">
      <c r="A22" s="645"/>
      <c r="B22" s="1795" t="s">
        <v>2091</v>
      </c>
      <c r="C22" s="136">
        <f>C8</f>
        <v>0</v>
      </c>
      <c r="D22" s="2372"/>
      <c r="E22" s="2408"/>
      <c r="F22" s="2409" t="s">
        <v>2094</v>
      </c>
      <c r="G22" s="1570"/>
    </row>
    <row r="23" spans="1:18" s="2369" customFormat="1" ht="15.75" thickBot="1">
      <c r="A23" s="645"/>
      <c r="B23" s="2409" t="s">
        <v>2105</v>
      </c>
      <c r="C23" s="2410"/>
      <c r="D23" s="2397"/>
      <c r="E23" s="2411"/>
      <c r="F23" s="2412" t="s">
        <v>2106</v>
      </c>
      <c r="G23" s="2413"/>
      <c r="H23" s="2397"/>
      <c r="I23" s="2398"/>
      <c r="J23" s="2397"/>
      <c r="K23" s="2397"/>
      <c r="L23" s="2398"/>
      <c r="M23" s="2397"/>
      <c r="N23" s="2397"/>
      <c r="O23" s="2398"/>
      <c r="P23" s="2397"/>
      <c r="Q23" s="2397"/>
      <c r="R23" s="2399"/>
    </row>
    <row r="24" spans="1:18" s="2369" customFormat="1" ht="15.75" thickBot="1">
      <c r="A24" s="2414"/>
      <c r="B24" s="2412" t="s">
        <v>2107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38" customWidth="1"/>
    <col min="2" max="9" width="15.75" style="1738" customWidth="1"/>
    <col min="10" max="16384" width="9" style="1738"/>
  </cols>
  <sheetData>
    <row r="1" spans="1:10" ht="16.5">
      <c r="A1" s="1743" t="s">
        <v>1365</v>
      </c>
      <c r="B1" s="1743">
        <f>SUM(B14:B23)</f>
        <v>34353.799999999996</v>
      </c>
      <c r="C1" s="1742"/>
      <c r="D1" s="1742"/>
      <c r="E1" s="1742"/>
      <c r="F1" s="1742"/>
      <c r="G1" s="1740"/>
    </row>
    <row r="2" spans="1:10" ht="16.5">
      <c r="A2" s="1743" t="s">
        <v>1353</v>
      </c>
      <c r="B2" s="1743">
        <f>SUM(C14:C23)</f>
        <v>10335.5</v>
      </c>
      <c r="C2" s="1742"/>
      <c r="D2" s="1742"/>
      <c r="E2" s="1742"/>
      <c r="F2" s="1742"/>
      <c r="G2" s="1740"/>
    </row>
    <row r="3" spans="1:10" ht="16.5">
      <c r="A3" s="1743" t="s">
        <v>1362</v>
      </c>
      <c r="B3" s="1744">
        <f>项目基本情况!D3</f>
        <v>43405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54201</v>
      </c>
      <c r="C5" s="1743">
        <f ca="1">ROUND(B5*10000/$B$1,0)</f>
        <v>15777</v>
      </c>
      <c r="D5" s="1743">
        <f ca="1">ROUND(B5*10000/$B$2,0)</f>
        <v>52442</v>
      </c>
      <c r="E5" s="1742"/>
      <c r="F5" s="1740"/>
      <c r="G5" s="1740"/>
    </row>
    <row r="6" spans="1:10" ht="16.5">
      <c r="A6" s="1743" t="s">
        <v>1356</v>
      </c>
      <c r="B6" s="1743">
        <f ca="1">SUM(G14:G23)</f>
        <v>54201</v>
      </c>
      <c r="C6" s="1743">
        <f ca="1">ROUND(B6*10000/$B$1,0)</f>
        <v>15777</v>
      </c>
      <c r="D6" s="1743">
        <f ca="1">ROUND(B6*10000/$B$2,0)</f>
        <v>52442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30.09</v>
      </c>
      <c r="C14" s="1741">
        <f>结果表!C118</f>
        <v>9.0500000000000007</v>
      </c>
      <c r="D14" s="1741">
        <f ca="1">结果表!H118</f>
        <v>59</v>
      </c>
      <c r="E14" s="1741">
        <f ca="1">ROUND(D14*10000/B14,0)</f>
        <v>19608</v>
      </c>
      <c r="F14" s="1741">
        <f ca="1">ROUND(D14*10000/C14,0)</f>
        <v>65193</v>
      </c>
      <c r="G14" s="1741">
        <f ca="1">结果表!D122</f>
        <v>59</v>
      </c>
      <c r="H14" s="1741" t="str">
        <f>结果表!D124</f>
        <v>——</v>
      </c>
      <c r="I14" s="1741" t="str">
        <f>结果表!D126</f>
        <v>——</v>
      </c>
      <c r="J14" s="1740"/>
    </row>
    <row r="15" spans="1:10" ht="16.5">
      <c r="A15" s="1739" t="s">
        <v>1349</v>
      </c>
      <c r="B15" s="1746">
        <f>'数据-基础表'!I14</f>
        <v>34323.71</v>
      </c>
      <c r="C15" s="1746">
        <f>'数据-汇总表'!D20</f>
        <v>10326.450000000001</v>
      </c>
      <c r="D15" s="1746">
        <f ca="1">典型户型修正!S22-D14</f>
        <v>54142</v>
      </c>
      <c r="E15" s="1741">
        <f t="shared" ref="E15:E23" ca="1" si="0">ROUND(D15*10000/B15,0)</f>
        <v>15774</v>
      </c>
      <c r="F15" s="1741">
        <f t="shared" ref="F15:F23" ca="1" si="1">ROUND(D15*10000/C15,0)</f>
        <v>52430</v>
      </c>
      <c r="G15" s="1747">
        <f ca="1">典型户型修正!S22-G14</f>
        <v>54142</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19" sqref="G19:G20"/>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2108</v>
      </c>
      <c r="B1" s="2420"/>
      <c r="C1" s="2421">
        <v>101</v>
      </c>
      <c r="D1" s="2420"/>
      <c r="E1" s="2420"/>
      <c r="F1" s="2422" t="s">
        <v>2109</v>
      </c>
      <c r="G1" s="2071" t="s">
        <v>3047</v>
      </c>
      <c r="H1" s="2423" t="str">
        <f>IF(G1="现房","——","估价对象范围")</f>
        <v>——</v>
      </c>
      <c r="I1" s="2424" t="s">
        <v>3353</v>
      </c>
    </row>
    <row r="2" spans="1:12" ht="21.75" customHeight="1" thickBot="1">
      <c r="A2" s="3151" t="str">
        <f>项目基本情况!S2</f>
        <v>房地产</v>
      </c>
      <c r="B2" s="3152"/>
      <c r="C2" s="3152"/>
      <c r="D2" s="3152"/>
      <c r="E2" s="3152"/>
      <c r="F2" s="3152"/>
      <c r="G2" s="3152"/>
      <c r="H2" s="3152"/>
      <c r="I2" s="3153"/>
    </row>
    <row r="3" spans="1:12" ht="12.75">
      <c r="A3" s="3154" t="s">
        <v>2110</v>
      </c>
      <c r="B3" s="3155"/>
      <c r="C3" s="3155"/>
      <c r="D3" s="3155"/>
      <c r="E3" s="3155"/>
      <c r="F3" s="3155"/>
      <c r="G3" s="3155"/>
      <c r="H3" s="3155"/>
      <c r="I3" s="3155"/>
    </row>
    <row r="4" spans="1:12" ht="14.25">
      <c r="A4" s="2427" t="s">
        <v>2111</v>
      </c>
      <c r="B4" s="2428" t="s">
        <v>2112</v>
      </c>
      <c r="C4" s="2429" t="s">
        <v>3358</v>
      </c>
      <c r="D4" s="2429" t="s">
        <v>3350</v>
      </c>
      <c r="E4" s="3135" t="s">
        <v>2113</v>
      </c>
      <c r="F4" s="3148"/>
      <c r="G4" s="3148"/>
      <c r="H4" s="3148"/>
      <c r="I4" s="313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26" t="s">
        <v>2114</v>
      </c>
      <c r="B5" s="3048">
        <v>25</v>
      </c>
      <c r="C5" s="3156"/>
      <c r="D5" s="3144"/>
      <c r="E5" s="140" t="s">
        <v>2115</v>
      </c>
      <c r="F5" s="2431"/>
      <c r="G5" s="2431"/>
      <c r="H5" s="2431"/>
      <c r="I5" s="1831"/>
    </row>
    <row r="6" spans="1:12" ht="12.75">
      <c r="A6" s="3126"/>
      <c r="B6" s="3048"/>
      <c r="C6" s="3158"/>
      <c r="D6" s="3144"/>
      <c r="E6" s="140" t="s">
        <v>2116</v>
      </c>
      <c r="F6" s="2431"/>
      <c r="G6" s="2431"/>
      <c r="H6" s="2431"/>
      <c r="I6" s="1831"/>
    </row>
    <row r="7" spans="1:12" ht="12.75">
      <c r="A7" s="3126"/>
      <c r="B7" s="3048"/>
      <c r="C7" s="3157"/>
      <c r="D7" s="3144"/>
      <c r="E7" s="140" t="s">
        <v>2117</v>
      </c>
      <c r="F7" s="2431"/>
      <c r="G7" s="2431"/>
      <c r="H7" s="2431"/>
      <c r="I7" s="1831"/>
    </row>
    <row r="8" spans="1:12" ht="12.75">
      <c r="A8" s="3126" t="s">
        <v>2118</v>
      </c>
      <c r="B8" s="3048">
        <v>15</v>
      </c>
      <c r="C8" s="3156"/>
      <c r="D8" s="3144"/>
      <c r="E8" s="140" t="s">
        <v>2119</v>
      </c>
      <c r="F8" s="2431"/>
      <c r="G8" s="2431"/>
      <c r="H8" s="2431"/>
      <c r="I8" s="1831"/>
    </row>
    <row r="9" spans="1:12" ht="12.75">
      <c r="A9" s="3126"/>
      <c r="B9" s="3048"/>
      <c r="C9" s="3157"/>
      <c r="D9" s="3144"/>
      <c r="E9" s="140" t="s">
        <v>2120</v>
      </c>
      <c r="F9" s="2431"/>
      <c r="G9" s="2431"/>
      <c r="H9" s="2431"/>
      <c r="I9" s="1831"/>
    </row>
    <row r="10" spans="1:12" ht="12.75">
      <c r="A10" s="3126" t="s">
        <v>2121</v>
      </c>
      <c r="B10" s="3048">
        <v>15</v>
      </c>
      <c r="C10" s="3156"/>
      <c r="D10" s="3144"/>
      <c r="E10" s="140" t="s">
        <v>2122</v>
      </c>
      <c r="F10" s="2431"/>
      <c r="G10" s="2431"/>
      <c r="H10" s="2431"/>
      <c r="I10" s="1831"/>
    </row>
    <row r="11" spans="1:12" ht="12.75">
      <c r="A11" s="3126"/>
      <c r="B11" s="3048"/>
      <c r="C11" s="3157"/>
      <c r="D11" s="3144"/>
      <c r="E11" s="140" t="s">
        <v>2123</v>
      </c>
      <c r="F11" s="2431"/>
      <c r="G11" s="2431"/>
      <c r="H11" s="2431"/>
      <c r="I11" s="1831"/>
    </row>
    <row r="12" spans="1:12" ht="12.75">
      <c r="A12" s="3126" t="s">
        <v>2124</v>
      </c>
      <c r="B12" s="3048">
        <v>15</v>
      </c>
      <c r="C12" s="3156"/>
      <c r="D12" s="3144"/>
      <c r="E12" s="140" t="s">
        <v>2125</v>
      </c>
      <c r="F12" s="2431"/>
      <c r="G12" s="2431"/>
      <c r="H12" s="2431"/>
      <c r="I12" s="1831"/>
    </row>
    <row r="13" spans="1:12" ht="12.75">
      <c r="A13" s="3126"/>
      <c r="B13" s="3048"/>
      <c r="C13" s="3157"/>
      <c r="D13" s="3144"/>
      <c r="E13" s="140" t="s">
        <v>2126</v>
      </c>
      <c r="F13" s="2431"/>
      <c r="G13" s="2431"/>
      <c r="H13" s="2431"/>
      <c r="I13" s="1831"/>
    </row>
    <row r="14" spans="1:12" ht="12.75">
      <c r="A14" s="3126" t="s">
        <v>2127</v>
      </c>
      <c r="B14" s="3048">
        <v>30</v>
      </c>
      <c r="C14" s="3156">
        <v>3</v>
      </c>
      <c r="D14" s="3144">
        <v>7</v>
      </c>
      <c r="E14" s="140" t="s">
        <v>2128</v>
      </c>
      <c r="F14" s="2431"/>
      <c r="G14" s="2431"/>
      <c r="H14" s="2431"/>
      <c r="I14" s="1831"/>
    </row>
    <row r="15" spans="1:12" ht="12.75">
      <c r="A15" s="3126"/>
      <c r="B15" s="3048"/>
      <c r="C15" s="3158"/>
      <c r="D15" s="3144"/>
      <c r="E15" s="140" t="s">
        <v>2129</v>
      </c>
      <c r="F15" s="2431"/>
      <c r="G15" s="2431"/>
      <c r="H15" s="2431"/>
      <c r="I15" s="1831"/>
    </row>
    <row r="16" spans="1:12" ht="12.75">
      <c r="A16" s="3126"/>
      <c r="B16" s="3048"/>
      <c r="C16" s="3157"/>
      <c r="D16" s="3144"/>
      <c r="E16" s="140" t="s">
        <v>2130</v>
      </c>
      <c r="F16" s="2431"/>
      <c r="G16" s="2431"/>
      <c r="H16" s="2431"/>
      <c r="I16" s="1831"/>
    </row>
    <row r="17" spans="1:35" ht="15">
      <c r="A17" s="2432" t="s">
        <v>2131</v>
      </c>
      <c r="B17" s="64"/>
      <c r="C17" s="141">
        <f>SUM(C5:C16)</f>
        <v>3</v>
      </c>
      <c r="D17" s="141">
        <f>SUM(D5:D16)</f>
        <v>7</v>
      </c>
      <c r="E17" s="138"/>
      <c r="F17" s="138"/>
      <c r="G17" s="138"/>
      <c r="H17" s="138"/>
      <c r="I17" s="138"/>
      <c r="K17" s="2430"/>
      <c r="L17" s="2433" t="s">
        <v>2132</v>
      </c>
      <c r="M17" s="2433" t="s">
        <v>2133</v>
      </c>
    </row>
    <row r="18" spans="1:35" ht="15.75" thickBot="1">
      <c r="A18" s="2434" t="s">
        <v>2134</v>
      </c>
      <c r="B18" s="2435"/>
      <c r="C18" s="142">
        <f>ROUND(C17/SUM(C17:D17),2)</f>
        <v>0.3</v>
      </c>
      <c r="D18" s="142">
        <f>1-C18</f>
        <v>0.7</v>
      </c>
      <c r="E18" s="138"/>
      <c r="F18" s="138"/>
      <c r="G18" s="138"/>
      <c r="H18" s="138"/>
      <c r="I18" s="138"/>
      <c r="K18" s="2430" t="s">
        <v>2135</v>
      </c>
      <c r="L18" s="2430">
        <f>IF(C1="",'数据-汇总表'!E3,SUMIF(项目类型,C1,'数据-汇总表'!E17:E26)+SUMIF(项目类型,C1,'数据-汇总表'!I17:I26))</f>
        <v>30.09</v>
      </c>
      <c r="M18" s="2430">
        <f>IF(C1="",'数据-汇总表'!E3,SUMIF(项目类型,C1,'数据-汇总表'!E17:E26))</f>
        <v>30.09</v>
      </c>
    </row>
    <row r="19" spans="1:35" ht="15">
      <c r="A19" s="2436" t="s">
        <v>2136</v>
      </c>
      <c r="B19" s="2437" t="s">
        <v>2137</v>
      </c>
      <c r="C19" s="143">
        <f ca="1">SUMIF(INDIRECT("'"&amp;C4&amp;"'"&amp;"!A:A"),结果表!B19,INDIRECT("'"&amp;C4&amp;"'"&amp;"!B:B"))</f>
        <v>40</v>
      </c>
      <c r="D19" s="144">
        <f ca="1">SUMIF(INDIRECT("'"&amp;D4&amp;"'"&amp;"!A:A"),结果表!B19,INDIRECT("'"&amp;D4&amp;"'"&amp;"!B:B"))</f>
        <v>67</v>
      </c>
      <c r="E19" s="2436" t="s">
        <v>2138</v>
      </c>
      <c r="F19" s="2437" t="s">
        <v>2137</v>
      </c>
      <c r="G19" s="145">
        <f ca="1">ROUND(C19*$C$18+D19*$D$18,0)</f>
        <v>59</v>
      </c>
      <c r="H19" s="2438" t="s">
        <v>2139</v>
      </c>
      <c r="I19" s="138"/>
      <c r="K19" s="2430" t="s">
        <v>2140</v>
      </c>
      <c r="L19" s="2430">
        <f>IF(C1="",'数据-汇总表'!D3,SUMIF(项目类型,C1,'数据-汇总表'!D17:D26)+SUMIF(项目类型,C1,'数据-汇总表'!H17:H27))</f>
        <v>9.0500000000000007</v>
      </c>
      <c r="M19" s="2430">
        <f>IF(C1="",'数据-汇总表'!D3,SUMIF(项目类型,C1,'数据-汇总表'!D17:D26))</f>
        <v>9.0500000000000007</v>
      </c>
    </row>
    <row r="20" spans="1:35" ht="15">
      <c r="A20" s="2439"/>
      <c r="B20" s="1249" t="s">
        <v>2141</v>
      </c>
      <c r="C20" s="146">
        <f ca="1">SUMIF(INDIRECT("'"&amp;C4&amp;"'"&amp;"!A:A"),结果表!B20,INDIRECT("'"&amp;C4&amp;"'"&amp;"!B:B"))</f>
        <v>13293</v>
      </c>
      <c r="D20" s="147">
        <f ca="1">SUMIF(INDIRECT("'"&amp;D4&amp;"'"&amp;"!A:A"),结果表!B20,INDIRECT("'"&amp;D4&amp;"'"&amp;"!B:B"))</f>
        <v>22401</v>
      </c>
      <c r="E20" s="2439"/>
      <c r="F20" s="1249" t="s">
        <v>2141</v>
      </c>
      <c r="G20" s="148">
        <f ca="1">ROUND(C20*$C$18+D20*$D$18,0)</f>
        <v>19669</v>
      </c>
      <c r="H20" s="982" t="s">
        <v>2142</v>
      </c>
      <c r="I20" s="138"/>
    </row>
    <row r="21" spans="1:35" ht="15" customHeight="1" thickBot="1">
      <c r="A21" s="1002"/>
      <c r="B21" s="2440" t="s">
        <v>2143</v>
      </c>
      <c r="C21" s="788">
        <f ca="1">ROUND(C19*10000/L19,0)</f>
        <v>44199</v>
      </c>
      <c r="D21" s="789">
        <f ca="1">ROUND(D19*10000/L19,0)</f>
        <v>74033</v>
      </c>
      <c r="E21" s="1002"/>
      <c r="F21" s="2440" t="s">
        <v>2143</v>
      </c>
      <c r="G21" s="149">
        <f ca="1">ROUND(G19*10000/L19,0)</f>
        <v>65193</v>
      </c>
      <c r="H21" s="2441" t="s">
        <v>2142</v>
      </c>
      <c r="I21" s="138"/>
    </row>
    <row r="22" spans="1:35" ht="15" thickBot="1">
      <c r="A22" s="2282" t="s">
        <v>2144</v>
      </c>
      <c r="B22" s="2442"/>
      <c r="C22" s="2443"/>
      <c r="D22" s="790">
        <f ca="1">IF(C19&lt;D19,D19/C19-1,C19/D19-1)</f>
        <v>0.67500000000000004</v>
      </c>
      <c r="E22" s="138"/>
      <c r="F22" s="138"/>
      <c r="G22" s="138"/>
      <c r="H22" s="138"/>
      <c r="I22" s="138"/>
    </row>
    <row r="23" spans="1:35" ht="13.5" thickBot="1">
      <c r="A23" s="2420"/>
      <c r="B23" s="2420"/>
      <c r="C23" s="2420"/>
      <c r="D23" s="2420"/>
      <c r="E23" s="138"/>
      <c r="F23" s="138"/>
      <c r="G23" s="138"/>
      <c r="H23" s="138"/>
      <c r="I23" s="138"/>
    </row>
    <row r="24" spans="1:35" ht="14.25">
      <c r="A24" s="3165" t="s">
        <v>2145</v>
      </c>
      <c r="B24" s="2437" t="s">
        <v>2137</v>
      </c>
      <c r="C24" s="145">
        <f>IF(B30=0,0,D30)</f>
        <v>0</v>
      </c>
      <c r="D24" s="2444"/>
      <c r="E24" s="138"/>
      <c r="F24" s="138"/>
      <c r="G24" s="138"/>
      <c r="H24" s="138"/>
      <c r="I24" s="138"/>
    </row>
    <row r="25" spans="1:35" ht="14.25">
      <c r="A25" s="3166"/>
      <c r="B25" s="1249" t="s">
        <v>2141</v>
      </c>
      <c r="C25" s="150">
        <f>IF(B30=0,0,C30)</f>
        <v>0</v>
      </c>
      <c r="D25" s="2445"/>
      <c r="E25" s="138"/>
      <c r="F25" s="138"/>
      <c r="G25" s="138"/>
      <c r="H25" s="138"/>
      <c r="I25" s="138"/>
    </row>
    <row r="26" spans="1:35" ht="13.5" customHeight="1">
      <c r="A26" s="2446" t="s">
        <v>2146</v>
      </c>
      <c r="B26" s="151" t="s">
        <v>2147</v>
      </c>
      <c r="C26" s="151" t="s">
        <v>2148</v>
      </c>
      <c r="D26" s="152" t="s">
        <v>2149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2150</v>
      </c>
      <c r="B30" s="151"/>
      <c r="C30" s="151"/>
      <c r="D30" s="151"/>
      <c r="E30" s="2929" t="s">
        <v>3027</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2151</v>
      </c>
      <c r="B32" s="2450"/>
      <c r="C32" s="153">
        <f ca="1">IF(D32="总价",G19-C24,G20-C25)</f>
        <v>59</v>
      </c>
      <c r="D32" s="2451" t="s">
        <v>2152</v>
      </c>
      <c r="E32" s="138"/>
      <c r="F32" s="138"/>
      <c r="G32" s="138"/>
      <c r="H32" s="138"/>
      <c r="I32" s="138"/>
    </row>
    <row r="33" spans="1:15" ht="15">
      <c r="A33" s="959" t="s">
        <v>2153</v>
      </c>
      <c r="B33" s="2452"/>
      <c r="C33" s="2453" t="s">
        <v>3359</v>
      </c>
      <c r="D33" s="2454" t="s">
        <v>3358</v>
      </c>
      <c r="E33" s="2455" t="s">
        <v>2154</v>
      </c>
      <c r="F33" s="2456" t="str">
        <f>IF(D32="楼面单价","取值（单价）","取值（总价）")</f>
        <v>取值（总价）</v>
      </c>
      <c r="G33" s="138"/>
      <c r="H33" s="138"/>
      <c r="I33" s="138"/>
    </row>
    <row r="34" spans="1:15" ht="15">
      <c r="A34" s="2457"/>
      <c r="B34" s="2458" t="s">
        <v>2155</v>
      </c>
      <c r="C34" s="157">
        <f ca="1">IF(C33="自定义",F34,C32-C35)</f>
        <v>32</v>
      </c>
      <c r="D34" s="1057">
        <f ca="1">IF(C33="自定义",ROUND(C34/C32,3),IF(C33="收益比率",SUMIF(INDIRECT("'"&amp;D33&amp;"'"&amp;"!b:b"),"土地收益比率",INDIRECT("'"&amp;D33&amp;"'"&amp;"!c:c")),SUMIF(INDIRECT("'"&amp;D33&amp;"'"&amp;"!b:b"),"土地成本比率",INDIRECT("'"&amp;D33&amp;"'"&amp;"!c:c"))))</f>
        <v>0.53899999999999992</v>
      </c>
      <c r="E34" s="2459" t="s">
        <v>2156</v>
      </c>
      <c r="F34" s="1736"/>
      <c r="G34" s="138"/>
      <c r="H34" s="138"/>
      <c r="I34" s="138"/>
    </row>
    <row r="35" spans="1:15" ht="15.75" thickBot="1">
      <c r="A35" s="2460"/>
      <c r="B35" s="2461" t="s">
        <v>2157</v>
      </c>
      <c r="C35" s="1443">
        <f ca="1">IF(C33="自定义",F35,ROUND(C32*D35,0))</f>
        <v>27</v>
      </c>
      <c r="D35" s="1444">
        <f ca="1">IF(C33="自定义",ROUND(C35/C32,3),IF(C33="收益比率",SUMIF(INDIRECT("'"&amp;D33&amp;"'"&amp;"!b:b"),"建筑物收益比率",INDIRECT("'"&amp;D33&amp;"'"&amp;"!c:c")),SUMIF(INDIRECT("'"&amp;D33&amp;"'"&amp;"!b:b"),"建筑物成本比率",INDIRECT("'"&amp;D33&amp;"'"&amp;"!c:c"))))</f>
        <v>0.46100000000000002</v>
      </c>
      <c r="E35" s="2462" t="s">
        <v>2158</v>
      </c>
      <c r="F35" s="163"/>
      <c r="G35" s="138"/>
      <c r="H35" s="138"/>
      <c r="I35" s="138"/>
    </row>
    <row r="36" spans="1:15" ht="15.75" thickBot="1">
      <c r="A36" s="3145" t="s">
        <v>2159</v>
      </c>
      <c r="B36" s="2463" t="s">
        <v>2160</v>
      </c>
      <c r="C36" s="154"/>
      <c r="D36" s="2464"/>
      <c r="E36" s="2465"/>
      <c r="F36" s="2466"/>
      <c r="G36" s="138"/>
      <c r="H36" s="138"/>
      <c r="I36" s="138"/>
    </row>
    <row r="37" spans="1:15" ht="15.75" thickBot="1">
      <c r="A37" s="3146"/>
      <c r="B37" s="2268" t="s">
        <v>2161</v>
      </c>
      <c r="C37" s="156"/>
      <c r="D37" s="1394"/>
      <c r="E37" s="1394"/>
      <c r="F37" s="2466"/>
      <c r="G37" s="138"/>
      <c r="H37" s="138"/>
      <c r="I37" s="138"/>
    </row>
    <row r="38" spans="1:15" ht="15.75" thickBot="1">
      <c r="A38" s="3147"/>
      <c r="B38" s="2467" t="s">
        <v>2162</v>
      </c>
      <c r="C38" s="726"/>
      <c r="D38" s="2468" t="s">
        <v>2163</v>
      </c>
      <c r="E38" s="1394"/>
      <c r="F38" s="2466"/>
      <c r="G38" s="138"/>
      <c r="H38" s="138"/>
      <c r="I38" s="138"/>
    </row>
    <row r="39" spans="1:15" ht="15">
      <c r="A39" s="2439" t="s">
        <v>2164</v>
      </c>
      <c r="B39" s="2469" t="s">
        <v>2165</v>
      </c>
      <c r="C39" s="2470" t="s">
        <v>2166</v>
      </c>
      <c r="D39" s="2470" t="s">
        <v>2167</v>
      </c>
      <c r="E39" s="2471" t="s">
        <v>2168</v>
      </c>
      <c r="F39" s="2466"/>
      <c r="G39" s="138"/>
      <c r="H39" s="138"/>
      <c r="I39" s="138"/>
    </row>
    <row r="40" spans="1:15" ht="14.25">
      <c r="A40" s="2472" t="s">
        <v>2169</v>
      </c>
      <c r="B40" s="158"/>
      <c r="C40" s="159"/>
      <c r="D40" s="159"/>
      <c r="E40" s="160"/>
      <c r="F40" s="2466"/>
      <c r="G40" s="138"/>
      <c r="H40" s="138"/>
      <c r="I40" s="138"/>
    </row>
    <row r="41" spans="1:15" ht="14.25">
      <c r="A41" s="2472" t="s">
        <v>2170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2171</v>
      </c>
      <c r="B44" s="2477"/>
      <c r="C44" s="2477"/>
      <c r="D44" s="2478"/>
      <c r="E44" s="2478"/>
      <c r="F44" s="2479"/>
      <c r="G44" s="2479"/>
      <c r="H44" s="2479"/>
      <c r="I44" s="2479"/>
      <c r="J44" s="2480" t="s">
        <v>2172</v>
      </c>
      <c r="K44" s="2481"/>
      <c r="L44" s="2481"/>
      <c r="M44" s="2481"/>
      <c r="N44" s="2481"/>
      <c r="O44" s="2481"/>
    </row>
    <row r="45" spans="1:15" ht="14.25" customHeight="1" thickBot="1">
      <c r="A45" s="3162" t="s">
        <v>2173</v>
      </c>
      <c r="B45" s="3163"/>
      <c r="C45" s="3164"/>
      <c r="D45" s="164">
        <f ca="1">ROUND(H101*F45,0)</f>
        <v>59</v>
      </c>
      <c r="E45" s="165" t="s">
        <v>2174</v>
      </c>
      <c r="F45" s="166">
        <v>1</v>
      </c>
      <c r="G45" s="167" t="s">
        <v>2175</v>
      </c>
      <c r="H45" s="138"/>
      <c r="I45" s="138"/>
      <c r="J45" s="3081" t="s">
        <v>2176</v>
      </c>
      <c r="K45" s="3081"/>
      <c r="L45" s="3081"/>
      <c r="M45" s="3081"/>
      <c r="N45" s="3081"/>
      <c r="O45" s="3081"/>
    </row>
    <row r="46" spans="1:15" ht="14.25" customHeight="1">
      <c r="A46" s="3159" t="s">
        <v>2177</v>
      </c>
      <c r="B46" s="3160"/>
      <c r="C46" s="3160"/>
      <c r="D46" s="3160"/>
      <c r="E46" s="3160"/>
      <c r="F46" s="3160"/>
      <c r="G46" s="3161"/>
      <c r="H46" s="2482"/>
      <c r="I46" s="168"/>
      <c r="J46" s="1809">
        <v>1</v>
      </c>
      <c r="K46" s="3081" t="s">
        <v>2178</v>
      </c>
      <c r="L46" s="3081"/>
      <c r="M46" s="3082"/>
      <c r="N46" s="3082"/>
      <c r="O46" s="3082"/>
    </row>
    <row r="47" spans="1:15" ht="12" customHeight="1">
      <c r="A47" s="169" t="s">
        <v>2179</v>
      </c>
      <c r="B47" s="170"/>
      <c r="C47" s="171"/>
      <c r="D47" s="172" t="s">
        <v>2180</v>
      </c>
      <c r="E47" s="24" t="s">
        <v>2181</v>
      </c>
      <c r="F47" s="173" t="s">
        <v>2182</v>
      </c>
      <c r="G47" s="174" t="s">
        <v>2183</v>
      </c>
      <c r="H47" s="2482"/>
      <c r="I47" s="168"/>
      <c r="J47" s="1809">
        <v>2</v>
      </c>
      <c r="K47" s="3081" t="s">
        <v>2184</v>
      </c>
      <c r="L47" s="3081"/>
      <c r="M47" s="3083">
        <f>'数据-取费表'!B2</f>
        <v>43405</v>
      </c>
      <c r="N47" s="3083"/>
      <c r="O47" s="3083"/>
    </row>
    <row r="48" spans="1:15" ht="25.5">
      <c r="A48" s="3149" t="s">
        <v>2185</v>
      </c>
      <c r="B48" s="3150"/>
      <c r="C48" s="3150"/>
      <c r="D48" s="140">
        <f>IF(H48="情况1",0,IF(H48="情况2",D52,IF(H48="情况3",D53,IF(H48="情况4",D54))))</f>
        <v>0</v>
      </c>
      <c r="E48" s="1798" t="str">
        <f>IF(H48="情况4","(销售额-原购置价)×税（费）率","销售额×税（费）率")</f>
        <v>销售额×税（费）率</v>
      </c>
      <c r="F48" s="175" t="str">
        <f>IF(H48="情况1","免征",'数据-取费表'!B41)</f>
        <v>免征</v>
      </c>
      <c r="G48" s="2483" t="s">
        <v>2186</v>
      </c>
      <c r="H48" s="2484" t="s">
        <v>2187</v>
      </c>
      <c r="I48" s="2482"/>
      <c r="J48" s="1809">
        <v>3</v>
      </c>
      <c r="K48" s="3081" t="s">
        <v>2188</v>
      </c>
      <c r="L48" s="3081"/>
      <c r="M48" s="3084">
        <f ca="1">H101</f>
        <v>59</v>
      </c>
      <c r="N48" s="3084"/>
      <c r="O48" s="3084"/>
    </row>
    <row r="49" spans="1:35" ht="25.5" customHeight="1">
      <c r="A49" s="176" t="s">
        <v>2189</v>
      </c>
      <c r="B49" s="3129" t="s">
        <v>2190</v>
      </c>
      <c r="C49" s="3129"/>
      <c r="D49" s="177">
        <v>0</v>
      </c>
      <c r="E49" s="23" t="s">
        <v>2191</v>
      </c>
      <c r="F49" s="28" t="s">
        <v>34</v>
      </c>
      <c r="G49" s="3110"/>
      <c r="H49" s="138"/>
      <c r="I49" s="2485"/>
      <c r="J49" s="1809">
        <v>4</v>
      </c>
      <c r="K49" s="3081" t="str">
        <f>IF(项目基本情况!E8="房地产抵押价值","房地产抵押价值","抵押担保权已注销时的房地产抵押价值")</f>
        <v>房地产抵押价值</v>
      </c>
      <c r="L49" s="3081"/>
      <c r="M49" s="3084">
        <f ca="1">IF(项目基本情况!E8="房地产抵押价值",H107,H109)</f>
        <v>59</v>
      </c>
      <c r="N49" s="3084"/>
      <c r="O49" s="3084"/>
    </row>
    <row r="50" spans="1:35" ht="25.5" customHeight="1">
      <c r="A50" s="178"/>
      <c r="B50" s="3129" t="s">
        <v>2192</v>
      </c>
      <c r="C50" s="3129"/>
      <c r="D50" s="179"/>
      <c r="E50" s="31"/>
      <c r="F50" s="180"/>
      <c r="G50" s="3111"/>
      <c r="H50" s="138"/>
      <c r="I50" s="2485"/>
      <c r="J50" s="3081" t="s">
        <v>2193</v>
      </c>
      <c r="K50" s="3081"/>
      <c r="L50" s="3081"/>
      <c r="M50" s="3081"/>
      <c r="N50" s="3081"/>
      <c r="O50" s="3081"/>
    </row>
    <row r="51" spans="1:35" ht="12" customHeight="1">
      <c r="A51" s="181"/>
      <c r="B51" s="3129" t="s">
        <v>2194</v>
      </c>
      <c r="C51" s="3129"/>
      <c r="D51" s="182"/>
      <c r="E51" s="30"/>
      <c r="F51" s="180"/>
      <c r="G51" s="3112"/>
      <c r="H51" s="138"/>
      <c r="I51" s="2485"/>
      <c r="J51" s="2486" t="s">
        <v>2195</v>
      </c>
      <c r="K51" s="3081" t="s">
        <v>2196</v>
      </c>
      <c r="L51" s="3081"/>
      <c r="M51" s="2486" t="s">
        <v>2197</v>
      </c>
      <c r="N51" s="2486" t="s">
        <v>2198</v>
      </c>
      <c r="O51" s="2486" t="s">
        <v>2199</v>
      </c>
    </row>
    <row r="52" spans="1:35" ht="24" customHeight="1">
      <c r="A52" s="183" t="s">
        <v>2200</v>
      </c>
      <c r="B52" s="3129" t="s">
        <v>2201</v>
      </c>
      <c r="C52" s="3129"/>
      <c r="D52" s="182">
        <f ca="1">ROUND(D45*'数据-取费表'!B41/(1+'数据-取费表'!C42),0)</f>
        <v>3</v>
      </c>
      <c r="E52" s="11" t="s">
        <v>2202</v>
      </c>
      <c r="F52" s="184">
        <f>'数据-取费表'!B41</f>
        <v>5.6000000000000001E-2</v>
      </c>
      <c r="G52" s="2487"/>
      <c r="H52" s="138"/>
      <c r="I52" s="2485"/>
      <c r="J52" s="1809">
        <v>1</v>
      </c>
      <c r="K52" s="3104" t="s">
        <v>2203</v>
      </c>
      <c r="L52" s="3104"/>
      <c r="M52" s="1751">
        <f>D48</f>
        <v>0</v>
      </c>
      <c r="N52" s="1809" t="str">
        <f>E48</f>
        <v>销售额×税（费）率</v>
      </c>
      <c r="O52" s="1752" t="str">
        <f>F48</f>
        <v>免征</v>
      </c>
    </row>
    <row r="53" spans="1:35" ht="12" customHeight="1">
      <c r="A53" s="183" t="s">
        <v>2204</v>
      </c>
      <c r="B53" s="3130" t="s">
        <v>2205</v>
      </c>
      <c r="C53" s="3131"/>
      <c r="D53" s="182">
        <f ca="1">ROUND(D45*'数据-取费表'!B41/(1+'数据-取费表'!C42),0)</f>
        <v>3</v>
      </c>
      <c r="E53" s="11" t="s">
        <v>2202</v>
      </c>
      <c r="F53" s="184">
        <f>'数据-取费表'!B41</f>
        <v>5.6000000000000001E-2</v>
      </c>
      <c r="G53" s="2487"/>
      <c r="H53" s="138"/>
      <c r="I53" s="2485"/>
      <c r="J53" s="1809">
        <v>2</v>
      </c>
      <c r="K53" s="3104" t="s">
        <v>2206</v>
      </c>
      <c r="L53" s="3104"/>
      <c r="M53" s="1751">
        <f t="shared" ref="M53:O54" ca="1" si="0">D55</f>
        <v>0</v>
      </c>
      <c r="N53" s="1809" t="str">
        <f t="shared" si="0"/>
        <v>销售额×税（费）率</v>
      </c>
      <c r="O53" s="1752">
        <f t="shared" si="0"/>
        <v>5.0000000000000001E-4</v>
      </c>
    </row>
    <row r="54" spans="1:35" ht="12" customHeight="1">
      <c r="A54" s="183" t="s">
        <v>2207</v>
      </c>
      <c r="B54" s="3130" t="s">
        <v>2208</v>
      </c>
      <c r="C54" s="3131"/>
      <c r="D54" s="182">
        <f ca="1">C68</f>
        <v>3</v>
      </c>
      <c r="E54" s="30" t="s">
        <v>2209</v>
      </c>
      <c r="F54" s="184">
        <f>'数据-取费表'!B41</f>
        <v>5.6000000000000001E-2</v>
      </c>
      <c r="G54" s="2487"/>
      <c r="H54" s="2488"/>
      <c r="I54" s="2485"/>
      <c r="J54" s="1809">
        <v>3</v>
      </c>
      <c r="K54" s="3104" t="s">
        <v>2210</v>
      </c>
      <c r="L54" s="3104"/>
      <c r="M54" s="1751" t="e">
        <f t="shared" ca="1" si="0"/>
        <v>#DIV/0!</v>
      </c>
      <c r="N54" s="1809" t="str">
        <f t="shared" si="0"/>
        <v>增值额×税（费）率</v>
      </c>
      <c r="O54" s="1753" t="str">
        <f t="shared" si="0"/>
        <v>——</v>
      </c>
    </row>
    <row r="55" spans="1:35" ht="24" customHeight="1">
      <c r="A55" s="3168" t="s">
        <v>2211</v>
      </c>
      <c r="B55" s="3150"/>
      <c r="C55" s="3150"/>
      <c r="D55" s="185">
        <f ca="1">IF(H55="个人住宅",0,ROUND(D45*I55,0))</f>
        <v>0</v>
      </c>
      <c r="E55" s="11" t="s">
        <v>2212</v>
      </c>
      <c r="F55" s="184">
        <f>IF(H55="正常",I55,"免征")</f>
        <v>5.0000000000000001E-4</v>
      </c>
      <c r="G55" s="2487"/>
      <c r="H55" s="2484" t="s">
        <v>2213</v>
      </c>
      <c r="I55" s="186">
        <f>'数据-取费表'!B49</f>
        <v>5.0000000000000001E-4</v>
      </c>
      <c r="J55" s="1809" t="str">
        <f>IF(H59="非个人房产","",4)</f>
        <v/>
      </c>
      <c r="K55" s="3104" t="str">
        <f>IF(H59="非个人房产","——","个人所得税")</f>
        <v>——</v>
      </c>
      <c r="L55" s="3104"/>
      <c r="M55" s="1754" t="str">
        <f>D59</f>
        <v>——</v>
      </c>
      <c r="N55" s="1807" t="str">
        <f>E59</f>
        <v>——</v>
      </c>
      <c r="O55" s="1755" t="str">
        <f>F59</f>
        <v>——</v>
      </c>
    </row>
    <row r="56" spans="1:35" ht="24.75">
      <c r="A56" s="3168" t="s">
        <v>2214</v>
      </c>
      <c r="B56" s="3150"/>
      <c r="C56" s="3150"/>
      <c r="D56" s="185" t="e">
        <f ca="1">IF(H56="个人住宅",D57,D58)</f>
        <v>#DIV/0!</v>
      </c>
      <c r="E56" s="11" t="s">
        <v>2215</v>
      </c>
      <c r="F56" s="184" t="str">
        <f>IF(H56="正常",F58,"免征")</f>
        <v>——</v>
      </c>
      <c r="G56" s="2489" t="s">
        <v>2216</v>
      </c>
      <c r="H56" s="2490" t="s">
        <v>2213</v>
      </c>
      <c r="I56" s="2491"/>
      <c r="J56" s="1809" t="str">
        <f>IF(项目基本情况!K6="上海银行",IF(J55="",4,J55+1),"")</f>
        <v/>
      </c>
      <c r="K56" s="3087" t="str">
        <f>IF(项目基本情况!K6="上海银行","其他处置费用","")</f>
        <v/>
      </c>
      <c r="L56" s="3088"/>
      <c r="M56" s="1751" t="str">
        <f>IF(项目基本情况!K6="上海银行",M69,"")</f>
        <v/>
      </c>
      <c r="N56" s="3090" t="str">
        <f>IF(项目基本情况!K6="上海银行","包含处置中涉及的律师、诉讼、拍卖、评估等费用","")</f>
        <v/>
      </c>
      <c r="O56" s="3091"/>
    </row>
    <row r="57" spans="1:35" ht="12.75">
      <c r="A57" s="183" t="s">
        <v>2189</v>
      </c>
      <c r="B57" s="3135" t="s">
        <v>2217</v>
      </c>
      <c r="C57" s="3136"/>
      <c r="D57" s="187">
        <v>0</v>
      </c>
      <c r="E57" s="23" t="s">
        <v>2191</v>
      </c>
      <c r="F57" s="155"/>
      <c r="G57" s="2487"/>
      <c r="H57" s="2491"/>
      <c r="I57" s="2491"/>
      <c r="J57" s="3104">
        <f>IF(AND(J55="",J56=""),4,IF(项目基本情况!K6="上海银行",结果表!J56+1,结果表!J55+1))</f>
        <v>4</v>
      </c>
      <c r="K57" s="3104" t="s">
        <v>2218</v>
      </c>
      <c r="L57" s="2492" t="s">
        <v>2219</v>
      </c>
      <c r="M57" s="1756"/>
      <c r="N57" s="1757">
        <f ca="1">SUMIF(M52:M56,"&lt;9e307")</f>
        <v>0</v>
      </c>
      <c r="O57" s="2493"/>
      <c r="P57" s="1750">
        <f ca="1">N57/M49</f>
        <v>0</v>
      </c>
    </row>
    <row r="58" spans="1:35" ht="24.75">
      <c r="A58" s="183" t="s">
        <v>2200</v>
      </c>
      <c r="B58" s="3135" t="s">
        <v>2220</v>
      </c>
      <c r="C58" s="3148"/>
      <c r="D58" s="185" t="e">
        <f ca="1">IF(H58="转让取得",C81,C97)</f>
        <v>#DIV/0!</v>
      </c>
      <c r="E58" s="11" t="s">
        <v>2215</v>
      </c>
      <c r="F58" s="24" t="s">
        <v>34</v>
      </c>
      <c r="G58" s="2487"/>
      <c r="H58" s="2490" t="s">
        <v>2221</v>
      </c>
      <c r="I58" s="2491"/>
      <c r="J58" s="3104"/>
      <c r="K58" s="3104"/>
      <c r="L58" s="2492" t="s">
        <v>2222</v>
      </c>
      <c r="M58" s="1758"/>
      <c r="N58" s="2494" t="str">
        <f ca="1">NUMBERSTRING(INT(N57*10000),2)&amp;"元整"</f>
        <v>零元整</v>
      </c>
      <c r="O58" s="2495"/>
    </row>
    <row r="59" spans="1:35" ht="24.75" thickBot="1">
      <c r="A59" s="3108" t="s">
        <v>2223</v>
      </c>
      <c r="B59" s="3109"/>
      <c r="C59" s="3109"/>
      <c r="D59" s="188" t="str">
        <f>IF(H59="非个人房产","——",IF(H59="个人住宅",0,ROUND(D45*I59,0)))</f>
        <v>——</v>
      </c>
      <c r="E59" s="189" t="str">
        <f>IF(H59="非个人房产","——","销售额×税（费）率")</f>
        <v>——</v>
      </c>
      <c r="F59" s="190" t="str">
        <f>IF(H59="非个人房产","——",IF(H59="个人住宅","免征",I59))</f>
        <v>——</v>
      </c>
      <c r="G59" s="2496" t="s">
        <v>2216</v>
      </c>
      <c r="H59" s="2490" t="s">
        <v>2224</v>
      </c>
      <c r="I59" s="191">
        <v>0.01</v>
      </c>
      <c r="J59" s="3106">
        <f>J57+1</f>
        <v>5</v>
      </c>
      <c r="K59" s="3104" t="s">
        <v>2225</v>
      </c>
      <c r="L59" s="1809" t="s">
        <v>2219</v>
      </c>
      <c r="M59" s="1759"/>
      <c r="N59" s="1760">
        <f ca="1">M49-N57</f>
        <v>59</v>
      </c>
      <c r="O59" s="2497"/>
    </row>
    <row r="60" spans="1:35" ht="12" customHeight="1">
      <c r="A60" s="2498"/>
      <c r="B60" s="2420"/>
      <c r="C60" s="2420"/>
      <c r="D60" s="2420"/>
      <c r="E60" s="2167"/>
      <c r="F60" s="2491"/>
      <c r="G60" s="2491"/>
      <c r="H60" s="2499"/>
      <c r="I60" s="138"/>
      <c r="J60" s="3107"/>
      <c r="K60" s="3104"/>
      <c r="L60" s="2492" t="s">
        <v>2222</v>
      </c>
      <c r="M60" s="1758"/>
      <c r="N60" s="2494" t="str">
        <f ca="1">NUMBERSTRING(INT(N59*10000),2)&amp;"元整"</f>
        <v>伍拾玖万元整</v>
      </c>
      <c r="O60" s="2495"/>
    </row>
    <row r="61" spans="1:35" ht="13.5" thickBot="1">
      <c r="A61" s="3167" t="s">
        <v>2226</v>
      </c>
      <c r="B61" s="3167"/>
      <c r="C61" s="3167"/>
      <c r="D61" s="3167"/>
      <c r="E61" s="3167"/>
      <c r="F61" s="2491"/>
      <c r="G61" s="2491"/>
      <c r="H61" s="2499"/>
      <c r="I61" s="138"/>
      <c r="J61" s="1809">
        <f>J59+1</f>
        <v>6</v>
      </c>
      <c r="K61" s="3104" t="s">
        <v>2227</v>
      </c>
      <c r="L61" s="3104"/>
      <c r="M61" s="1761"/>
      <c r="N61" s="1762">
        <f ca="1">ROUND(N59*10000/'数据-汇总表'!E3,0)</f>
        <v>17</v>
      </c>
      <c r="O61" s="2500"/>
    </row>
    <row r="62" spans="1:35" ht="12.75">
      <c r="A62" s="3124" t="s">
        <v>2228</v>
      </c>
      <c r="B62" s="3125"/>
      <c r="C62" s="1801"/>
      <c r="D62" s="1801" t="s">
        <v>2229</v>
      </c>
      <c r="E62" s="192" t="s">
        <v>2230</v>
      </c>
      <c r="F62" s="2491"/>
      <c r="G62" s="2491"/>
      <c r="H62" s="2499"/>
      <c r="I62" s="138"/>
    </row>
    <row r="63" spans="1:35" ht="12.75">
      <c r="A63" s="203" t="s">
        <v>775</v>
      </c>
      <c r="B63" s="193" t="s">
        <v>2231</v>
      </c>
      <c r="C63" s="194">
        <f ca="1">ROUND((C64+C65)/(1+'数据-取费表'!C42),0)</f>
        <v>56</v>
      </c>
      <c r="D63" s="195"/>
      <c r="E63" s="196"/>
      <c r="F63" s="2491"/>
      <c r="G63" s="2491"/>
      <c r="H63" s="2499"/>
      <c r="I63" s="138"/>
      <c r="J63" s="3089" t="s">
        <v>2232</v>
      </c>
      <c r="K63" s="2501" t="s">
        <v>2233</v>
      </c>
      <c r="L63" s="1749">
        <f ca="1">IF(M49&gt;10000,M49*0.5%,IF(AND(M49&gt;1000,M49&lt;=10000),M49*1%,IF(AND(M49&gt;100,M49&lt;=1000),M49*3%,IF(AND(M49&gt;10,M49&lt;=100),M49*5%,M49*8%))))</f>
        <v>2.95</v>
      </c>
      <c r="M63" s="24">
        <f ca="1">ROUND(L63,1)</f>
        <v>3</v>
      </c>
      <c r="Z63" s="2425"/>
      <c r="AI63" s="2426"/>
    </row>
    <row r="64" spans="1:35" ht="14.25" customHeight="1">
      <c r="A64" s="197" t="s">
        <v>770</v>
      </c>
      <c r="B64" s="198" t="s">
        <v>2234</v>
      </c>
      <c r="C64" s="199">
        <f ca="1">D45</f>
        <v>59</v>
      </c>
      <c r="D64" s="200" t="s">
        <v>32</v>
      </c>
      <c r="E64" s="201"/>
      <c r="F64" s="2491"/>
      <c r="G64" s="2491"/>
      <c r="H64" s="2499"/>
      <c r="I64" s="138"/>
      <c r="J64" s="3089"/>
      <c r="K64" s="2501" t="s">
        <v>2235</v>
      </c>
      <c r="L64" s="1749">
        <f ca="1">IF(M49&gt;2000,M49*0.5%,IF(AND(M49&gt;1000,M49&lt;=2000),M49*0.6%,IF(AND(M49&gt;500,M49&lt;=1000),M49*0.7%,IF(AND(M49&gt;200,M49&lt;=500),M49*0.8%,IF(AND(M49&gt;100,M49&lt;=200),M49*0.9%,IF(AND(M49&gt;50,M49&lt;=100),M49*1%,IF(AND(M49&gt;20,M49&lt;=50),M49*1.5%,IF(AND(M49&gt;10,M49&lt;=20),M49*2%,IF(AND(M49&gt;1,M49&lt;=10),M49*2.5%)))))))))</f>
        <v>0.59</v>
      </c>
      <c r="M64" s="24">
        <f t="shared" ref="M64:M65" ca="1" si="1">ROUND(L64,1)</f>
        <v>0.6</v>
      </c>
      <c r="N64" s="138" t="s">
        <v>2236</v>
      </c>
      <c r="Z64" s="2425"/>
      <c r="AI64" s="2426"/>
    </row>
    <row r="65" spans="1:35" ht="14.25" customHeight="1">
      <c r="A65" s="197" t="s">
        <v>771</v>
      </c>
      <c r="B65" s="198" t="s">
        <v>2237</v>
      </c>
      <c r="C65" s="202"/>
      <c r="D65" s="200"/>
      <c r="E65" s="201"/>
      <c r="F65" s="2491"/>
      <c r="G65" s="2491"/>
      <c r="H65" s="2499"/>
      <c r="I65" s="138"/>
      <c r="J65" s="3089"/>
      <c r="K65" s="2501" t="s">
        <v>2238</v>
      </c>
      <c r="L65" s="1749">
        <f ca="1">IF(M49&gt;1000,M49*0.1%,IF(AND(M49&gt;500,M49&lt;=1000),M49*0.5%,IF(AND(M49&gt;50,M49&lt;=500),M49*1%,IF(AND(M49&gt;1,M49&lt;=50),M49*1.5%))))</f>
        <v>0.59</v>
      </c>
      <c r="M65" s="24">
        <f t="shared" ca="1" si="1"/>
        <v>0.6</v>
      </c>
      <c r="N65" s="138" t="s">
        <v>2236</v>
      </c>
      <c r="Z65" s="2425"/>
      <c r="AI65" s="2426"/>
    </row>
    <row r="66" spans="1:35" ht="14.25" customHeight="1">
      <c r="A66" s="203" t="s">
        <v>772</v>
      </c>
      <c r="B66" s="204" t="s">
        <v>2239</v>
      </c>
      <c r="C66" s="205"/>
      <c r="D66" s="206" t="s">
        <v>32</v>
      </c>
      <c r="E66" s="1773" t="s">
        <v>1371</v>
      </c>
      <c r="F66" s="2491"/>
      <c r="G66" s="2491"/>
      <c r="H66" s="2499"/>
      <c r="I66" s="138"/>
      <c r="J66" s="3089"/>
      <c r="K66" s="2501" t="s">
        <v>2240</v>
      </c>
      <c r="L66" s="1749">
        <f ca="1">M49*0.5%</f>
        <v>0.29499999999999998</v>
      </c>
      <c r="M66" s="24">
        <f ca="1">IF(L66&gt;0.5,0.5,ROUND(L66,0))</f>
        <v>0</v>
      </c>
      <c r="N66" s="138" t="s">
        <v>2241</v>
      </c>
      <c r="Z66" s="2425"/>
      <c r="AI66" s="2426"/>
    </row>
    <row r="67" spans="1:35" ht="14.25" customHeight="1">
      <c r="A67" s="203" t="s">
        <v>773</v>
      </c>
      <c r="B67" s="204" t="s">
        <v>2242</v>
      </c>
      <c r="C67" s="207">
        <f ca="1">C63-C66</f>
        <v>56</v>
      </c>
      <c r="D67" s="200" t="s">
        <v>32</v>
      </c>
      <c r="E67" s="201"/>
      <c r="F67" s="2491"/>
      <c r="G67" s="2491"/>
      <c r="H67" s="2499"/>
      <c r="I67" s="138"/>
      <c r="J67" s="3089"/>
      <c r="K67" s="2501" t="s">
        <v>2243</v>
      </c>
      <c r="L67" s="1749">
        <f ca="1">IF(M49&gt;=10000,(8.25+(M49-10000)*0.01%),IF(AND(M49&gt;=8000,M49&lt;10000),(7.85+(M49-8000)*0.02%),IF(AND(M49&gt;=5000,M49&lt;8000),(6.65+(M49-5000)*0.04%),IF(AND(M49&gt;=2000,M49&lt;5000),(4.25+(PM49-2000)*0.08%),IF(AND(M49&gt;=1000,M49&lt;2000),(2.75+(M49-1000)*0.15%),IF(AND(M49&gt;=100,M49&lt;1000),(0.5+(M49-100)*0.25%),IF(AND(M49&gt;0,M49&lt;100),M49*0.5%)))))))</f>
        <v>0.29499999999999998</v>
      </c>
      <c r="M67" s="24">
        <f ca="1">ROUND(L67*0.9,1)</f>
        <v>0.3</v>
      </c>
      <c r="Z67" s="2425"/>
      <c r="AI67" s="2426"/>
    </row>
    <row r="68" spans="1:35" ht="14.25" customHeight="1" thickBot="1">
      <c r="A68" s="208" t="s">
        <v>774</v>
      </c>
      <c r="B68" s="209" t="s">
        <v>2244</v>
      </c>
      <c r="C68" s="210">
        <f ca="1">IF(C67&lt;=0,0,ROUND(C67*D68,0))</f>
        <v>3</v>
      </c>
      <c r="D68" s="211">
        <f>'数据-取费表'!B41</f>
        <v>5.6000000000000001E-2</v>
      </c>
      <c r="E68" s="212"/>
      <c r="F68" s="2491"/>
      <c r="G68" s="2491"/>
      <c r="H68" s="2499"/>
      <c r="I68" s="138"/>
      <c r="J68" s="3089"/>
      <c r="K68" s="2501" t="s">
        <v>2245</v>
      </c>
      <c r="L68" s="1749">
        <f ca="1">IF(M49&gt;10000,M49*0.5%,IF(AND(M49&gt;5000,M49&lt;=10000),M49*1%,IF(AND(M49&gt;1000,M49&lt;=5000),M49*2%,IF(AND(M49&gt;200,M49&lt;=1000),M49*3%,M49*5%))))</f>
        <v>2.95</v>
      </c>
      <c r="M68" s="24">
        <f ca="1">ROUND(L68,1)</f>
        <v>3</v>
      </c>
      <c r="Z68" s="2425"/>
      <c r="AI68" s="2426"/>
    </row>
    <row r="69" spans="1:35" s="2448" customFormat="1" ht="16.5" customHeight="1">
      <c r="A69" s="2502"/>
      <c r="B69" s="2503"/>
      <c r="C69" s="2504"/>
      <c r="D69" s="2505"/>
      <c r="E69" s="2506"/>
      <c r="F69" s="2167"/>
      <c r="G69" s="2167"/>
      <c r="H69" s="2166"/>
      <c r="I69" s="2420"/>
      <c r="J69" s="3089"/>
      <c r="K69" s="2501" t="s">
        <v>2246</v>
      </c>
      <c r="L69" s="2507"/>
      <c r="M69" s="24">
        <f ca="1">ROUND(SUM(M63:M68),0)</f>
        <v>8</v>
      </c>
      <c r="N69" s="1750">
        <f ca="1">M69/M49</f>
        <v>0.13559322033898305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33" t="s">
        <v>2247</v>
      </c>
      <c r="B70" s="3134"/>
      <c r="C70" s="3134"/>
      <c r="D70" s="3134"/>
      <c r="E70" s="3134"/>
      <c r="F70" s="3134"/>
      <c r="G70" s="3134"/>
      <c r="H70" s="313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4" t="s">
        <v>2228</v>
      </c>
      <c r="B71" s="3125"/>
      <c r="C71" s="1801"/>
      <c r="D71" s="1801" t="s">
        <v>2229</v>
      </c>
      <c r="E71" s="213" t="s">
        <v>2230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2248</v>
      </c>
      <c r="C72" s="207">
        <f ca="1">ROUND(D45/(1+'数据-取费表'!C42),0)</f>
        <v>56</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2249</v>
      </c>
      <c r="C73" s="207">
        <f ca="1">C74+C78</f>
        <v>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2251</v>
      </c>
      <c r="C75" s="218"/>
      <c r="D75" s="200" t="s">
        <v>32</v>
      </c>
      <c r="E75" s="219" t="s">
        <v>2252</v>
      </c>
      <c r="F75" s="2513" t="s">
        <v>2253</v>
      </c>
      <c r="G75" s="219" t="s">
        <v>2254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2255</v>
      </c>
      <c r="C76" s="200">
        <f>IF(F75="购房发票",ROUND(C75*H75*D76,0),0)</f>
        <v>0</v>
      </c>
      <c r="D76" s="222">
        <v>0.05</v>
      </c>
      <c r="E76" s="3130" t="s">
        <v>2256</v>
      </c>
      <c r="F76" s="3129"/>
      <c r="G76" s="3129"/>
      <c r="H76" s="313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5" t="s">
        <v>2259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2260</v>
      </c>
      <c r="C78" s="225">
        <f ca="1">ROUND(D45*D78/(1+'数据-取费表'!C42),0)</f>
        <v>0</v>
      </c>
      <c r="D78" s="226">
        <f>'数据-取费表'!B43</f>
        <v>6.000000000000001E-3</v>
      </c>
      <c r="E78" s="3121" t="s">
        <v>2261</v>
      </c>
      <c r="F78" s="3122"/>
      <c r="G78" s="3122"/>
      <c r="H78" s="312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2262</v>
      </c>
      <c r="C79" s="207">
        <f ca="1">C72-C73</f>
        <v>56</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3" t="s">
        <v>2265</v>
      </c>
      <c r="B83" s="3134"/>
      <c r="C83" s="3134"/>
      <c r="D83" s="3134"/>
      <c r="E83" s="3134"/>
      <c r="F83" s="3134"/>
      <c r="G83" s="3134"/>
      <c r="H83" s="313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4" t="s">
        <v>2228</v>
      </c>
      <c r="B84" s="3125"/>
      <c r="C84" s="1801"/>
      <c r="D84" s="1801" t="s">
        <v>2229</v>
      </c>
      <c r="E84" s="213" t="s">
        <v>2230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2248</v>
      </c>
      <c r="C85" s="207">
        <f ca="1">ROUND(D45/(1+'数据-取费表'!C42),0)</f>
        <v>56</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2249</v>
      </c>
      <c r="C86" s="207">
        <f ca="1">IF(H88="仅含出让金",C87+C90+C91+C92+C93+C94,C87+C91+C92+C93+C94)</f>
        <v>0</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2267</v>
      </c>
      <c r="C88" s="236"/>
      <c r="D88" s="226"/>
      <c r="E88" s="237" t="s">
        <v>2268</v>
      </c>
      <c r="F88" s="1797"/>
      <c r="G88" s="238" t="s">
        <v>2269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2257</v>
      </c>
      <c r="C89" s="225">
        <f>ROUND(C88*D89,0)</f>
        <v>0</v>
      </c>
      <c r="D89" s="226">
        <f>'数据-取费表'!B48+'数据-取费表'!B49</f>
        <v>3.0499999999999999E-2</v>
      </c>
      <c r="E89" s="237" t="s">
        <v>2270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2272</v>
      </c>
      <c r="B91" s="198" t="s">
        <v>2273</v>
      </c>
      <c r="C91" s="225">
        <f>IF(H91="——",成本法!C33,I91)</f>
        <v>0</v>
      </c>
      <c r="D91" s="226"/>
      <c r="E91" s="3121" t="s">
        <v>2274</v>
      </c>
      <c r="F91" s="3122"/>
      <c r="G91" s="3122"/>
      <c r="H91" s="2520" t="s">
        <v>2275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2276</v>
      </c>
      <c r="B92" s="198" t="s">
        <v>2277</v>
      </c>
      <c r="C92" s="225">
        <f>ROUND((C87+C90+C91)*D92,0)</f>
        <v>0</v>
      </c>
      <c r="D92" s="226">
        <v>0.1</v>
      </c>
      <c r="E92" s="3121" t="s">
        <v>2278</v>
      </c>
      <c r="F92" s="3122"/>
      <c r="G92" s="3122"/>
      <c r="H92" s="312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2279</v>
      </c>
      <c r="B93" s="198" t="s">
        <v>2260</v>
      </c>
      <c r="C93" s="225">
        <f ca="1">ROUND(D45*D93/(1+'数据-取费表'!C42),0)</f>
        <v>0</v>
      </c>
      <c r="D93" s="226">
        <f>'数据-取费表'!B43</f>
        <v>6.000000000000001E-3</v>
      </c>
      <c r="E93" s="3121" t="s">
        <v>2261</v>
      </c>
      <c r="F93" s="3122"/>
      <c r="G93" s="3122"/>
      <c r="H93" s="312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2280</v>
      </c>
      <c r="B94" s="198" t="s">
        <v>2281</v>
      </c>
      <c r="C94" s="236">
        <f>ROUND((C87+C90+C91)*D94,0)</f>
        <v>0</v>
      </c>
      <c r="D94" s="226">
        <v>0.2</v>
      </c>
      <c r="E94" s="3169" t="s">
        <v>2282</v>
      </c>
      <c r="F94" s="3170"/>
      <c r="G94" s="3170"/>
      <c r="H94" s="317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2262</v>
      </c>
      <c r="C95" s="207">
        <f ca="1">ROUND(C85-C86,0)</f>
        <v>56</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2283</v>
      </c>
      <c r="B99" s="2420"/>
      <c r="C99" s="2420"/>
      <c r="D99" s="2420"/>
      <c r="E99" s="2167"/>
      <c r="F99" s="2167"/>
      <c r="G99" s="2167"/>
      <c r="H99" s="2166"/>
      <c r="I99" s="138"/>
    </row>
    <row r="100" spans="1:35" ht="18.75" customHeight="1">
      <c r="A100" s="3073" t="s">
        <v>2284</v>
      </c>
      <c r="B100" s="3074"/>
      <c r="C100" s="3074"/>
      <c r="D100" s="3105"/>
      <c r="E100" s="3074" t="s">
        <v>2285</v>
      </c>
      <c r="F100" s="3074"/>
      <c r="G100" s="3074"/>
      <c r="H100" s="3105"/>
      <c r="I100" s="138"/>
    </row>
    <row r="101" spans="1:35" ht="18.75" customHeight="1">
      <c r="A101" s="3113" t="s">
        <v>2286</v>
      </c>
      <c r="B101" s="3114"/>
      <c r="C101" s="735" t="str">
        <f>C4</f>
        <v>成本法 (元)</v>
      </c>
      <c r="D101" s="736" t="str">
        <f>D4</f>
        <v>收益法 (元)</v>
      </c>
      <c r="E101" s="3085" t="s">
        <v>2287</v>
      </c>
      <c r="F101" s="3086"/>
      <c r="G101" s="2522" t="s">
        <v>2288</v>
      </c>
      <c r="H101" s="1047">
        <f ca="1">H118</f>
        <v>59</v>
      </c>
      <c r="I101" s="138"/>
    </row>
    <row r="102" spans="1:35" ht="18.75" customHeight="1">
      <c r="A102" s="3115" t="s">
        <v>2289</v>
      </c>
      <c r="B102" s="2522" t="s">
        <v>2288</v>
      </c>
      <c r="C102" s="735">
        <f ca="1">C19</f>
        <v>40</v>
      </c>
      <c r="D102" s="736">
        <f ca="1">D19</f>
        <v>67</v>
      </c>
      <c r="E102" s="3085"/>
      <c r="F102" s="3086"/>
      <c r="G102" s="2522" t="s">
        <v>2290</v>
      </c>
      <c r="H102" s="371">
        <f ca="1">I118</f>
        <v>19608</v>
      </c>
      <c r="I102" s="138"/>
    </row>
    <row r="103" spans="1:35" ht="42.75" customHeight="1">
      <c r="A103" s="3115"/>
      <c r="B103" s="2522" t="s">
        <v>2290</v>
      </c>
      <c r="C103" s="737">
        <f ca="1">C20</f>
        <v>13293</v>
      </c>
      <c r="D103" s="738">
        <f ca="1">D20</f>
        <v>22401</v>
      </c>
      <c r="E103" s="3079" t="s">
        <v>2291</v>
      </c>
      <c r="F103" s="3080"/>
      <c r="G103" s="2523" t="s">
        <v>2292</v>
      </c>
      <c r="H103" s="1047">
        <f>IF(D36="正常操作",H104+H105+H106,H105+H106)</f>
        <v>0</v>
      </c>
      <c r="I103" s="138"/>
    </row>
    <row r="104" spans="1:35" ht="18.75" customHeight="1">
      <c r="A104" s="3115" t="s">
        <v>2293</v>
      </c>
      <c r="B104" s="2524" t="s">
        <v>2288</v>
      </c>
      <c r="C104" s="739">
        <f ca="1">H118</f>
        <v>59</v>
      </c>
      <c r="D104" s="740"/>
      <c r="E104" s="2268" t="s">
        <v>2294</v>
      </c>
      <c r="F104" s="2259"/>
      <c r="G104" s="2523" t="s">
        <v>2292</v>
      </c>
      <c r="H104" s="1048">
        <f>IF(D36="同一抵押权人同一抵押物续贷",C36&amp;"（未扣减，详见特别提示）",C36)</f>
        <v>0</v>
      </c>
      <c r="I104" s="138"/>
    </row>
    <row r="105" spans="1:35" ht="18.75" customHeight="1" thickBot="1">
      <c r="A105" s="3127"/>
      <c r="B105" s="2525" t="s">
        <v>2290</v>
      </c>
      <c r="C105" s="741">
        <f ca="1">I118</f>
        <v>19608</v>
      </c>
      <c r="D105" s="742"/>
      <c r="E105" s="2268" t="s">
        <v>2295</v>
      </c>
      <c r="F105" s="2259"/>
      <c r="G105" s="2523" t="s">
        <v>2292</v>
      </c>
      <c r="H105" s="1048">
        <f>C37</f>
        <v>0</v>
      </c>
      <c r="I105" s="138"/>
    </row>
    <row r="106" spans="1:35" ht="18.75" customHeight="1">
      <c r="A106" s="2420" t="s">
        <v>2296</v>
      </c>
      <c r="B106" s="2420"/>
      <c r="C106" s="2420"/>
      <c r="D106" s="2420"/>
      <c r="E106" s="2526" t="s">
        <v>2297</v>
      </c>
      <c r="F106" s="2259"/>
      <c r="G106" s="2523" t="s">
        <v>2292</v>
      </c>
      <c r="H106" s="1048">
        <f>C38</f>
        <v>0</v>
      </c>
      <c r="I106" s="138"/>
    </row>
    <row r="107" spans="1:35" ht="18.75" customHeight="1">
      <c r="A107" s="138"/>
      <c r="B107" s="138"/>
      <c r="C107" s="138"/>
      <c r="D107" s="138"/>
      <c r="E107" s="3116" t="str">
        <f>IF(项目基本情况!E8="已注销","——","3.房地产抵押价值")</f>
        <v>3.房地产抵押价值</v>
      </c>
      <c r="F107" s="3086"/>
      <c r="G107" s="2522" t="s">
        <v>2288</v>
      </c>
      <c r="H107" s="1047">
        <f ca="1">IF(E107="——","——",H101-H103)</f>
        <v>59</v>
      </c>
      <c r="I107" s="138"/>
    </row>
    <row r="108" spans="1:35" ht="18.75" customHeight="1" thickBot="1">
      <c r="A108" s="138"/>
      <c r="B108" s="138"/>
      <c r="C108" s="138"/>
      <c r="D108" s="138"/>
      <c r="E108" s="3116"/>
      <c r="F108" s="3086"/>
      <c r="G108" s="2522" t="s">
        <v>2290</v>
      </c>
      <c r="H108" s="371">
        <f ca="1">ROUND(H107*10000/'数据-汇总表'!E3,0)</f>
        <v>17</v>
      </c>
      <c r="I108" s="138"/>
    </row>
    <row r="109" spans="1:35" ht="18.75" hidden="1"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2" t="s">
        <v>2288</v>
      </c>
      <c r="H109" s="348" t="str">
        <f>IF(E109="——","——",H101-H105-H106)</f>
        <v>——</v>
      </c>
      <c r="I109" s="138"/>
    </row>
    <row r="110" spans="1:35" ht="18.75" hidden="1" customHeight="1">
      <c r="A110" s="138"/>
      <c r="B110" s="138"/>
      <c r="C110" s="138"/>
      <c r="D110" s="138"/>
      <c r="E110" s="3116"/>
      <c r="F110" s="3086"/>
      <c r="G110" s="2522" t="s">
        <v>2290</v>
      </c>
      <c r="H110" s="371" t="str">
        <f>IF(H109="——","——",ROUND(H109*10000/'数据-汇总表'!E3,0))</f>
        <v>——</v>
      </c>
      <c r="I110" s="138"/>
    </row>
    <row r="111" spans="1:35" ht="18.75" hidden="1" customHeight="1">
      <c r="A111" s="138"/>
      <c r="B111" s="138"/>
      <c r="C111" s="138"/>
      <c r="D111" s="138"/>
      <c r="E111" s="3117" t="str">
        <f>IF(项目基本情况!E9="抵押净值",IF(OR(项目基本情况!E8="已注销",项目基本情况!E8="房地产抵押价值"),"4.抵押净值","5.抵押净值"),"——")</f>
        <v>——</v>
      </c>
      <c r="F111" s="3118"/>
      <c r="G111" s="2522" t="s">
        <v>2288</v>
      </c>
      <c r="H111" s="1047" t="str">
        <f>IF(E111="——","——",N59)</f>
        <v>——</v>
      </c>
      <c r="I111" s="138"/>
    </row>
    <row r="112" spans="1:35" ht="18.75" hidden="1" customHeight="1" thickBot="1">
      <c r="A112" s="138"/>
      <c r="B112" s="138"/>
      <c r="C112" s="138"/>
      <c r="D112" s="138"/>
      <c r="E112" s="3119"/>
      <c r="F112" s="3120"/>
      <c r="G112" s="2527" t="s">
        <v>2290</v>
      </c>
      <c r="H112" s="789" t="str">
        <f>IF(E111="——","——",N61)</f>
        <v>——</v>
      </c>
      <c r="I112" s="138"/>
    </row>
    <row r="113" spans="1:11" ht="18.75" customHeight="1">
      <c r="A113" s="138"/>
      <c r="B113" s="138"/>
      <c r="C113" s="138"/>
      <c r="D113" s="138"/>
      <c r="E113" s="3128" t="s">
        <v>2296</v>
      </c>
      <c r="F113" s="3128"/>
      <c r="G113" s="3128"/>
      <c r="H113" s="3128"/>
      <c r="I113" s="138"/>
    </row>
    <row r="114" spans="1:11" ht="3.75" customHeight="1">
      <c r="A114" s="2420"/>
      <c r="B114" s="2420"/>
      <c r="C114" s="2420"/>
      <c r="D114" s="2420"/>
      <c r="E114" s="2498"/>
      <c r="F114" s="2498"/>
      <c r="G114" s="2498"/>
      <c r="H114" s="2498"/>
      <c r="I114" s="2420"/>
    </row>
    <row r="115" spans="1:11" ht="18.75" customHeight="1">
      <c r="A115" s="3141" t="s">
        <v>2298</v>
      </c>
      <c r="B115" s="3142"/>
      <c r="C115" s="3142"/>
      <c r="D115" s="3142"/>
      <c r="E115" s="3142"/>
      <c r="F115" s="3142"/>
      <c r="G115" s="3142"/>
      <c r="H115" s="3142"/>
      <c r="I115" s="3143"/>
    </row>
    <row r="116" spans="1:11" ht="27" customHeight="1">
      <c r="A116" s="3048" t="s">
        <v>2299</v>
      </c>
      <c r="B116" s="3095" t="s">
        <v>2300</v>
      </c>
      <c r="C116" s="3095" t="s">
        <v>2301</v>
      </c>
      <c r="D116" s="3101" t="s">
        <v>2302</v>
      </c>
      <c r="E116" s="3102"/>
      <c r="F116" s="3137" t="s">
        <v>2303</v>
      </c>
      <c r="G116" s="3137"/>
      <c r="H116" s="3048" t="s">
        <v>2304</v>
      </c>
      <c r="I116" s="3048"/>
    </row>
    <row r="117" spans="1:11" ht="18.75" customHeight="1">
      <c r="A117" s="3048"/>
      <c r="B117" s="3096"/>
      <c r="C117" s="3096"/>
      <c r="D117" s="1795" t="s">
        <v>2305</v>
      </c>
      <c r="E117" s="1795" t="s">
        <v>2306</v>
      </c>
      <c r="F117" s="1795" t="s">
        <v>2305</v>
      </c>
      <c r="G117" s="1795" t="s">
        <v>2307</v>
      </c>
      <c r="H117" s="1795" t="s">
        <v>2305</v>
      </c>
      <c r="I117" s="1795" t="s">
        <v>2307</v>
      </c>
    </row>
    <row r="118" spans="1:11" ht="24.75" customHeight="1">
      <c r="A118" s="2528" t="str">
        <f>项目基本情况!S2</f>
        <v>房地产</v>
      </c>
      <c r="B118" s="1795">
        <f>M18</f>
        <v>30.09</v>
      </c>
      <c r="C118" s="1795">
        <f>M19</f>
        <v>9.0500000000000007</v>
      </c>
      <c r="D118" s="1795">
        <f ca="1">ROUND(IF(D32="总价",C34,E118*B118/10000),0)</f>
        <v>32</v>
      </c>
      <c r="E118" s="1795">
        <f ca="1">ROUND(IF(C33="自定义",IF(D32="楼面单价",C34,D118*10000/B118),I118-G118),0)</f>
        <v>10635</v>
      </c>
      <c r="F118" s="1795">
        <f ca="1">ROUND(IF(D32="总价",C35,G118*B118/10000),0)</f>
        <v>27</v>
      </c>
      <c r="G118" s="1795">
        <f ca="1">ROUND(IF(D32="楼面单价",C35,F118*10000/B118),0)</f>
        <v>8973</v>
      </c>
      <c r="H118" s="1795">
        <f ca="1">ROUND(IF(D32="总价",C32,I118*B118/10000),0)</f>
        <v>59</v>
      </c>
      <c r="I118" s="1795">
        <f ca="1">ROUND(IF(D32="楼面单价",C32,H118*10000/B118),0)</f>
        <v>19608</v>
      </c>
    </row>
    <row r="119" spans="1:11" ht="18.75" customHeight="1">
      <c r="A119" s="3048" t="s">
        <v>2308</v>
      </c>
      <c r="B119" s="3048"/>
      <c r="C119" s="3048"/>
      <c r="D119" s="3097" t="str">
        <f ca="1">NUMBERSTRING(INT(D118*10000),2)&amp;"元整"</f>
        <v>叁拾贰万元整</v>
      </c>
      <c r="E119" s="3098"/>
      <c r="F119" s="3097" t="str">
        <f ca="1">NUMBERSTRING(INT(F118*10000),2)&amp;"元整"</f>
        <v>贰拾柒万元整</v>
      </c>
      <c r="G119" s="3098"/>
      <c r="H119" s="3097" t="str">
        <f ca="1">NUMBERSTRING(INT(H118*10000),2)&amp;"元整"</f>
        <v>伍拾玖万元整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5" t="str">
        <f>IF(D120=0,"故，本次评估不存在"&amp;A120,"故，本次评估"&amp;A120&amp;"为人民币"&amp;D120&amp;"万元整。")</f>
        <v>故，本次评估不存在估价师知悉的法定优先受偿款</v>
      </c>
    </row>
    <row r="121" spans="1:11" ht="18.75" customHeight="1">
      <c r="A121" s="3138" t="s">
        <v>2308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59</v>
      </c>
      <c r="E122" s="3093"/>
      <c r="F122" s="3093"/>
      <c r="G122" s="3093"/>
      <c r="H122" s="3093"/>
      <c r="I122" s="3094"/>
    </row>
    <row r="123" spans="1:11" ht="18.75" customHeight="1">
      <c r="A123" s="3048" t="s">
        <v>2308</v>
      </c>
      <c r="B123" s="3048"/>
      <c r="C123" s="3048"/>
      <c r="D123" s="3097" t="str">
        <f ca="1">NUMBERSTRING(INT(D122*10000),2)&amp;"元整"</f>
        <v>伍拾玖万元整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48" t="s">
        <v>2308</v>
      </c>
      <c r="B125" s="3048"/>
      <c r="C125" s="3048"/>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48" t="s">
        <v>2308</v>
      </c>
      <c r="B127" s="3048"/>
      <c r="C127" s="3048"/>
      <c r="D127" s="3097" t="e">
        <f>NUMBERSTRING(INT(D126*10000),2)&amp;"元整"</f>
        <v>#VALUE!</v>
      </c>
      <c r="E127" s="3099"/>
      <c r="F127" s="3099"/>
      <c r="G127" s="3099"/>
      <c r="H127" s="3099"/>
      <c r="I127" s="3098"/>
    </row>
    <row r="128" spans="1:11" ht="21.75" customHeight="1">
      <c r="A128" s="3100" t="s">
        <v>2309</v>
      </c>
      <c r="B128" s="3100"/>
      <c r="C128" s="3100"/>
      <c r="D128" s="3100"/>
      <c r="E128" s="3100"/>
      <c r="F128" s="3100"/>
      <c r="G128" s="3100"/>
      <c r="H128" s="3100"/>
      <c r="I128" s="3100"/>
    </row>
    <row r="129" spans="1:35" ht="21.75" customHeight="1">
      <c r="A129" s="2529" t="s">
        <v>2310</v>
      </c>
      <c r="B129" s="2530"/>
      <c r="C129" s="2531" t="s">
        <v>2311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2312</v>
      </c>
      <c r="G135" s="2546"/>
      <c r="H135" s="2546"/>
      <c r="I135" s="2547" t="s">
        <v>2313</v>
      </c>
    </row>
    <row r="136" spans="1:35" ht="21.75" customHeight="1">
      <c r="A136" s="794"/>
      <c r="B136" s="254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2315</v>
      </c>
    </row>
    <row r="139" spans="1:35" ht="21.75" customHeight="1">
      <c r="A139" s="794"/>
      <c r="B139" s="2548" t="s">
        <v>2316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2315</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2" t="str">
        <f>项目基本情况!B1</f>
        <v>房地产抵押价值预评估</v>
      </c>
      <c r="C37" s="2982"/>
      <c r="D37" s="2982"/>
      <c r="E37" s="2982"/>
      <c r="F37" s="2982"/>
      <c r="G37" s="2982"/>
      <c r="H37" s="2982"/>
      <c r="I37" s="2982"/>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项目基本情况!K4</f>
        <v>（注册号：0)、（注册号：0)</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7"/>
      <c r="C1" s="242"/>
      <c r="D1" s="242"/>
      <c r="E1" s="242"/>
      <c r="F1" s="242"/>
      <c r="G1" s="1381">
        <f>MATCH(B1,'数据-取费表'!A6:A16,0)+5</f>
        <v>8</v>
      </c>
    </row>
    <row r="2" spans="1:9" s="244" customFormat="1" ht="18" customHeight="1">
      <c r="A2" s="245" t="s">
        <v>2318</v>
      </c>
      <c r="B2" s="246">
        <f ca="1">IF(D2="——",C52,C52-E2)</f>
        <v>28551</v>
      </c>
      <c r="C2" s="243" t="s">
        <v>2319</v>
      </c>
      <c r="D2" s="2551" t="s">
        <v>70</v>
      </c>
      <c r="E2" s="1442" t="e">
        <f ca="1">SUMIF(INDIRECT("'"&amp;G2&amp;"'"&amp;"!A:A"),"承租人权益价值",INDIRECT("'"&amp;G2&amp;"'"&amp;"!c:c"))</f>
        <v>#REF!</v>
      </c>
      <c r="F2" s="2552" t="s">
        <v>2319</v>
      </c>
      <c r="G2" s="2553"/>
    </row>
    <row r="3" spans="1:9" s="244" customFormat="1" ht="18" customHeight="1" thickBot="1">
      <c r="A3" s="247" t="s">
        <v>2320</v>
      </c>
      <c r="B3" s="248">
        <f ca="1">ROUND(B2*10000/(IF(B1="",'数据-汇总表'!E3,INDIRECT("'数据-取费表'!k"&amp;$G$1))),0)</f>
        <v>8311</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4213</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 ca="1">IF(G8="已包含在土地购买价格中","0",IF(B1="",'数据-取费表'!B29,IF(G9="全部缴纳",C9+C10,H9)))</f>
        <v>4213</v>
      </c>
      <c r="D8" s="266"/>
      <c r="E8" s="264"/>
      <c r="F8" s="265"/>
      <c r="G8" s="2554"/>
    </row>
    <row r="9" spans="1:9" s="258" customFormat="1" ht="13.5" customHeight="1">
      <c r="A9" s="952" t="s">
        <v>800</v>
      </c>
      <c r="B9" s="268" t="s">
        <v>2334</v>
      </c>
      <c r="C9" s="269">
        <f ca="1">ROUND(D9*E9/10000,0)</f>
        <v>0</v>
      </c>
      <c r="D9" s="1034">
        <f ca="1">IF(B1="",'数据-汇总表'!E5,IF(INDIRECT("'数据-取费表'!c"&amp;$G$1)="住宅",INDIRECT("'数据-取费表'!k"&amp;$G$1),0))</f>
        <v>0</v>
      </c>
      <c r="E9" s="269">
        <f>'数据-取费表'!B27</f>
        <v>140</v>
      </c>
      <c r="F9" s="265"/>
      <c r="G9" s="2555"/>
      <c r="H9" s="1392"/>
      <c r="I9" s="2556" t="s">
        <v>2335</v>
      </c>
    </row>
    <row r="10" spans="1:9" s="258" customFormat="1" ht="13.5" customHeight="1">
      <c r="A10" s="952" t="s">
        <v>801</v>
      </c>
      <c r="B10" s="268" t="s">
        <v>2336</v>
      </c>
      <c r="C10" s="269">
        <f ca="1">ROUND(D10*E10/10000,0)</f>
        <v>481</v>
      </c>
      <c r="D10" s="1034">
        <f ca="1">IF(B1="",'数据-汇总表'!E6,IF(INDIRECT("'数据-取费表'!c"&amp;$G$1)="住宅",INDIRECT("'数据-取费表'!s"&amp;$G$1),INDIRECT("'数据-取费表'!k"&amp;$G$1)+INDIRECT("'数据-取费表'!s"&amp;$G$1)))</f>
        <v>34353.799999999996</v>
      </c>
      <c r="E10" s="269">
        <f>'数据-取费表'!B28</f>
        <v>140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687</v>
      </c>
      <c r="D19" s="1038">
        <f ca="1">D9+D10</f>
        <v>34353.799999999996</v>
      </c>
      <c r="E19" s="255">
        <f>'数据-取费表'!B31</f>
        <v>200</v>
      </c>
      <c r="F19" s="275"/>
      <c r="G19" s="2554"/>
    </row>
    <row r="20" spans="1:7" s="258" customFormat="1" ht="13.5" customHeight="1">
      <c r="A20" s="299" t="s">
        <v>2349</v>
      </c>
      <c r="B20" s="254" t="s">
        <v>2350</v>
      </c>
      <c r="C20" s="276">
        <f ca="1">ROUND((C5+C19)*F20,0)</f>
        <v>147</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6">
        <f ca="1">ROUND(SUM(C23:C25),0)</f>
        <v>612</v>
      </c>
      <c r="D22" s="279">
        <f ca="1">C26</f>
        <v>1.8E-3</v>
      </c>
      <c r="E22" s="280" t="s">
        <v>2354</v>
      </c>
      <c r="F22" s="281">
        <f ca="1">'数据-取费表'!B40</f>
        <v>4.7500000000000001E-2</v>
      </c>
      <c r="G22" s="278" t="str">
        <f>IF('数据-取费表'!B22&lt;=1,"单利计息","复利计息")</f>
        <v>复利计息</v>
      </c>
    </row>
    <row r="23" spans="1:7" s="258" customFormat="1" ht="13.5" customHeight="1">
      <c r="A23" s="953" t="s">
        <v>2358</v>
      </c>
      <c r="B23" s="259" t="s">
        <v>2359</v>
      </c>
      <c r="C23" s="1357">
        <f ca="1">ROUND(IF('数据-取费表'!B22&lt;=1,C5*F22*'数据-取费表'!B23,C5*(POWER((1+F22),'数据-取费表'!B23)-1)),0)</f>
        <v>518</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85</v>
      </c>
      <c r="D24" s="282"/>
      <c r="E24" s="282"/>
      <c r="F24" s="283"/>
      <c r="G24" s="284" t="s">
        <v>2363</v>
      </c>
    </row>
    <row r="25" spans="1:7" s="258" customFormat="1" ht="24">
      <c r="A25" s="953" t="s">
        <v>2364</v>
      </c>
      <c r="B25" s="259" t="s">
        <v>2365</v>
      </c>
      <c r="C25" s="1357">
        <f ca="1">ROUND(IF('数据-取费表'!B22&lt;=1,C20*F22*'数据-取费表'!B23/2,C20*(POWER((1+F22),'数据-取费表'!B23/2)-1)),0)</f>
        <v>9</v>
      </c>
      <c r="D25" s="282"/>
      <c r="E25" s="285"/>
      <c r="F25" s="283"/>
      <c r="G25" s="286" t="s">
        <v>2366</v>
      </c>
    </row>
    <row r="26" spans="1:7" s="258" customFormat="1">
      <c r="A26" s="953"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1009</v>
      </c>
      <c r="D27" s="279">
        <f ca="1">C29</f>
        <v>6.0000000000000001E-3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ROUND((C5+C19+C20)*F27*'数据-取费表'!B21/'数据-取费表'!B20,0)</f>
        <v>1009</v>
      </c>
      <c r="D28" s="279"/>
      <c r="E28" s="280"/>
      <c r="F28" s="290"/>
      <c r="G28" s="291"/>
    </row>
    <row r="29" spans="1:7" s="258" customFormat="1" ht="13.5" customHeight="1">
      <c r="A29" s="953"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7336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15321</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13741</v>
      </c>
      <c r="D34" s="261"/>
      <c r="E34" s="264"/>
      <c r="F34" s="301">
        <f ca="1">IF('数据-取费表'!B24=0,1,IF(B1="",'数据-取费表'!N16,INDIRECT("'数据-取费表'!n"&amp;$G$1)))</f>
        <v>1</v>
      </c>
      <c r="G34" s="263" t="s">
        <v>2382</v>
      </c>
    </row>
    <row r="35" spans="1:7" ht="13.5" customHeight="1">
      <c r="A35" s="953" t="s">
        <v>796</v>
      </c>
      <c r="B35" s="259" t="s">
        <v>2383</v>
      </c>
      <c r="C35" s="264">
        <f ca="1">ROUND(C34*F35,0)</f>
        <v>687</v>
      </c>
      <c r="D35" s="264"/>
      <c r="E35" s="264"/>
      <c r="F35" s="303">
        <f>'数据-取费表'!B33</f>
        <v>0.05</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687</v>
      </c>
      <c r="D37" s="261">
        <f ca="1">D19</f>
        <v>34353.799999999996</v>
      </c>
      <c r="E37" s="293">
        <f>'数据-取费表'!B35</f>
        <v>200</v>
      </c>
      <c r="F37" s="303"/>
      <c r="G37" s="305" t="s">
        <v>2388</v>
      </c>
    </row>
    <row r="38" spans="1:7" ht="13.5" customHeight="1">
      <c r="A38" s="953" t="s">
        <v>799</v>
      </c>
      <c r="B38" s="259" t="s">
        <v>2389</v>
      </c>
      <c r="C38" s="264">
        <f ca="1">ROUND(C34*F38,0)</f>
        <v>206</v>
      </c>
      <c r="D38" s="264"/>
      <c r="E38" s="264"/>
      <c r="F38" s="303">
        <f>'数据-取费表'!B36</f>
        <v>1.4999999999999999E-2</v>
      </c>
      <c r="G38" s="263" t="s">
        <v>2384</v>
      </c>
    </row>
    <row r="39" spans="1:7" s="258" customFormat="1" ht="13.5" customHeight="1">
      <c r="A39" s="299" t="s">
        <v>2390</v>
      </c>
      <c r="B39" s="254" t="s">
        <v>2391</v>
      </c>
      <c r="C39" s="276">
        <f ca="1">ROUND(C33*F20,0)</f>
        <v>460</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942</v>
      </c>
      <c r="D41" s="279">
        <f ca="1">C44</f>
        <v>1.8E-3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ROUND(IF('数据-取费表'!B22&lt;=1,C33*F22*'数据-取费表'!B21/2,C33*(POWER((1+F22),'数据-取费表'!B21/2)-1)),0)</f>
        <v>915</v>
      </c>
      <c r="D42" s="282"/>
      <c r="E42" s="282"/>
      <c r="F42" s="283"/>
      <c r="G42" s="3172" t="s">
        <v>2400</v>
      </c>
    </row>
    <row r="43" spans="1:7" ht="13.5" customHeight="1">
      <c r="A43" s="953" t="s">
        <v>792</v>
      </c>
      <c r="B43" s="259" t="s">
        <v>2401</v>
      </c>
      <c r="C43" s="282">
        <f ca="1">ROUND(IF('数据-取费表'!B22&lt;=1,C39*F22*'数据-取费表'!B21/2,C39*(POWER((1+F22),'数据-取费表'!B21/2)-1)),0)</f>
        <v>27</v>
      </c>
      <c r="D43" s="282"/>
      <c r="E43" s="282"/>
      <c r="F43" s="283"/>
      <c r="G43" s="3173"/>
    </row>
    <row r="44" spans="1:7" ht="13.5" customHeight="1">
      <c r="A44" s="953" t="s">
        <v>793</v>
      </c>
      <c r="B44" s="259" t="s">
        <v>2402</v>
      </c>
      <c r="C44" s="282">
        <f ca="1">ROUND(IF('数据-取费表'!B22&lt;=1,C40*F22*'数据-取费表'!B21/2,C40*(POWER((1+F22),'数据-取费表'!B21/2)-1)),4)</f>
        <v>1.8E-3</v>
      </c>
      <c r="D44" s="282"/>
      <c r="E44" s="282"/>
      <c r="F44" s="283"/>
      <c r="G44" s="3174"/>
    </row>
    <row r="45" spans="1:7" s="258" customFormat="1" ht="13.5" customHeight="1">
      <c r="A45" s="299" t="s">
        <v>2403</v>
      </c>
      <c r="B45" s="288" t="s">
        <v>2369</v>
      </c>
      <c r="C45" s="289">
        <f ca="1">C46</f>
        <v>3156</v>
      </c>
      <c r="D45" s="279">
        <f ca="1">C47</f>
        <v>6.0000000000000001E-3</v>
      </c>
      <c r="E45" s="280" t="s">
        <v>2395</v>
      </c>
      <c r="F45" s="290"/>
      <c r="G45" s="291" t="s">
        <v>2404</v>
      </c>
    </row>
    <row r="46" spans="1:7" s="258" customFormat="1" ht="13.5" customHeight="1">
      <c r="A46" s="953" t="s">
        <v>791</v>
      </c>
      <c r="B46" s="292" t="s">
        <v>2405</v>
      </c>
      <c r="C46" s="293">
        <f ca="1">ROUND((C33+C39)*F27,0)</f>
        <v>3156</v>
      </c>
      <c r="D46" s="307"/>
      <c r="E46" s="280"/>
      <c r="F46" s="290"/>
      <c r="G46" s="291"/>
    </row>
    <row r="47" spans="1:7" s="258" customFormat="1" ht="13.5" customHeight="1">
      <c r="A47" s="953" t="s">
        <v>792</v>
      </c>
      <c r="B47" s="292" t="s">
        <v>2406</v>
      </c>
      <c r="C47" s="282">
        <f ca="1">ROUND(C40*F27,4)</f>
        <v>6.0000000000000001E-3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21871</v>
      </c>
      <c r="D49" s="276"/>
      <c r="E49" s="276"/>
      <c r="F49" s="308"/>
      <c r="G49" s="278" t="s">
        <v>2410</v>
      </c>
    </row>
    <row r="50" spans="1:7" s="302" customFormat="1" ht="24">
      <c r="A50" s="299" t="s">
        <v>2411</v>
      </c>
      <c r="B50" s="254" t="s">
        <v>2412</v>
      </c>
      <c r="C50" s="276"/>
      <c r="D50" s="276"/>
      <c r="E50" s="276"/>
      <c r="F50" s="308">
        <f>IF('数据-取费表'!B24=0,'数据-取费表'!N16,1)</f>
        <v>0.97</v>
      </c>
      <c r="G50" s="291" t="s">
        <v>2413</v>
      </c>
    </row>
    <row r="51" spans="1:7" ht="16.5" customHeight="1">
      <c r="A51" s="299" t="s">
        <v>2414</v>
      </c>
      <c r="B51" s="254" t="s">
        <v>2415</v>
      </c>
      <c r="C51" s="276">
        <f ca="1">ROUND(C49*F50,0)</f>
        <v>21215</v>
      </c>
      <c r="D51" s="276"/>
      <c r="E51" s="276"/>
      <c r="F51" s="308"/>
      <c r="G51" s="278" t="s">
        <v>2416</v>
      </c>
    </row>
    <row r="52" spans="1:7" s="252" customFormat="1" ht="16.5" thickBot="1">
      <c r="A52" s="309" t="s">
        <v>2417</v>
      </c>
      <c r="B52" s="310"/>
      <c r="C52" s="311">
        <f ca="1">C31+C51</f>
        <v>28551</v>
      </c>
      <c r="D52" s="310"/>
      <c r="E52" s="310"/>
      <c r="F52" s="310"/>
      <c r="G52" s="312"/>
    </row>
    <row r="55" spans="1:7" ht="15">
      <c r="B55" s="314" t="s">
        <v>2418</v>
      </c>
      <c r="C55" s="315"/>
    </row>
    <row r="56" spans="1:7">
      <c r="B56" s="317" t="s">
        <v>1513</v>
      </c>
      <c r="C56" s="319">
        <f ca="1">1-C57</f>
        <v>0.25700000000000001</v>
      </c>
    </row>
    <row r="57" spans="1:7">
      <c r="B57" s="317" t="s">
        <v>1514</v>
      </c>
      <c r="C57" s="318">
        <f ca="1">ROUND(C51/C52,3)</f>
        <v>0.74299999999999999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7">
        <v>101</v>
      </c>
      <c r="C1" s="2557" t="s">
        <v>2419</v>
      </c>
      <c r="D1" s="242"/>
      <c r="E1" s="242"/>
      <c r="F1" s="242"/>
      <c r="G1" s="1381">
        <f>MATCH(B1,'数据-取费表'!A6:A16,0)+5</f>
        <v>6</v>
      </c>
      <c r="H1" s="1284" t="str">
        <f>IF(ISERROR(FIND("住宅",B1)),"非住宅","住宅")</f>
        <v>非住宅</v>
      </c>
    </row>
    <row r="2" spans="1:8" s="244" customFormat="1" ht="18" customHeight="1">
      <c r="A2" s="245" t="s">
        <v>2318</v>
      </c>
      <c r="B2" s="246">
        <f ca="1">ROUND(IF(D2="——",C52/10000,C52/10000-E2),0)</f>
        <v>40</v>
      </c>
      <c r="C2" s="243" t="s">
        <v>2319</v>
      </c>
      <c r="D2" s="2551" t="s">
        <v>70</v>
      </c>
      <c r="E2" s="1442" t="e">
        <f ca="1">SUMIF(INDIRECT("'"&amp;G2&amp;"'"&amp;"!A:A"),"承租人权益价值",INDIRECT("'"&amp;G2&amp;"'"&amp;"!c:c"))</f>
        <v>#REF!</v>
      </c>
      <c r="F2" s="2552" t="s">
        <v>2319</v>
      </c>
      <c r="G2" s="2553"/>
    </row>
    <row r="3" spans="1:8" s="244" customFormat="1" ht="18" customHeight="1" thickBot="1">
      <c r="A3" s="247" t="s">
        <v>2320</v>
      </c>
      <c r="B3" s="248">
        <f ca="1">ROUND(B2*10000/(IF(B1="",'数据-汇总表'!E3,INDIRECT("'数据-取费表'!k"&amp;$G$1))),0)</f>
        <v>13293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145143.04999999999</v>
      </c>
      <c r="D5" s="255" t="s">
        <v>2325</v>
      </c>
      <c r="E5" s="256" t="s">
        <v>2326</v>
      </c>
      <c r="F5" s="256" t="s">
        <v>2327</v>
      </c>
      <c r="G5" s="257"/>
    </row>
    <row r="6" spans="1:8" s="258" customFormat="1" ht="13.5" customHeight="1">
      <c r="A6" s="951" t="s">
        <v>2328</v>
      </c>
      <c r="B6" s="259" t="s">
        <v>2329</v>
      </c>
      <c r="C6" s="260">
        <f>'土地比较法-住宅、综合'!C48*'土地比较法-住宅、综合'!D3</f>
        <v>136759.04999999999</v>
      </c>
      <c r="D6" s="261"/>
      <c r="E6" s="262"/>
      <c r="F6" s="262"/>
      <c r="G6" s="263"/>
    </row>
    <row r="7" spans="1:8" s="258" customFormat="1" ht="13.5" customHeight="1">
      <c r="A7" s="951" t="s">
        <v>2330</v>
      </c>
      <c r="B7" s="259" t="s">
        <v>2331</v>
      </c>
      <c r="C7" s="264">
        <f>ROUND(C6*F7,0)</f>
        <v>4171</v>
      </c>
      <c r="D7" s="264"/>
      <c r="E7" s="262"/>
      <c r="F7" s="265">
        <f>'数据-取费表'!B48+'数据-取费表'!B49</f>
        <v>3.0499999999999999E-2</v>
      </c>
      <c r="G7" s="263"/>
    </row>
    <row r="8" spans="1:8" s="267" customFormat="1">
      <c r="A8" s="951" t="s">
        <v>2332</v>
      </c>
      <c r="B8" s="259" t="s">
        <v>2333</v>
      </c>
      <c r="C8" s="264">
        <f ca="1">IF(G8="已包含在土地购买价格中",0,C9+C10)</f>
        <v>4213</v>
      </c>
      <c r="D8" s="266"/>
      <c r="E8" s="264"/>
      <c r="F8" s="265"/>
      <c r="G8" s="2554" t="s">
        <v>3351</v>
      </c>
    </row>
    <row r="9" spans="1:8" s="258" customFormat="1" ht="13.5" customHeight="1">
      <c r="A9" s="952" t="s">
        <v>800</v>
      </c>
      <c r="B9" s="268" t="s">
        <v>2334</v>
      </c>
      <c r="C9" s="269">
        <f ca="1">ROUND(D9*E9,0)</f>
        <v>0</v>
      </c>
      <c r="D9" s="1034">
        <f ca="1">IF(B1="",'数据-汇总表'!E5,IF(INDIRECT("'数据-取费表'!c"&amp;$G$1)="住宅",INDIRECT("'数据-取费表'!k"&amp;$G$1),0))</f>
        <v>0</v>
      </c>
      <c r="E9" s="269">
        <f>'数据-取费表'!B27</f>
        <v>140</v>
      </c>
      <c r="F9" s="265"/>
      <c r="G9" s="270"/>
    </row>
    <row r="10" spans="1:8" s="258" customFormat="1" ht="13.5" customHeight="1">
      <c r="A10" s="952" t="s">
        <v>801</v>
      </c>
      <c r="B10" s="268" t="s">
        <v>2336</v>
      </c>
      <c r="C10" s="269">
        <f ca="1">ROUND(D10*E10,0)</f>
        <v>4213</v>
      </c>
      <c r="D10" s="1034">
        <f ca="1">IF(B1="",'数据-汇总表'!E6,IF(INDIRECT("'数据-取费表'!c"&amp;$G$1)="住宅",INDIRECT("'数据-取费表'!s"&amp;$G$1),INDIRECT("'数据-取费表'!k"&amp;$G$1)+INDIRECT("'数据-取费表'!s"&amp;$G$1)))</f>
        <v>30.09</v>
      </c>
      <c r="E10" s="269">
        <f>'数据-取费表'!B28</f>
        <v>140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t="str">
        <f>IF(G19="已包含在土地取得成本中","0",ROUND(D19*E19,0))</f>
        <v>0</v>
      </c>
      <c r="D19" s="1038">
        <f ca="1">D9+D10</f>
        <v>30.09</v>
      </c>
      <c r="E19" s="255">
        <f>'数据-取费表'!B31</f>
        <v>200</v>
      </c>
      <c r="F19" s="275"/>
      <c r="G19" s="2554" t="s">
        <v>3352</v>
      </c>
    </row>
    <row r="20" spans="1:7" s="258" customFormat="1" ht="13.5" customHeight="1">
      <c r="A20" s="299" t="s">
        <v>2430</v>
      </c>
      <c r="B20" s="254" t="s">
        <v>2431</v>
      </c>
      <c r="C20" s="276">
        <f ca="1">ROUND((C5+C19)*F20,0)</f>
        <v>4354</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2">
        <f ca="1">ROUND(SUM(C23:C25),0)</f>
        <v>18115</v>
      </c>
      <c r="D22" s="279">
        <f ca="1">C26</f>
        <v>1.8E-3</v>
      </c>
      <c r="E22" s="280" t="s">
        <v>2435</v>
      </c>
      <c r="F22" s="281">
        <f ca="1">'数据-取费表'!B40</f>
        <v>4.7500000000000001E-2</v>
      </c>
      <c r="G22" s="278" t="str">
        <f>IF('数据-取费表'!B22&lt;=1,"单利计息","复利计息")</f>
        <v>复利计息</v>
      </c>
    </row>
    <row r="23" spans="1:7" s="258" customFormat="1" ht="13.5" customHeight="1">
      <c r="A23" s="953" t="s">
        <v>2328</v>
      </c>
      <c r="B23" s="259" t="s">
        <v>2439</v>
      </c>
      <c r="C23" s="1383">
        <f ca="1">ROUND(IF('数据-取费表'!B22&lt;=1,C5*F22*'数据-取费表'!B22,C5*(POWER((1+F22),'数据-取费表'!B22)-1)),0)</f>
        <v>17855</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0</v>
      </c>
      <c r="D24" s="282"/>
      <c r="E24" s="282"/>
      <c r="F24" s="283"/>
      <c r="G24" s="284" t="s">
        <v>2442</v>
      </c>
    </row>
    <row r="25" spans="1:7" s="258" customFormat="1" ht="24">
      <c r="A25" s="953" t="s">
        <v>2332</v>
      </c>
      <c r="B25" s="259" t="s">
        <v>2443</v>
      </c>
      <c r="C25" s="1383">
        <f ca="1">ROUND(IF('数据-取费表'!B22&lt;=1,C20*F22*'数据-取费表'!B22/2,C20*(POWER((1+F22),'数据-取费表'!B22/2)-1)),0)</f>
        <v>260</v>
      </c>
      <c r="D25" s="282"/>
      <c r="E25" s="285"/>
      <c r="F25" s="283"/>
      <c r="G25" s="286" t="s">
        <v>2444</v>
      </c>
    </row>
    <row r="26" spans="1:7" s="258" customFormat="1">
      <c r="A26" s="953"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29899</v>
      </c>
      <c r="D27" s="279">
        <f ca="1">C29</f>
        <v>6.0000000000000001E-3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ROUND((C5+C19+C20)*F27,0)</f>
        <v>29899</v>
      </c>
      <c r="D28" s="279"/>
      <c r="E28" s="280"/>
      <c r="F28" s="290"/>
      <c r="G28" s="291"/>
    </row>
    <row r="29" spans="1:7" s="258" customFormat="1" ht="13.5" customHeight="1">
      <c r="A29" s="953"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217308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134201</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120360</v>
      </c>
      <c r="D34" s="261"/>
      <c r="E34" s="264"/>
      <c r="F34" s="301"/>
      <c r="G34" s="263"/>
    </row>
    <row r="35" spans="1:7" ht="13.5" customHeight="1">
      <c r="A35" s="953" t="s">
        <v>796</v>
      </c>
      <c r="B35" s="259" t="s">
        <v>2383</v>
      </c>
      <c r="C35" s="264">
        <f ca="1">ROUND(C34*F35,0)</f>
        <v>6018</v>
      </c>
      <c r="D35" s="264"/>
      <c r="E35" s="264"/>
      <c r="F35" s="303">
        <f>'数据-取费表'!B33</f>
        <v>0.05</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6018</v>
      </c>
      <c r="D37" s="261">
        <f ca="1">D19</f>
        <v>30.09</v>
      </c>
      <c r="E37" s="293">
        <f>'数据-取费表'!B35</f>
        <v>200</v>
      </c>
      <c r="F37" s="303"/>
      <c r="G37" s="305"/>
    </row>
    <row r="38" spans="1:7" ht="13.5" customHeight="1">
      <c r="A38" s="953" t="s">
        <v>799</v>
      </c>
      <c r="B38" s="259" t="s">
        <v>2389</v>
      </c>
      <c r="C38" s="264">
        <f ca="1">ROUND(C34*F38,0)</f>
        <v>1805</v>
      </c>
      <c r="D38" s="264"/>
      <c r="E38" s="264"/>
      <c r="F38" s="303">
        <f>'数据-取费表'!B36</f>
        <v>1.4999999999999999E-2</v>
      </c>
      <c r="G38" s="263" t="s">
        <v>2384</v>
      </c>
    </row>
    <row r="39" spans="1:7" s="258" customFormat="1" ht="13.5" customHeight="1">
      <c r="A39" s="299" t="s">
        <v>2390</v>
      </c>
      <c r="B39" s="254" t="s">
        <v>2391</v>
      </c>
      <c r="C39" s="276">
        <f ca="1">ROUND(C33*F20,0)</f>
        <v>4026</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8255</v>
      </c>
      <c r="D41" s="279">
        <f ca="1">C44</f>
        <v>1.8E-3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ROUND(IF('数据-取费表'!B22&lt;=1,C33*F22*'数据-取费表'!B20/2,C33*(POWER((1+F22),'数据-取费表'!B20/2)-1)),0)</f>
        <v>8015</v>
      </c>
      <c r="D42" s="282"/>
      <c r="E42" s="282"/>
      <c r="F42" s="283"/>
      <c r="G42" s="3172" t="s">
        <v>2447</v>
      </c>
    </row>
    <row r="43" spans="1:7" ht="13.5" customHeight="1">
      <c r="A43" s="953" t="s">
        <v>792</v>
      </c>
      <c r="B43" s="259" t="s">
        <v>2401</v>
      </c>
      <c r="C43" s="282">
        <f ca="1">ROUND(IF('数据-取费表'!B22&lt;=1,C39*F22*'数据-取费表'!B20/2,C39*(POWER((1+F22),'数据-取费表'!B20/2)-1)),0)</f>
        <v>240</v>
      </c>
      <c r="D43" s="282"/>
      <c r="E43" s="282"/>
      <c r="F43" s="283"/>
      <c r="G43" s="3173"/>
    </row>
    <row r="44" spans="1:7" ht="13.5" customHeight="1">
      <c r="A44" s="953" t="s">
        <v>793</v>
      </c>
      <c r="B44" s="259" t="s">
        <v>2402</v>
      </c>
      <c r="C44" s="282">
        <f ca="1">ROUND(IF('数据-取费表'!B22&lt;=1,C40*F22*'数据-取费表'!B20/2,C40*(POWER((1+F22),'数据-取费表'!B20/2)-1)),4)</f>
        <v>1.8E-3</v>
      </c>
      <c r="D44" s="282"/>
      <c r="E44" s="282"/>
      <c r="F44" s="283"/>
      <c r="G44" s="3174"/>
    </row>
    <row r="45" spans="1:7" s="258" customFormat="1" ht="13.5" customHeight="1">
      <c r="A45" s="299" t="s">
        <v>2403</v>
      </c>
      <c r="B45" s="288" t="s">
        <v>2369</v>
      </c>
      <c r="C45" s="289">
        <f ca="1">C46</f>
        <v>27645</v>
      </c>
      <c r="D45" s="279">
        <f ca="1">C47</f>
        <v>6.0000000000000001E-3</v>
      </c>
      <c r="E45" s="280" t="s">
        <v>2395</v>
      </c>
      <c r="F45" s="290"/>
      <c r="G45" s="291" t="s">
        <v>2404</v>
      </c>
    </row>
    <row r="46" spans="1:7" s="258" customFormat="1" ht="13.5" customHeight="1">
      <c r="A46" s="953" t="s">
        <v>791</v>
      </c>
      <c r="B46" s="292" t="s">
        <v>2405</v>
      </c>
      <c r="C46" s="293">
        <f ca="1">ROUND((C33+C39)*F27,0)</f>
        <v>27645</v>
      </c>
      <c r="D46" s="307"/>
      <c r="E46" s="280"/>
      <c r="F46" s="290"/>
      <c r="G46" s="291"/>
    </row>
    <row r="47" spans="1:7" s="258" customFormat="1" ht="13.5" customHeight="1">
      <c r="A47" s="953"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191580</v>
      </c>
      <c r="D49" s="276"/>
      <c r="E49" s="276"/>
      <c r="F49" s="308"/>
      <c r="G49" s="278" t="s">
        <v>2410</v>
      </c>
    </row>
    <row r="50" spans="1:7" s="302" customFormat="1">
      <c r="A50" s="299" t="s">
        <v>2411</v>
      </c>
      <c r="B50" s="254" t="s">
        <v>2412</v>
      </c>
      <c r="C50" s="276"/>
      <c r="D50" s="276"/>
      <c r="E50" s="276"/>
      <c r="F50" s="308">
        <f>IF('数据-取费表'!B24=0,'数据-取费表'!N16,1)</f>
        <v>0.97</v>
      </c>
      <c r="G50" s="291"/>
    </row>
    <row r="51" spans="1:7" ht="16.5" customHeight="1">
      <c r="A51" s="299" t="s">
        <v>2414</v>
      </c>
      <c r="B51" s="254" t="s">
        <v>2449</v>
      </c>
      <c r="C51" s="276">
        <f ca="1">ROUND(C49*F50,0)</f>
        <v>185833</v>
      </c>
      <c r="D51" s="276"/>
      <c r="E51" s="276"/>
      <c r="F51" s="308"/>
      <c r="G51" s="278" t="s">
        <v>2416</v>
      </c>
    </row>
    <row r="52" spans="1:7" s="252" customFormat="1" ht="16.5" thickBot="1">
      <c r="A52" s="309" t="s">
        <v>2417</v>
      </c>
      <c r="B52" s="310"/>
      <c r="C52" s="311">
        <f ca="1">C31+C51</f>
        <v>403141</v>
      </c>
      <c r="D52" s="310"/>
      <c r="E52" s="310"/>
      <c r="F52" s="310"/>
      <c r="G52" s="312"/>
    </row>
    <row r="55" spans="1:7" ht="15">
      <c r="B55" s="314" t="s">
        <v>2418</v>
      </c>
      <c r="C55" s="315"/>
    </row>
    <row r="56" spans="1:7">
      <c r="B56" s="317" t="s">
        <v>1513</v>
      </c>
      <c r="C56" s="319">
        <f ca="1">1-C57</f>
        <v>0.53899999999999992</v>
      </c>
    </row>
    <row r="57" spans="1:7">
      <c r="B57" s="317" t="s">
        <v>1514</v>
      </c>
      <c r="C57" s="318">
        <f ca="1">ROUND(C51/C52,3)</f>
        <v>0.46100000000000002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2"/>
      <c r="C1" s="1583"/>
      <c r="D1" s="1581"/>
      <c r="E1" s="320"/>
      <c r="F1" s="320"/>
      <c r="G1" s="1582"/>
      <c r="H1" s="320"/>
      <c r="I1" s="320"/>
      <c r="J1" s="320"/>
      <c r="K1" s="320">
        <f>MATCH(C1,'数据-取费表'!A6:A16,0)+5</f>
        <v>8</v>
      </c>
    </row>
    <row r="2" spans="1:33" ht="18" customHeight="1">
      <c r="A2" s="245" t="s">
        <v>2318</v>
      </c>
      <c r="B2" s="248">
        <f ca="1">C32</f>
        <v>4483</v>
      </c>
      <c r="C2" s="320" t="s">
        <v>2451</v>
      </c>
      <c r="D2" s="320"/>
      <c r="E2" s="320"/>
      <c r="F2" s="320"/>
      <c r="G2" s="320"/>
      <c r="H2" s="320"/>
      <c r="I2" s="320"/>
      <c r="J2" s="320"/>
      <c r="K2" s="320"/>
    </row>
    <row r="3" spans="1:33" ht="18" customHeight="1" thickBot="1">
      <c r="A3" s="247" t="s">
        <v>2320</v>
      </c>
      <c r="B3" s="248">
        <f ca="1">ROUND(B2*10000/IF(C1="",'数据-汇总表'!E3,INDIRECT("'数据-取费表'!K"&amp;$K$1)),0)</f>
        <v>1305</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8" t="s">
        <v>2456</v>
      </c>
      <c r="D5" s="2558" t="s">
        <v>2457</v>
      </c>
      <c r="E5" s="2558" t="s">
        <v>2458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0.05</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34353.799999999996</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34353.799999999996</v>
      </c>
      <c r="E17" s="24">
        <f>'数据-取费表'!B32</f>
        <v>0</v>
      </c>
      <c r="F17" s="980"/>
      <c r="G17" s="140" t="s">
        <v>2482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-3732</v>
      </c>
      <c r="D18" s="1035"/>
      <c r="E18" s="24"/>
      <c r="F18" s="978"/>
      <c r="G18" s="2560"/>
      <c r="H18" s="1578"/>
      <c r="I18" s="2561"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140</v>
      </c>
      <c r="F19" s="978"/>
      <c r="G19" s="15"/>
      <c r="H19" s="1580"/>
      <c r="I19" s="983"/>
      <c r="J19" s="983"/>
      <c r="K19" s="984"/>
    </row>
    <row r="20" spans="1:33" s="977" customFormat="1" ht="13.5" customHeight="1">
      <c r="A20" s="973" t="s">
        <v>806</v>
      </c>
      <c r="B20" s="974" t="s">
        <v>2486</v>
      </c>
      <c r="C20" s="24">
        <f ca="1">ROUND(D20*E20/10000,0)</f>
        <v>481</v>
      </c>
      <c r="D20" s="1035">
        <f ca="1">IF(C1="",'数据-汇总表'!E6,IF(INDIRECT("'数据-取费表'!c"&amp;$K$1)="住宅",INDIRECT("'数据-取费表'!s"&amp;$K$1),INDIRECT("'数据-取费表'!k"&amp;$K$1)+INDIRECT("'数据-取费表'!s"&amp;$K$1)))</f>
        <v>34353.799999999996</v>
      </c>
      <c r="E20" s="24">
        <f>'数据-取费表'!B28</f>
        <v>140</v>
      </c>
      <c r="F20" s="978"/>
      <c r="G20" s="15"/>
      <c r="H20" s="983"/>
      <c r="I20" s="983"/>
      <c r="J20" s="983"/>
      <c r="K20" s="984"/>
    </row>
    <row r="21" spans="1:33" s="977" customFormat="1" ht="13.5" customHeight="1">
      <c r="A21" s="963" t="s">
        <v>802</v>
      </c>
      <c r="B21" s="987" t="s">
        <v>2487</v>
      </c>
      <c r="C21" s="988">
        <f ca="1">C16+C17+C18</f>
        <v>-3732</v>
      </c>
      <c r="D21" s="989"/>
      <c r="E21" s="325"/>
      <c r="F21" s="325"/>
      <c r="G21" s="140" t="s">
        <v>2488</v>
      </c>
      <c r="H21" s="981"/>
      <c r="I21" s="981"/>
      <c r="J21" s="981"/>
      <c r="K21" s="982"/>
    </row>
    <row r="22" spans="1:33" s="977" customFormat="1" ht="13.5" customHeight="1">
      <c r="A22" s="963" t="s">
        <v>2460</v>
      </c>
      <c r="B22" s="987" t="s">
        <v>2489</v>
      </c>
      <c r="C22" s="988">
        <f ca="1">ROUND(C21*F22,0)</f>
        <v>-112</v>
      </c>
      <c r="D22" s="325"/>
      <c r="E22" s="325"/>
      <c r="F22" s="990">
        <f>'数据-取费表'!B37</f>
        <v>0.03</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0.03</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2500</v>
      </c>
      <c r="B28" s="2563" t="s">
        <v>2501</v>
      </c>
      <c r="C28" s="331">
        <f ca="1">C30</f>
        <v>-769</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-769</v>
      </c>
      <c r="D30" s="328"/>
      <c r="E30" s="329"/>
      <c r="F30" s="334"/>
      <c r="G30" s="140"/>
      <c r="H30" s="981"/>
      <c r="I30" s="981"/>
      <c r="J30" s="981"/>
      <c r="K30" s="982"/>
    </row>
    <row r="31" spans="1:33" s="977" customFormat="1" ht="13.5" customHeight="1" thickBot="1">
      <c r="A31" s="2564"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4483</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c r="D1" s="1820"/>
      <c r="E1" s="1821" t="s">
        <v>1387</v>
      </c>
      <c r="F1" s="1285" t="b">
        <f>J53</f>
        <v>0</v>
      </c>
      <c r="G1" s="1836">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0</v>
      </c>
      <c r="D5" s="1822" t="s">
        <v>1402</v>
      </c>
      <c r="E5" s="1295"/>
      <c r="F5" s="1296"/>
      <c r="G5" s="1851"/>
      <c r="H5" s="344">
        <v>1</v>
      </c>
      <c r="I5" s="345" t="s">
        <v>1401</v>
      </c>
      <c r="J5" s="1294">
        <f ca="1">J6+J10+J12</f>
        <v>0</v>
      </c>
      <c r="K5" s="1822" t="s">
        <v>1402</v>
      </c>
      <c r="L5" s="1295"/>
      <c r="M5" s="1296"/>
    </row>
    <row r="6" spans="1:37" ht="18" customHeight="1">
      <c r="A6" s="1293" t="s">
        <v>1035</v>
      </c>
      <c r="B6" s="3177" t="s">
        <v>1403</v>
      </c>
      <c r="C6" s="1298">
        <f ca="1">ROUND(F6*F8*F7*(1-F9)/10000,0)</f>
        <v>0</v>
      </c>
      <c r="D6" s="164" t="s">
        <v>3023</v>
      </c>
      <c r="E6" s="347" t="s">
        <v>1405</v>
      </c>
      <c r="F6" s="348">
        <f ca="1">INDIRECT("'数据-取费表'!u"&amp;$G$1)</f>
        <v>0</v>
      </c>
      <c r="G6" s="1851"/>
      <c r="H6" s="1293" t="s">
        <v>1035</v>
      </c>
      <c r="I6" s="3177" t="s">
        <v>1403</v>
      </c>
      <c r="J6" s="346">
        <f ca="1">ROUND(M6*M8*M7*(1-M9)/10000,0)</f>
        <v>0</v>
      </c>
      <c r="K6" s="164" t="s">
        <v>3022</v>
      </c>
      <c r="L6" s="347" t="s">
        <v>1405</v>
      </c>
      <c r="M6" s="348">
        <f ca="1">INDIRECT("'数据-取费表'!z"&amp;$G$1)</f>
        <v>0</v>
      </c>
    </row>
    <row r="7" spans="1:37" ht="18" customHeight="1">
      <c r="A7" s="1297"/>
      <c r="B7" s="3178"/>
      <c r="C7" s="1299"/>
      <c r="D7" s="352"/>
      <c r="E7" s="1300" t="s">
        <v>1406</v>
      </c>
      <c r="F7" s="348">
        <f ca="1">IF(INDIRECT("'数据-取费表'!ah"&amp;$G$1)="",INDIRECT("'数据-取费表'!k"&amp;$G$1),INDIRECT("'数据-取费表'!ah"&amp;$G$1))</f>
        <v>0</v>
      </c>
      <c r="G7" s="1851"/>
      <c r="H7" s="349"/>
      <c r="I7" s="3178"/>
      <c r="J7" s="351"/>
      <c r="K7" s="352"/>
      <c r="L7" s="347" t="s">
        <v>1406</v>
      </c>
      <c r="M7" s="348">
        <f ca="1">F7</f>
        <v>0</v>
      </c>
    </row>
    <row r="8" spans="1:37" ht="18" customHeight="1">
      <c r="A8" s="349"/>
      <c r="B8" s="3178"/>
      <c r="C8" s="351"/>
      <c r="D8" s="352"/>
      <c r="E8" s="347" t="s">
        <v>1407</v>
      </c>
      <c r="F8" s="348">
        <f ca="1">INDIRECT("'数据-取费表'!ai"&amp;$G$1)</f>
        <v>0</v>
      </c>
      <c r="G8" s="1851"/>
      <c r="H8" s="349"/>
      <c r="I8" s="3178"/>
      <c r="J8" s="351"/>
      <c r="K8" s="352"/>
      <c r="L8" s="347" t="s">
        <v>1407</v>
      </c>
      <c r="M8" s="348">
        <f ca="1">INDIRECT("'数据-取费表'!ai"&amp;$G$1)</f>
        <v>0</v>
      </c>
    </row>
    <row r="9" spans="1:37" ht="18" customHeight="1">
      <c r="A9" s="349"/>
      <c r="B9" s="3179"/>
      <c r="C9" s="351"/>
      <c r="D9" s="352"/>
      <c r="E9" s="347" t="s">
        <v>1408</v>
      </c>
      <c r="F9" s="357">
        <f ca="1">INDIRECT("'数据-取费表'!w"&amp;$G$1)</f>
        <v>0</v>
      </c>
      <c r="G9" s="1851"/>
      <c r="H9" s="349"/>
      <c r="I9" s="3179"/>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3032</v>
      </c>
      <c r="E10" s="358" t="s">
        <v>1410</v>
      </c>
      <c r="F10" s="1368"/>
      <c r="G10" s="1851"/>
      <c r="H10" s="1293" t="s">
        <v>1039</v>
      </c>
      <c r="I10" s="1823" t="s">
        <v>1409</v>
      </c>
      <c r="J10" s="346">
        <f ca="1">ROUND(IF(M10="押一",J6/12*M11,IF(M10="押二",J6/12*2*M11,IF(M10="押三",J6/12*3*M11,J11*M11))),0)</f>
        <v>0</v>
      </c>
      <c r="K10" s="1824" t="s">
        <v>3031</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0</v>
      </c>
      <c r="D14" s="1800" t="s">
        <v>1418</v>
      </c>
      <c r="E14" s="1794"/>
      <c r="F14" s="364"/>
      <c r="G14" s="1851"/>
      <c r="H14" s="1203" t="s">
        <v>1035</v>
      </c>
      <c r="I14" s="347" t="s">
        <v>1419</v>
      </c>
      <c r="J14" s="24">
        <f ca="1">C29</f>
        <v>0</v>
      </c>
      <c r="K14" s="15"/>
      <c r="L14" s="981"/>
      <c r="M14" s="982"/>
    </row>
    <row r="15" spans="1:37" s="1858" customFormat="1" ht="18" customHeight="1" thickBot="1">
      <c r="A15" s="1203" t="s">
        <v>1036</v>
      </c>
      <c r="B15" s="347" t="s">
        <v>1420</v>
      </c>
      <c r="C15" s="24">
        <f ca="1">ROUND(C14*F15,0)</f>
        <v>0</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0</v>
      </c>
      <c r="K16" s="1339" t="s">
        <v>1425</v>
      </c>
      <c r="L16" s="1340"/>
      <c r="M16" s="1296"/>
    </row>
    <row r="17" spans="1:37" s="1858" customFormat="1" ht="18" customHeight="1">
      <c r="A17" s="1203" t="s">
        <v>1390</v>
      </c>
      <c r="B17" s="347" t="s">
        <v>1426</v>
      </c>
      <c r="C17" s="24">
        <f ca="1">ROUND(F17*(F43+INDIRECT("'数据-取费表'!S"&amp;$G$1))/10000,0)</f>
        <v>0</v>
      </c>
      <c r="D17" s="347" t="s">
        <v>1427</v>
      </c>
      <c r="E17" s="347" t="s">
        <v>1428</v>
      </c>
      <c r="F17" s="26">
        <f>'数据-取费表'!B35</f>
        <v>200</v>
      </c>
      <c r="G17" s="1854"/>
      <c r="H17" s="1203"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0</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0</v>
      </c>
      <c r="D19" s="140" t="s">
        <v>1436</v>
      </c>
      <c r="E19" s="1818"/>
      <c r="F19" s="26"/>
      <c r="G19" s="1851"/>
      <c r="H19" s="1203"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3" t="s">
        <v>1039</v>
      </c>
      <c r="B20" s="347" t="s">
        <v>1439</v>
      </c>
      <c r="C20" s="24">
        <f ca="1">ROUND(C19*F20,0)</f>
        <v>0</v>
      </c>
      <c r="D20" s="369" t="s">
        <v>1440</v>
      </c>
      <c r="E20" s="347" t="s">
        <v>1422</v>
      </c>
      <c r="F20" s="367">
        <f>'数据-取费表'!B37</f>
        <v>0.03</v>
      </c>
      <c r="G20" s="1854"/>
      <c r="H20" s="1203" t="s">
        <v>1389</v>
      </c>
      <c r="I20" s="164" t="s">
        <v>1441</v>
      </c>
      <c r="J20" s="25">
        <f ca="1">ROUND(M20*M21/10000,2)</f>
        <v>0</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0</v>
      </c>
      <c r="K22" s="1798" t="s">
        <v>1450</v>
      </c>
      <c r="L22" s="347" t="s">
        <v>1422</v>
      </c>
      <c r="M22" s="374">
        <f ca="1">INDIRECT("'数据-取费表'!Ak"&amp;$G$1)</f>
        <v>0</v>
      </c>
    </row>
    <row r="23" spans="1:37" s="1858"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0</v>
      </c>
      <c r="D29" s="1344"/>
      <c r="E29" s="1342"/>
      <c r="F29" s="1345"/>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0</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3" t="s">
        <v>1389</v>
      </c>
      <c r="B34" s="164" t="s">
        <v>1441</v>
      </c>
      <c r="C34" s="25">
        <f ca="1">IF(项目基本情况!B11="自然人","——",ROUND(F34*F35/10000,2))</f>
        <v>0</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0</v>
      </c>
      <c r="G35" s="1851"/>
      <c r="H35" s="744"/>
      <c r="I35" s="1860"/>
      <c r="J35" s="1861"/>
      <c r="K35" s="1862"/>
      <c r="L35" s="1859"/>
      <c r="M35" s="1859"/>
    </row>
    <row r="36" spans="1:18" ht="18" customHeight="1">
      <c r="A36" s="1354" t="s">
        <v>1039</v>
      </c>
      <c r="B36" s="347" t="s">
        <v>1449</v>
      </c>
      <c r="C36" s="24">
        <f ca="1">ROUND(C29*F36,1)</f>
        <v>0</v>
      </c>
      <c r="D36" s="1798" t="s">
        <v>1482</v>
      </c>
      <c r="E36" s="347" t="s">
        <v>1422</v>
      </c>
      <c r="F36" s="374">
        <f ca="1">INDIRECT("'数据-取费表'!Ak"&amp;$G$1)</f>
        <v>0</v>
      </c>
      <c r="G36" s="1851"/>
      <c r="H36" s="1859"/>
      <c r="I36" s="1860"/>
      <c r="J36" s="1861"/>
      <c r="K36" s="750"/>
      <c r="L36" s="1859"/>
      <c r="M36" s="1859"/>
    </row>
    <row r="37" spans="1:18" ht="18" customHeight="1">
      <c r="A37" s="1203" t="s">
        <v>1075</v>
      </c>
      <c r="B37" s="347" t="s">
        <v>1453</v>
      </c>
      <c r="C37" s="24">
        <f ca="1">ROUND(C13*F37,1)</f>
        <v>0</v>
      </c>
      <c r="D37" s="1798" t="s">
        <v>1454</v>
      </c>
      <c r="E37" s="347" t="s">
        <v>1455</v>
      </c>
      <c r="F37" s="376">
        <f ca="1">INDIRECT("'数据-取费表'!Al"&amp;$G$1)</f>
        <v>0</v>
      </c>
      <c r="G37" s="1851"/>
      <c r="H37" s="1859"/>
      <c r="I37" s="1860"/>
      <c r="J37" s="1861"/>
      <c r="K37" s="750"/>
      <c r="L37" s="1859"/>
      <c r="M37" s="1859"/>
    </row>
    <row r="38" spans="1:18" ht="18" customHeight="1" thickBot="1">
      <c r="A38" s="1341" t="s">
        <v>1393</v>
      </c>
      <c r="B38" s="1342" t="s">
        <v>1439</v>
      </c>
      <c r="C38" s="1343">
        <f ca="1">ROUND(C5*F38,1)</f>
        <v>0</v>
      </c>
      <c r="D38" s="1344" t="s">
        <v>1459</v>
      </c>
      <c r="E38" s="1342" t="s">
        <v>1455</v>
      </c>
      <c r="F38" s="1338">
        <f ca="1">INDIRECT("'数据-取费表'!Am"&amp;$G$1)</f>
        <v>0</v>
      </c>
      <c r="G38" s="1851"/>
      <c r="H38" s="1859"/>
      <c r="I38" s="1860"/>
      <c r="J38" s="1861"/>
      <c r="K38" s="1865"/>
      <c r="L38" s="1859"/>
      <c r="M38" s="1859"/>
    </row>
    <row r="39" spans="1:18" ht="24.6" customHeight="1" thickTop="1">
      <c r="A39" s="1331" t="s">
        <v>1031</v>
      </c>
      <c r="B39" s="1346" t="s">
        <v>1483</v>
      </c>
      <c r="C39" s="355">
        <f ca="1">C5-C30</f>
        <v>0</v>
      </c>
      <c r="D39" s="1347" t="s">
        <v>1484</v>
      </c>
      <c r="E39" s="1348"/>
      <c r="F39" s="1349"/>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1"/>
      <c r="I41" s="1860"/>
      <c r="J41" s="1861"/>
      <c r="K41" s="750"/>
      <c r="L41" s="731"/>
      <c r="M41" s="731"/>
    </row>
    <row r="42" spans="1:18" ht="18" customHeight="1">
      <c r="A42" s="353"/>
      <c r="B42" s="354"/>
      <c r="C42" s="355"/>
      <c r="D42" s="373"/>
      <c r="E42" s="347" t="s">
        <v>1477</v>
      </c>
      <c r="F42" s="357">
        <f ca="1">INDIRECT("'数据-取费表'!v"&amp;$G$1)</f>
        <v>0</v>
      </c>
      <c r="G42" s="1851"/>
      <c r="H42" s="731"/>
      <c r="I42" s="1860"/>
      <c r="J42" s="1861"/>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2" t="s">
        <v>1135</v>
      </c>
      <c r="B48" s="345" t="s">
        <v>1401</v>
      </c>
      <c r="C48" s="1817">
        <f ca="1">C49+C53+C55</f>
        <v>0</v>
      </c>
      <c r="D48" s="1364"/>
      <c r="E48" s="1365"/>
      <c r="F48" s="1183"/>
      <c r="G48" s="791"/>
      <c r="H48" s="792"/>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6" t="s">
        <v>1136</v>
      </c>
      <c r="B49" s="1829" t="s">
        <v>1490</v>
      </c>
      <c r="C49" s="1366">
        <f ca="1">ROUND(F49*F51*F50*(1-F52)/10000,0)</f>
        <v>0</v>
      </c>
      <c r="D49" s="1278" t="s">
        <v>3024</v>
      </c>
      <c r="E49" s="1830" t="s">
        <v>1491</v>
      </c>
      <c r="F49" s="1283"/>
      <c r="G49" s="1891"/>
      <c r="H49" s="792"/>
      <c r="I49" s="1887" t="s">
        <v>1534</v>
      </c>
      <c r="J49" s="1892"/>
      <c r="K49" s="1889" t="s">
        <v>1535</v>
      </c>
      <c r="L49" s="1893"/>
      <c r="O49" s="1894" t="s">
        <v>1042</v>
      </c>
      <c r="P49" s="1885" t="s">
        <v>1536</v>
      </c>
      <c r="Q49" s="1886">
        <f ca="1">C29</f>
        <v>0</v>
      </c>
      <c r="R49" s="1886" t="s">
        <v>1529</v>
      </c>
    </row>
    <row r="50" spans="1:18" s="1842" customFormat="1" ht="13.5" thickBot="1">
      <c r="A50" s="1197"/>
      <c r="B50" s="1200"/>
      <c r="C50" s="1370"/>
      <c r="D50" s="1174"/>
      <c r="E50" s="1279" t="s">
        <v>1406</v>
      </c>
      <c r="F50" s="1280">
        <f ca="1">F7</f>
        <v>0</v>
      </c>
      <c r="H50" s="792"/>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8"/>
      <c r="B51" s="1200"/>
      <c r="C51" s="1201"/>
      <c r="D51" s="1174"/>
      <c r="E51" s="1202"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8"/>
      <c r="B52" s="1200"/>
      <c r="C52" s="1201"/>
      <c r="D52" s="1174"/>
      <c r="E52" s="1202" t="s">
        <v>1408</v>
      </c>
      <c r="F52" s="1277"/>
      <c r="I52" s="1903" t="s">
        <v>1543</v>
      </c>
      <c r="J52" s="1904"/>
      <c r="K52" s="1903" t="s">
        <v>1544</v>
      </c>
      <c r="L52" s="1904"/>
      <c r="O52" s="1894" t="s">
        <v>1045</v>
      </c>
      <c r="P52" s="1885" t="s">
        <v>1545</v>
      </c>
      <c r="Q52" s="1886" t="b">
        <f>J53</f>
        <v>0</v>
      </c>
      <c r="R52" s="1886" t="s">
        <v>1546</v>
      </c>
    </row>
    <row r="53" spans="1:18" s="1842" customFormat="1" ht="24.75" thickBot="1">
      <c r="A53" s="1407" t="s">
        <v>1137</v>
      </c>
      <c r="B53" s="1831" t="s">
        <v>1409</v>
      </c>
      <c r="C53" s="361">
        <f ca="1">ROUND(IF(F53="押一",C49/12*F11,IF(F53="押二",C49/12*2*F11,IF(F53="押三",C49/12*3*F11,C54*F11))),0)</f>
        <v>0</v>
      </c>
      <c r="D53" s="1824" t="s">
        <v>3031</v>
      </c>
      <c r="E53" s="358" t="s">
        <v>1410</v>
      </c>
      <c r="F53" s="1368"/>
      <c r="I53" s="1905" t="s">
        <v>1547</v>
      </c>
      <c r="J53" s="1906" t="b">
        <f>IF(M47="住宅",IF(D1="——",MAX(J51,L48),IF(D1="在建（套用方法）",MAX(J51,L48-'数据-取费表'!B24),MAX(J51,L48-'数据-取费表'!B20))),IF(D1="——",MIN(J51,L48),IF(D1="在建（套用方法）",MIN(J51,L48-'数据-取费表'!B24),IF(D1="土地（套用方法）",MIN(J51,L48-'数据-取费表'!B20)))))</f>
        <v>0</v>
      </c>
      <c r="K53" s="3175" t="s">
        <v>1548</v>
      </c>
      <c r="L53" s="3176"/>
      <c r="O53" s="1884" t="s">
        <v>1046</v>
      </c>
      <c r="P53" s="1885" t="s">
        <v>1549</v>
      </c>
      <c r="Q53" s="1886" t="e">
        <f ca="1">Q47+Q48</f>
        <v>#DIV/0!</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1"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9" t="s">
        <v>1424</v>
      </c>
      <c r="C58" s="361">
        <f ca="1">ROUND(C59+C64+C65+C66,0)</f>
        <v>0</v>
      </c>
      <c r="D58" s="1181" t="s">
        <v>1425</v>
      </c>
      <c r="E58" s="1182"/>
      <c r="F58" s="1183"/>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0</v>
      </c>
      <c r="D61" s="1828" t="s">
        <v>1438</v>
      </c>
      <c r="E61" s="1171"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v>
      </c>
      <c r="D62" s="1186" t="s">
        <v>1497</v>
      </c>
      <c r="E62" s="1171" t="s">
        <v>1498</v>
      </c>
      <c r="F62" s="371">
        <f t="shared" si="0"/>
        <v>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7"/>
      <c r="C63" s="29"/>
      <c r="D63" s="1187"/>
      <c r="E63" s="1171"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0</v>
      </c>
      <c r="D64" s="1185" t="s">
        <v>1502</v>
      </c>
      <c r="E64" s="1171"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v>
      </c>
      <c r="D65" s="1185" t="s">
        <v>1454</v>
      </c>
      <c r="E65" s="1171"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3" t="s">
        <v>1504</v>
      </c>
      <c r="B66" s="1171" t="s">
        <v>1439</v>
      </c>
      <c r="C66" s="24">
        <f ca="1">ROUND(C48*F66,1)</f>
        <v>0</v>
      </c>
      <c r="D66" s="1185" t="s">
        <v>1505</v>
      </c>
      <c r="E66" s="1171" t="s">
        <v>1422</v>
      </c>
      <c r="F66" s="357">
        <f t="shared" ca="1" si="0"/>
        <v>0</v>
      </c>
      <c r="O66" s="1884" t="s">
        <v>1041</v>
      </c>
      <c r="P66" s="1885" t="s">
        <v>1558</v>
      </c>
      <c r="Q66" s="1886" t="e">
        <f ca="1">L60</f>
        <v>#DIV/0!</v>
      </c>
      <c r="R66" s="1886" t="s">
        <v>1581</v>
      </c>
    </row>
    <row r="67" spans="1:18" s="1842" customFormat="1" ht="16.5" thickBot="1">
      <c r="A67" s="1178" t="s">
        <v>1031</v>
      </c>
      <c r="B67" s="1188" t="s">
        <v>1463</v>
      </c>
      <c r="C67" s="361">
        <f ca="1">C48-C58</f>
        <v>0</v>
      </c>
      <c r="D67" s="1184" t="s">
        <v>1464</v>
      </c>
      <c r="E67" s="1189"/>
      <c r="F67" s="1190"/>
      <c r="O67" s="1894" t="s">
        <v>1042</v>
      </c>
      <c r="P67" s="1885" t="s">
        <v>1562</v>
      </c>
      <c r="Q67" s="1933">
        <f ca="1">L51</f>
        <v>0</v>
      </c>
      <c r="R67" s="1886" t="s">
        <v>1582</v>
      </c>
    </row>
    <row r="68" spans="1:18" s="1842" customFormat="1" ht="16.5" thickBot="1">
      <c r="A68" s="1168" t="s">
        <v>1032</v>
      </c>
      <c r="B68" s="1169" t="s">
        <v>1485</v>
      </c>
      <c r="C68" s="346" t="e">
        <f ca="1">ROUND(C67*(1-((1+F70)/(1+F68))^F69)/(F68-F70),0)</f>
        <v>#DIV/0!</v>
      </c>
      <c r="D68" s="1186" t="s">
        <v>1469</v>
      </c>
      <c r="E68" s="1171" t="s">
        <v>1470</v>
      </c>
      <c r="F68" s="357">
        <f ca="1">F40</f>
        <v>0</v>
      </c>
      <c r="O68" s="1894" t="s">
        <v>1043</v>
      </c>
      <c r="P68" s="1934" t="s">
        <v>1583</v>
      </c>
      <c r="Q68" s="1886">
        <f ca="1">ROUND(Q69-Q70*Q71,0)</f>
        <v>0</v>
      </c>
      <c r="R68" s="1886" t="s">
        <v>1051</v>
      </c>
    </row>
    <row r="69" spans="1:18" s="1842" customFormat="1" ht="13.5" thickBot="1">
      <c r="A69" s="1172"/>
      <c r="B69" s="1173"/>
      <c r="C69" s="351"/>
      <c r="D69" s="1191" t="s">
        <v>1473</v>
      </c>
      <c r="E69" s="1171" t="s">
        <v>1474</v>
      </c>
      <c r="F69" s="379">
        <f ca="1">F41</f>
        <v>0</v>
      </c>
      <c r="O69" s="1894" t="s">
        <v>1048</v>
      </c>
      <c r="P69" s="1934" t="s">
        <v>1584</v>
      </c>
      <c r="Q69" s="1886">
        <f ca="1">C39</f>
        <v>0</v>
      </c>
      <c r="R69" s="1886" t="s">
        <v>1529</v>
      </c>
    </row>
    <row r="70" spans="1:18" s="1842" customFormat="1" ht="13.5" thickBot="1">
      <c r="A70" s="1175"/>
      <c r="B70" s="1176"/>
      <c r="C70" s="355"/>
      <c r="D70" s="1187"/>
      <c r="E70" s="1171" t="s">
        <v>1477</v>
      </c>
      <c r="F70" s="1277"/>
      <c r="O70" s="1894" t="s">
        <v>1049</v>
      </c>
      <c r="P70" s="1934" t="s">
        <v>1585</v>
      </c>
      <c r="Q70" s="1886">
        <f ca="1">C13</f>
        <v>0</v>
      </c>
      <c r="R70" s="1886" t="s">
        <v>1529</v>
      </c>
    </row>
    <row r="71" spans="1:18" s="1842" customFormat="1" ht="13.5" thickBot="1">
      <c r="A71" s="1192" t="s">
        <v>1033</v>
      </c>
      <c r="B71" s="1193" t="s">
        <v>1487</v>
      </c>
      <c r="C71" s="382" t="e">
        <f ca="1">ROUND(C68*10000/F71,0)</f>
        <v>#DIV/0!</v>
      </c>
      <c r="D71" s="1194" t="s">
        <v>1488</v>
      </c>
      <c r="E71" s="1195" t="s">
        <v>1489</v>
      </c>
      <c r="F71" s="385">
        <f ca="1">F43</f>
        <v>0</v>
      </c>
      <c r="O71" s="1894" t="s">
        <v>1050</v>
      </c>
      <c r="P71" s="1934" t="s">
        <v>1586</v>
      </c>
      <c r="Q71" s="1897">
        <f ca="1">C76</f>
        <v>0</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C38" sqref="C38"/>
    </sheetView>
  </sheetViews>
  <sheetFormatPr defaultRowHeight="14.25"/>
  <cols>
    <col min="1" max="1" width="14.375" style="403" customWidth="1"/>
    <col min="2" max="3" width="15.75" style="403" customWidth="1"/>
    <col min="4" max="4" width="14.125" style="403" customWidth="1"/>
    <col min="5" max="5" width="15.625" style="403" customWidth="1"/>
    <col min="6" max="6" width="12.25" style="403" customWidth="1"/>
    <col min="7" max="7" width="15.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15614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5189099</v>
      </c>
      <c r="C3" s="247" t="s">
        <v>2737</v>
      </c>
      <c r="D3" s="1584">
        <f>'数据-基础表'!I13</f>
        <v>30.09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181" t="s">
        <v>2639</v>
      </c>
      <c r="AC4" s="3180" t="s">
        <v>2640</v>
      </c>
    </row>
    <row r="5" spans="1:30" ht="15">
      <c r="A5" s="404"/>
      <c r="B5" s="405"/>
      <c r="C5" s="3191" t="s">
        <v>2533</v>
      </c>
      <c r="D5" s="3192"/>
      <c r="E5" s="3189" t="str">
        <f>Sheet1!A9</f>
        <v>杭州未来科技城(余杭海创园9号A地块)</v>
      </c>
      <c r="F5" s="3190"/>
      <c r="G5" s="3191" t="str">
        <f>Sheet1!A11</f>
        <v>杭州未来科技城211号地块</v>
      </c>
      <c r="H5" s="3192"/>
      <c r="I5" s="3191" t="str">
        <f>Sheet1!A13</f>
        <v>余杭街道凤新路南侧商业商务地块三</v>
      </c>
      <c r="J5" s="3192"/>
      <c r="K5" s="610"/>
      <c r="L5" s="1132"/>
      <c r="M5" s="1133"/>
      <c r="N5" s="1133"/>
      <c r="O5" s="1133"/>
      <c r="P5" s="3204"/>
      <c r="Q5" s="3205"/>
      <c r="R5" s="3187"/>
      <c r="S5" s="3188"/>
      <c r="T5" s="3187"/>
      <c r="U5" s="3188"/>
      <c r="V5" s="3210"/>
      <c r="W5" s="3210"/>
      <c r="X5" s="1813"/>
      <c r="Y5" s="3187"/>
      <c r="Z5" s="3188"/>
      <c r="AA5" s="3181"/>
      <c r="AB5" s="3181"/>
      <c r="AC5" s="3181"/>
    </row>
    <row r="6" spans="1:30" ht="15.75" thickBot="1">
      <c r="A6" s="406"/>
      <c r="B6" s="407"/>
      <c r="C6" s="3193" t="s">
        <v>2537</v>
      </c>
      <c r="D6" s="3194"/>
      <c r="E6" s="3195" t="s">
        <v>2537</v>
      </c>
      <c r="F6" s="3196"/>
      <c r="G6" s="3193" t="s">
        <v>2537</v>
      </c>
      <c r="H6" s="3194"/>
      <c r="I6" s="3193" t="s">
        <v>2537</v>
      </c>
      <c r="J6" s="3194"/>
      <c r="K6" s="610" t="s">
        <v>2538</v>
      </c>
      <c r="L6" s="1132"/>
      <c r="M6" s="1133"/>
      <c r="N6" s="1133"/>
      <c r="O6" s="1133"/>
      <c r="P6" s="3206"/>
      <c r="Q6" s="3207"/>
      <c r="R6" s="3187"/>
      <c r="S6" s="3188"/>
      <c r="T6" s="3208"/>
      <c r="U6" s="3209"/>
      <c r="V6" s="3210"/>
      <c r="W6" s="3210"/>
      <c r="X6" s="1813"/>
      <c r="Y6" s="3208"/>
      <c r="Z6" s="3209"/>
      <c r="AA6" s="3182"/>
      <c r="AB6" s="3182"/>
      <c r="AC6" s="3182"/>
    </row>
    <row r="7" spans="1:30" s="117" customFormat="1" ht="15.75" thickBot="1">
      <c r="A7" s="408" t="s">
        <v>2539</v>
      </c>
      <c r="B7" s="409"/>
      <c r="C7" s="410">
        <f>'数据-取费表'!B2</f>
        <v>43405</v>
      </c>
      <c r="D7" s="411">
        <v>100</v>
      </c>
      <c r="E7" s="412" t="str">
        <f>Sheet1!H9</f>
        <v>2017-08-11</v>
      </c>
      <c r="F7" s="413">
        <f>SUMIF(70:70,YEAR(E7)&amp;"-"&amp;INT((MONTH(E7)+2)/3),71:71)</f>
        <v>97.5</v>
      </c>
      <c r="G7" s="2700" t="str">
        <f>Sheet1!H11</f>
        <v>2018-05-10</v>
      </c>
      <c r="H7" s="411">
        <f>SUMIF(70:70,YEAR(G7)&amp;"-"&amp;INT((MONTH(G7)+2)/3),71:71)</f>
        <v>99</v>
      </c>
      <c r="I7" s="2700" t="str">
        <f>Sheet1!H13</f>
        <v>2017-11-08</v>
      </c>
      <c r="J7" s="411">
        <f>SUMIF(70:70,YEAR(I7)&amp;"-"&amp;INT((MONTH(I7)+2)/3),71:71)</f>
        <v>98</v>
      </c>
      <c r="K7" s="611"/>
      <c r="L7" s="1134"/>
      <c r="M7" s="1135"/>
      <c r="N7" s="1135"/>
      <c r="O7" s="1135"/>
      <c r="P7" s="3183" t="s">
        <v>2540</v>
      </c>
      <c r="Q7" s="3211"/>
      <c r="R7" s="769" t="s">
        <v>17</v>
      </c>
      <c r="S7" s="770">
        <f t="shared" ref="S7:S15" si="0">F7</f>
        <v>97.5</v>
      </c>
      <c r="T7" s="769" t="s">
        <v>17</v>
      </c>
      <c r="U7" s="770">
        <f t="shared" ref="U7:U15" si="1">H7</f>
        <v>99</v>
      </c>
      <c r="V7" s="769" t="s">
        <v>17</v>
      </c>
      <c r="W7" s="770">
        <f t="shared" ref="W7:W15" si="2">J7</f>
        <v>98</v>
      </c>
      <c r="X7" s="771"/>
      <c r="Y7" s="3183" t="s">
        <v>2540</v>
      </c>
      <c r="Z7" s="3184"/>
      <c r="AA7" s="772">
        <f>D7/F7</f>
        <v>1.0256410256410255</v>
      </c>
      <c r="AB7" s="772">
        <f>D7/H7</f>
        <v>1.0101010101010102</v>
      </c>
      <c r="AC7" s="772">
        <f>D7/J7</f>
        <v>1.0204081632653061</v>
      </c>
    </row>
    <row r="8" spans="1:30" s="117" customFormat="1" ht="15.7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34"/>
      <c r="M8" s="1135"/>
      <c r="N8" s="1135"/>
      <c r="O8" s="1135"/>
      <c r="P8" s="3183" t="s">
        <v>2543</v>
      </c>
      <c r="Q8" s="3184"/>
      <c r="R8" s="769" t="s">
        <v>17</v>
      </c>
      <c r="S8" s="770">
        <f t="shared" si="0"/>
        <v>100</v>
      </c>
      <c r="T8" s="769" t="s">
        <v>17</v>
      </c>
      <c r="U8" s="770">
        <f t="shared" si="1"/>
        <v>100</v>
      </c>
      <c r="V8" s="769" t="s">
        <v>17</v>
      </c>
      <c r="W8" s="770">
        <f t="shared" si="2"/>
        <v>100</v>
      </c>
      <c r="X8" s="771"/>
      <c r="Y8" s="3183" t="s">
        <v>2543</v>
      </c>
      <c r="Z8" s="3184"/>
      <c r="AA8" s="772">
        <f t="shared" ref="AA8:AA45" si="3">D8/F8</f>
        <v>1</v>
      </c>
      <c r="AB8" s="772">
        <f t="shared" ref="AB8:AB45" si="4">D8/H8</f>
        <v>1</v>
      </c>
      <c r="AC8" s="772">
        <f t="shared" ref="AC8:AC45" si="5">D8/J8</f>
        <v>1</v>
      </c>
    </row>
    <row r="9" spans="1:30" s="117" customFormat="1">
      <c r="A9" s="415" t="s">
        <v>2544</v>
      </c>
      <c r="B9" s="71" t="s">
        <v>2545</v>
      </c>
      <c r="C9" s="2703" t="s">
        <v>1377</v>
      </c>
      <c r="D9" s="135">
        <v>100</v>
      </c>
      <c r="E9" s="2703" t="s">
        <v>1377</v>
      </c>
      <c r="F9" s="135">
        <f>SUMIF(75:75,E9,76:76)-SUMIF(75:75,C9,76:76)+100</f>
        <v>100</v>
      </c>
      <c r="G9" s="2703" t="s">
        <v>1377</v>
      </c>
      <c r="H9" s="135">
        <f>SUMIF(75:75,G9,76:76)-SUMIF(75:75,C9,76:76)+100</f>
        <v>100</v>
      </c>
      <c r="I9" s="2703" t="s">
        <v>1377</v>
      </c>
      <c r="J9" s="135">
        <f>SUMIF(75:75,I9,76:76)-SUMIF(75:75,C9,76:76)+100</f>
        <v>100</v>
      </c>
      <c r="K9" s="611"/>
      <c r="L9" s="1134"/>
      <c r="M9" s="1135"/>
      <c r="N9" s="1135"/>
      <c r="O9" s="1136"/>
      <c r="P9" s="3197"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103</v>
      </c>
      <c r="G10" s="463"/>
      <c r="H10" s="136">
        <f>ROUND(100/'数据-取费表'!G16,0)</f>
        <v>103</v>
      </c>
      <c r="I10" s="463"/>
      <c r="J10" s="136">
        <f>ROUND(100/'数据-取费表'!G16,0)</f>
        <v>103</v>
      </c>
      <c r="K10" s="672"/>
      <c r="L10" s="1137"/>
      <c r="M10" s="1138"/>
      <c r="N10" s="1138"/>
      <c r="O10" s="1139"/>
      <c r="P10" s="3197"/>
      <c r="Q10" s="1795" t="str">
        <f t="shared" si="6"/>
        <v>土地使用年限（年）</v>
      </c>
      <c r="R10" s="769" t="s">
        <v>17</v>
      </c>
      <c r="S10" s="770">
        <f t="shared" si="0"/>
        <v>103</v>
      </c>
      <c r="T10" s="769" t="s">
        <v>17</v>
      </c>
      <c r="U10" s="770">
        <f t="shared" si="1"/>
        <v>103</v>
      </c>
      <c r="V10" s="769" t="s">
        <v>17</v>
      </c>
      <c r="W10" s="770">
        <f t="shared" si="2"/>
        <v>103</v>
      </c>
      <c r="X10" s="771"/>
      <c r="Y10" s="3048"/>
      <c r="Z10" s="55" t="str">
        <f t="shared" si="7"/>
        <v>土地使用年限（年）</v>
      </c>
      <c r="AA10" s="772">
        <f t="shared" si="3"/>
        <v>0.970873786407767</v>
      </c>
      <c r="AB10" s="772">
        <f t="shared" si="4"/>
        <v>0.970873786407767</v>
      </c>
      <c r="AC10" s="772">
        <f t="shared" si="5"/>
        <v>0.970873786407767</v>
      </c>
    </row>
    <row r="11" spans="1:30" ht="15">
      <c r="A11" s="428"/>
      <c r="B11" s="422" t="s">
        <v>2549</v>
      </c>
      <c r="C11" s="429">
        <v>1.6</v>
      </c>
      <c r="D11" s="136">
        <v>100</v>
      </c>
      <c r="E11" s="429">
        <v>2.1</v>
      </c>
      <c r="F11" s="136">
        <f>LOOKUP(E11,80:80,81:81)-LOOKUP(C11,80:80,81:81)+100</f>
        <v>95</v>
      </c>
      <c r="G11" s="430">
        <v>2.5</v>
      </c>
      <c r="H11" s="136">
        <f>LOOKUP(G11,80:80,81:81)-LOOKUP(C11,80:80,81:81)+100</f>
        <v>95</v>
      </c>
      <c r="I11" s="429">
        <v>3.5</v>
      </c>
      <c r="J11" s="136">
        <f>LOOKUP(I11,80:80,81:81)-LOOKUP(C11,80:80,81:81)+100</f>
        <v>90</v>
      </c>
      <c r="K11" s="673">
        <v>5</v>
      </c>
      <c r="L11" s="1140"/>
      <c r="M11" s="1133"/>
      <c r="N11" s="1133"/>
      <c r="O11" s="1141"/>
      <c r="P11" s="3197"/>
      <c r="Q11" s="1795" t="str">
        <f t="shared" si="6"/>
        <v>容积率</v>
      </c>
      <c r="R11" s="769" t="s">
        <v>17</v>
      </c>
      <c r="S11" s="770">
        <f t="shared" si="0"/>
        <v>95</v>
      </c>
      <c r="T11" s="769" t="s">
        <v>17</v>
      </c>
      <c r="U11" s="770">
        <f t="shared" si="1"/>
        <v>95</v>
      </c>
      <c r="V11" s="769" t="s">
        <v>17</v>
      </c>
      <c r="W11" s="770">
        <f t="shared" si="2"/>
        <v>90</v>
      </c>
      <c r="X11" s="771"/>
      <c r="Y11" s="3048"/>
      <c r="Z11" s="55" t="str">
        <f t="shared" si="7"/>
        <v>容积率</v>
      </c>
      <c r="AA11" s="772">
        <f t="shared" si="3"/>
        <v>1.0526315789473684</v>
      </c>
      <c r="AB11" s="772">
        <f t="shared" si="4"/>
        <v>1.0526315789473684</v>
      </c>
      <c r="AC11" s="772">
        <f t="shared" si="5"/>
        <v>1.1111111111111112</v>
      </c>
    </row>
    <row r="12" spans="1:30" s="117" customFormat="1" ht="15">
      <c r="A12" s="431"/>
      <c r="B12" s="2604"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7"/>
      <c r="Q12" s="1795" t="str">
        <f t="shared" si="6"/>
        <v>配建</v>
      </c>
      <c r="R12" s="769" t="s">
        <v>17</v>
      </c>
      <c r="S12" s="770">
        <f t="shared" si="0"/>
        <v>100</v>
      </c>
      <c r="T12" s="769" t="s">
        <v>17</v>
      </c>
      <c r="U12" s="770">
        <f t="shared" si="1"/>
        <v>100</v>
      </c>
      <c r="V12" s="769" t="s">
        <v>17</v>
      </c>
      <c r="W12" s="770">
        <f t="shared" si="2"/>
        <v>100</v>
      </c>
      <c r="X12" s="771"/>
      <c r="Y12" s="3048"/>
      <c r="Z12" s="55" t="str">
        <f t="shared" si="7"/>
        <v>配建</v>
      </c>
      <c r="AA12" s="772">
        <f>D12/F12</f>
        <v>1</v>
      </c>
      <c r="AB12" s="772">
        <f>D12/H12</f>
        <v>1</v>
      </c>
      <c r="AC12" s="772">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48"/>
      <c r="Z13" s="55">
        <f t="shared" si="7"/>
        <v>111</v>
      </c>
      <c r="AA13" s="772">
        <f>D13/F13</f>
        <v>1</v>
      </c>
      <c r="AB13" s="772">
        <f>D13/H13</f>
        <v>1</v>
      </c>
      <c r="AC13" s="772">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48"/>
      <c r="Z14" s="55">
        <f t="shared" si="7"/>
        <v>111</v>
      </c>
      <c r="AA14" s="772">
        <f>D14/F14</f>
        <v>1</v>
      </c>
      <c r="AB14" s="772">
        <f>D14/H14</f>
        <v>1</v>
      </c>
      <c r="AC14" s="772">
        <f>D14/J14</f>
        <v>1</v>
      </c>
    </row>
    <row r="15" spans="1:30" ht="15">
      <c r="A15" s="440" t="s">
        <v>2550</v>
      </c>
      <c r="B15" s="69" t="s">
        <v>2084</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2" t="s">
        <v>2551</v>
      </c>
      <c r="Q15" s="1810" t="str">
        <f t="shared" si="6"/>
        <v>居住社区成熟度</v>
      </c>
      <c r="R15" s="773" t="s">
        <v>17</v>
      </c>
      <c r="S15" s="774">
        <f t="shared" si="0"/>
        <v>100</v>
      </c>
      <c r="T15" s="773" t="s">
        <v>17</v>
      </c>
      <c r="U15" s="774">
        <f t="shared" si="1"/>
        <v>100</v>
      </c>
      <c r="V15" s="773" t="s">
        <v>17</v>
      </c>
      <c r="W15" s="774">
        <f t="shared" si="2"/>
        <v>100</v>
      </c>
      <c r="X15" s="1813"/>
      <c r="Y15" s="3212" t="s">
        <v>2551</v>
      </c>
      <c r="Z15" s="1814" t="str">
        <f t="shared" si="7"/>
        <v>居住社区成熟度</v>
      </c>
      <c r="AA15" s="1811">
        <f t="shared" si="3"/>
        <v>1</v>
      </c>
      <c r="AB15" s="1811">
        <f t="shared" si="4"/>
        <v>1</v>
      </c>
      <c r="AC15" s="1811">
        <f t="shared" si="5"/>
        <v>1</v>
      </c>
    </row>
    <row r="16" spans="1:30" ht="24" customHeight="1">
      <c r="A16" s="428"/>
      <c r="B16" s="446"/>
      <c r="C16" s="447"/>
      <c r="D16" s="448"/>
      <c r="E16" s="2609"/>
      <c r="F16" s="448"/>
      <c r="G16" s="2609"/>
      <c r="H16" s="450"/>
      <c r="I16" s="2608"/>
      <c r="J16" s="448"/>
      <c r="K16" s="672"/>
      <c r="L16" s="1142"/>
      <c r="M16" s="1133"/>
      <c r="N16" s="1133"/>
      <c r="O16" s="1141"/>
      <c r="P16" s="3213"/>
      <c r="Q16" s="1810"/>
      <c r="R16" s="773"/>
      <c r="S16" s="774"/>
      <c r="T16" s="773"/>
      <c r="U16" s="774"/>
      <c r="V16" s="773"/>
      <c r="W16" s="774"/>
      <c r="X16" s="1813"/>
      <c r="Y16" s="3213"/>
      <c r="Z16" s="1814"/>
      <c r="AA16" s="1811">
        <v>1</v>
      </c>
      <c r="AB16" s="1811">
        <v>1</v>
      </c>
      <c r="AC16" s="1811">
        <v>1</v>
      </c>
    </row>
    <row r="17" spans="1:29" ht="24" customHeight="1">
      <c r="A17" s="428"/>
      <c r="B17" s="451" t="s">
        <v>2644</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2"/>
      <c r="M17" s="1133"/>
      <c r="N17" s="1133"/>
      <c r="O17" s="1141"/>
      <c r="P17" s="3213"/>
      <c r="Q17" s="1810" t="str">
        <f>B17</f>
        <v>商业繁华度</v>
      </c>
      <c r="R17" s="773" t="s">
        <v>17</v>
      </c>
      <c r="S17" s="774">
        <f>F17</f>
        <v>100</v>
      </c>
      <c r="T17" s="773" t="s">
        <v>17</v>
      </c>
      <c r="U17" s="774">
        <f>H17</f>
        <v>100</v>
      </c>
      <c r="V17" s="773" t="s">
        <v>17</v>
      </c>
      <c r="W17" s="774">
        <f>J17</f>
        <v>100</v>
      </c>
      <c r="X17" s="1813"/>
      <c r="Y17" s="3213"/>
      <c r="Z17" s="1814" t="str">
        <f>Q17</f>
        <v>商业繁华度</v>
      </c>
      <c r="AA17" s="1811">
        <f t="shared" si="3"/>
        <v>1</v>
      </c>
      <c r="AB17" s="1811">
        <f t="shared" si="4"/>
        <v>1</v>
      </c>
      <c r="AC17" s="1811">
        <f t="shared" si="5"/>
        <v>1</v>
      </c>
    </row>
    <row r="18" spans="1:29" ht="24" customHeight="1">
      <c r="A18" s="428"/>
      <c r="B18" s="456"/>
      <c r="C18" s="2612" t="s">
        <v>3491</v>
      </c>
      <c r="D18" s="450"/>
      <c r="E18" s="2614" t="s">
        <v>3491</v>
      </c>
      <c r="F18" s="450"/>
      <c r="G18" s="2614" t="s">
        <v>3491</v>
      </c>
      <c r="H18" s="448"/>
      <c r="I18" s="2613" t="s">
        <v>3491</v>
      </c>
      <c r="J18" s="448"/>
      <c r="K18" s="672"/>
      <c r="L18" s="1142"/>
      <c r="M18" s="1133"/>
      <c r="N18" s="1133"/>
      <c r="O18" s="1141"/>
      <c r="P18" s="3213"/>
      <c r="Q18" s="1810"/>
      <c r="R18" s="773"/>
      <c r="S18" s="774"/>
      <c r="T18" s="773"/>
      <c r="U18" s="774"/>
      <c r="V18" s="773"/>
      <c r="W18" s="774"/>
      <c r="X18" s="1813"/>
      <c r="Y18" s="3213"/>
      <c r="Z18" s="1814"/>
      <c r="AA18" s="1811">
        <v>1</v>
      </c>
      <c r="AB18" s="1811">
        <v>1</v>
      </c>
      <c r="AC18" s="1811">
        <v>1</v>
      </c>
    </row>
    <row r="19" spans="1:29" ht="24" customHeight="1">
      <c r="A19" s="428"/>
      <c r="B19" s="451" t="s">
        <v>2678</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3"/>
      <c r="Q19" s="1810" t="str">
        <f>B19</f>
        <v>办公集聚程度</v>
      </c>
      <c r="R19" s="773" t="s">
        <v>17</v>
      </c>
      <c r="S19" s="774">
        <f>F19</f>
        <v>100</v>
      </c>
      <c r="T19" s="773" t="s">
        <v>17</v>
      </c>
      <c r="U19" s="774">
        <f>H19</f>
        <v>100</v>
      </c>
      <c r="V19" s="773" t="s">
        <v>17</v>
      </c>
      <c r="W19" s="774">
        <f>J19</f>
        <v>100</v>
      </c>
      <c r="X19" s="1813"/>
      <c r="Y19" s="3213"/>
      <c r="Z19" s="1814" t="str">
        <f>Q19</f>
        <v>办公集聚程度</v>
      </c>
      <c r="AA19" s="1811">
        <f t="shared" si="3"/>
        <v>1</v>
      </c>
      <c r="AB19" s="1811">
        <f t="shared" si="4"/>
        <v>1</v>
      </c>
      <c r="AC19" s="1811">
        <f t="shared" si="5"/>
        <v>1</v>
      </c>
    </row>
    <row r="20" spans="1:29" ht="24" customHeight="1">
      <c r="A20" s="428"/>
      <c r="B20" s="456"/>
      <c r="C20" s="447"/>
      <c r="D20" s="448"/>
      <c r="E20" s="2609"/>
      <c r="F20" s="448"/>
      <c r="G20" s="2609"/>
      <c r="H20" s="448"/>
      <c r="I20" s="2608"/>
      <c r="J20" s="448"/>
      <c r="K20" s="672"/>
      <c r="L20" s="1142"/>
      <c r="M20" s="1133"/>
      <c r="N20" s="1133"/>
      <c r="O20" s="1141"/>
      <c r="P20" s="3213"/>
      <c r="Q20" s="1810"/>
      <c r="R20" s="773"/>
      <c r="S20" s="774"/>
      <c r="T20" s="773"/>
      <c r="U20" s="774"/>
      <c r="V20" s="773"/>
      <c r="W20" s="774"/>
      <c r="X20" s="1813"/>
      <c r="Y20" s="3213"/>
      <c r="Z20" s="1814"/>
      <c r="AA20" s="1811">
        <v>1</v>
      </c>
      <c r="AB20" s="1811">
        <v>1</v>
      </c>
      <c r="AC20" s="1811">
        <v>1</v>
      </c>
    </row>
    <row r="21" spans="1:29" ht="24" customHeight="1">
      <c r="A21" s="428"/>
      <c r="B21" s="451" t="s">
        <v>2700</v>
      </c>
      <c r="C21" s="2611">
        <f>估价对象房地状况!C18</f>
        <v>0</v>
      </c>
      <c r="D21" s="450">
        <v>100</v>
      </c>
      <c r="E21" s="452"/>
      <c r="F21" s="455">
        <f>SUMIF(94:94,E22,95:95)-SUMIF(94:94,C22,95:95)+100</f>
        <v>100</v>
      </c>
      <c r="G21" s="452"/>
      <c r="H21" s="450">
        <f>SUMIF(94:94,G22,95:95)-SUMIF(94:94,C22,95:95)+100</f>
        <v>100</v>
      </c>
      <c r="I21" s="454"/>
      <c r="J21" s="450">
        <f>SUMIF(94:94,I22,95:95)-SUMIF(94:94,C22,95:95)+100</f>
        <v>95</v>
      </c>
      <c r="K21" s="673">
        <v>5</v>
      </c>
      <c r="L21" s="1142"/>
      <c r="M21" s="1133"/>
      <c r="N21" s="1133"/>
      <c r="O21" s="1141"/>
      <c r="P21" s="3213"/>
      <c r="Q21" s="1810" t="str">
        <f>B21</f>
        <v>交通便捷度</v>
      </c>
      <c r="R21" s="773" t="s">
        <v>17</v>
      </c>
      <c r="S21" s="774">
        <f>F21</f>
        <v>100</v>
      </c>
      <c r="T21" s="773" t="s">
        <v>17</v>
      </c>
      <c r="U21" s="774">
        <f>H21</f>
        <v>100</v>
      </c>
      <c r="V21" s="773" t="s">
        <v>17</v>
      </c>
      <c r="W21" s="774">
        <f>J21</f>
        <v>95</v>
      </c>
      <c r="X21" s="1813"/>
      <c r="Y21" s="3213"/>
      <c r="Z21" s="1814" t="str">
        <f>Q21</f>
        <v>交通便捷度</v>
      </c>
      <c r="AA21" s="1811">
        <f t="shared" si="3"/>
        <v>1</v>
      </c>
      <c r="AB21" s="1811">
        <f t="shared" si="4"/>
        <v>1</v>
      </c>
      <c r="AC21" s="1811">
        <f t="shared" si="5"/>
        <v>1.0526315789473684</v>
      </c>
    </row>
    <row r="22" spans="1:29" ht="24" customHeight="1">
      <c r="A22" s="428"/>
      <c r="B22" s="1386"/>
      <c r="C22" s="447" t="s">
        <v>3491</v>
      </c>
      <c r="D22" s="450"/>
      <c r="E22" s="2609" t="s">
        <v>3491</v>
      </c>
      <c r="F22" s="448"/>
      <c r="G22" s="2609" t="s">
        <v>3491</v>
      </c>
      <c r="H22" s="448"/>
      <c r="I22" s="2608" t="s">
        <v>3492</v>
      </c>
      <c r="J22" s="448"/>
      <c r="K22" s="672"/>
      <c r="L22" s="1142"/>
      <c r="M22" s="1133"/>
      <c r="N22" s="1133"/>
      <c r="O22" s="1141"/>
      <c r="P22" s="3213"/>
      <c r="Q22" s="1810"/>
      <c r="R22" s="773"/>
      <c r="S22" s="774"/>
      <c r="T22" s="773"/>
      <c r="U22" s="774"/>
      <c r="V22" s="773"/>
      <c r="W22" s="774"/>
      <c r="X22" s="1813"/>
      <c r="Y22" s="3213"/>
      <c r="Z22" s="1814"/>
      <c r="AA22" s="1811">
        <v>1</v>
      </c>
      <c r="AB22" s="1811">
        <v>1</v>
      </c>
      <c r="AC22" s="1811">
        <v>1</v>
      </c>
    </row>
    <row r="23" spans="1:29" ht="24" customHeight="1">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2"/>
      <c r="M23" s="1133"/>
      <c r="N23" s="1133"/>
      <c r="O23" s="1141"/>
      <c r="P23" s="3213"/>
      <c r="Q23" s="1810" t="str">
        <f t="shared" ref="Q23:Q37" si="8">B23</f>
        <v>区域土地利用方向</v>
      </c>
      <c r="R23" s="773" t="s">
        <v>17</v>
      </c>
      <c r="S23" s="774">
        <f>F23</f>
        <v>100</v>
      </c>
      <c r="T23" s="773" t="s">
        <v>17</v>
      </c>
      <c r="U23" s="774">
        <f>H23</f>
        <v>100</v>
      </c>
      <c r="V23" s="773" t="s">
        <v>17</v>
      </c>
      <c r="W23" s="774">
        <f>J23</f>
        <v>100</v>
      </c>
      <c r="X23" s="1813"/>
      <c r="Y23" s="3213"/>
      <c r="Z23" s="1814" t="str">
        <f>Q23</f>
        <v>区域土地利用方向</v>
      </c>
      <c r="AA23" s="1811">
        <f t="shared" si="3"/>
        <v>1</v>
      </c>
      <c r="AB23" s="1811">
        <f t="shared" si="4"/>
        <v>1</v>
      </c>
      <c r="AC23" s="1811">
        <f t="shared" si="5"/>
        <v>1</v>
      </c>
    </row>
    <row r="24" spans="1:29" ht="24" customHeight="1">
      <c r="A24" s="404"/>
      <c r="B24" s="456"/>
      <c r="C24" s="616" t="s">
        <v>3493</v>
      </c>
      <c r="D24" s="448"/>
      <c r="E24" s="2609" t="s">
        <v>3493</v>
      </c>
      <c r="F24" s="448"/>
      <c r="G24" s="2608" t="s">
        <v>3493</v>
      </c>
      <c r="H24" s="448"/>
      <c r="I24" s="2608" t="s">
        <v>3493</v>
      </c>
      <c r="J24" s="448"/>
      <c r="K24" s="811"/>
      <c r="L24" s="1142"/>
      <c r="M24" s="1133"/>
      <c r="N24" s="1133"/>
      <c r="O24" s="1141"/>
      <c r="P24" s="3213"/>
      <c r="Q24" s="1810"/>
      <c r="R24" s="773"/>
      <c r="S24" s="774"/>
      <c r="T24" s="773"/>
      <c r="U24" s="774"/>
      <c r="V24" s="773"/>
      <c r="W24" s="774"/>
      <c r="X24" s="1813"/>
      <c r="Y24" s="3213"/>
      <c r="Z24" s="1814"/>
      <c r="AA24" s="1811"/>
      <c r="AB24" s="1811"/>
      <c r="AC24" s="1811"/>
    </row>
    <row r="25" spans="1:29" ht="24" customHeight="1">
      <c r="A25" s="404"/>
      <c r="B25" s="1386" t="s">
        <v>2740</v>
      </c>
      <c r="C25" s="2668">
        <f>估价对象房地状况!C20</f>
        <v>0</v>
      </c>
      <c r="D25" s="450">
        <v>100</v>
      </c>
      <c r="E25" s="452"/>
      <c r="F25" s="450">
        <f>SUMIF(98:98,E26,99:99)-SUMIF(98:98,C26,99:99)+100</f>
        <v>97</v>
      </c>
      <c r="G25" s="452"/>
      <c r="H25" s="450">
        <f>SUMIF(98:98,G26,99:99)-SUMIF(98:98,C26,99:99)+100</f>
        <v>97</v>
      </c>
      <c r="I25" s="454"/>
      <c r="J25" s="450">
        <f>SUMIF(98:98,I26,99:99)-SUMIF(98:98,C26,99:99)+100</f>
        <v>100</v>
      </c>
      <c r="K25" s="673">
        <v>3</v>
      </c>
      <c r="L25" s="1142"/>
      <c r="M25" s="1133"/>
      <c r="N25" s="1133"/>
      <c r="O25" s="1141"/>
      <c r="P25" s="3213"/>
      <c r="Q25" s="1810" t="str">
        <f t="shared" si="8"/>
        <v>自然及人文环境状况</v>
      </c>
      <c r="R25" s="773" t="s">
        <v>17</v>
      </c>
      <c r="S25" s="774">
        <f>F25</f>
        <v>97</v>
      </c>
      <c r="T25" s="773" t="s">
        <v>17</v>
      </c>
      <c r="U25" s="774">
        <f>H25</f>
        <v>97</v>
      </c>
      <c r="V25" s="773" t="s">
        <v>17</v>
      </c>
      <c r="W25" s="774">
        <f>J25</f>
        <v>100</v>
      </c>
      <c r="X25" s="1813"/>
      <c r="Y25" s="3213"/>
      <c r="Z25" s="1814" t="str">
        <f>Q25</f>
        <v>自然及人文环境状况</v>
      </c>
      <c r="AA25" s="1811">
        <f t="shared" si="3"/>
        <v>1.0309278350515463</v>
      </c>
      <c r="AB25" s="1811">
        <f t="shared" si="4"/>
        <v>1.0309278350515463</v>
      </c>
      <c r="AC25" s="1811">
        <f t="shared" si="5"/>
        <v>1</v>
      </c>
    </row>
    <row r="26" spans="1:29" ht="24" customHeight="1">
      <c r="A26" s="404"/>
      <c r="B26" s="456"/>
      <c r="C26" s="447" t="s">
        <v>3491</v>
      </c>
      <c r="D26" s="448"/>
      <c r="E26" s="2615" t="s">
        <v>3492</v>
      </c>
      <c r="F26" s="448"/>
      <c r="G26" s="2615" t="s">
        <v>3492</v>
      </c>
      <c r="H26" s="448"/>
      <c r="I26" s="447" t="s">
        <v>3491</v>
      </c>
      <c r="J26" s="448"/>
      <c r="K26" s="672"/>
      <c r="L26" s="1142"/>
      <c r="M26" s="1133"/>
      <c r="N26" s="1133"/>
      <c r="O26" s="1141"/>
      <c r="P26" s="3213"/>
      <c r="Q26" s="1810"/>
      <c r="R26" s="773"/>
      <c r="S26" s="774"/>
      <c r="T26" s="773"/>
      <c r="U26" s="774"/>
      <c r="V26" s="773"/>
      <c r="W26" s="774"/>
      <c r="X26" s="1813"/>
      <c r="Y26" s="3213"/>
      <c r="Z26" s="1814"/>
      <c r="AA26" s="1811">
        <v>1</v>
      </c>
      <c r="AB26" s="1811">
        <v>1</v>
      </c>
      <c r="AC26" s="1811">
        <v>1</v>
      </c>
    </row>
    <row r="27" spans="1:29" s="117" customFormat="1" ht="24" customHeight="1">
      <c r="A27" s="649"/>
      <c r="B27" s="1386" t="s">
        <v>2645</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4"/>
      <c r="M27" s="1135"/>
      <c r="N27" s="1135"/>
      <c r="O27" s="1136"/>
      <c r="P27" s="3213"/>
      <c r="Q27" s="1795" t="str">
        <f t="shared" si="8"/>
        <v>公共配套设施</v>
      </c>
      <c r="R27" s="769" t="s">
        <v>17</v>
      </c>
      <c r="S27" s="770">
        <f>F27</f>
        <v>100</v>
      </c>
      <c r="T27" s="769" t="s">
        <v>17</v>
      </c>
      <c r="U27" s="770">
        <f>H27</f>
        <v>100</v>
      </c>
      <c r="V27" s="769" t="s">
        <v>17</v>
      </c>
      <c r="W27" s="770">
        <f>J27</f>
        <v>100</v>
      </c>
      <c r="X27" s="771"/>
      <c r="Y27" s="3213"/>
      <c r="Z27" s="55" t="str">
        <f>Q27</f>
        <v>公共配套设施</v>
      </c>
      <c r="AA27" s="1811">
        <f>D27/F27</f>
        <v>1</v>
      </c>
      <c r="AB27" s="1811">
        <f>D27/H27</f>
        <v>1</v>
      </c>
      <c r="AC27" s="1811">
        <f>D27/J27</f>
        <v>1</v>
      </c>
    </row>
    <row r="28" spans="1:29" s="117" customFormat="1" ht="15">
      <c r="A28" s="649"/>
      <c r="B28" s="456"/>
      <c r="C28" s="2704" t="s">
        <v>3491</v>
      </c>
      <c r="D28" s="448"/>
      <c r="E28" s="2615" t="s">
        <v>3491</v>
      </c>
      <c r="F28" s="448"/>
      <c r="G28" s="2615" t="s">
        <v>3491</v>
      </c>
      <c r="H28" s="448"/>
      <c r="I28" s="447" t="s">
        <v>3491</v>
      </c>
      <c r="J28" s="448"/>
      <c r="K28" s="672"/>
      <c r="L28" s="1134"/>
      <c r="M28" s="1135"/>
      <c r="N28" s="1135"/>
      <c r="O28" s="1136"/>
      <c r="P28" s="3213"/>
      <c r="Q28" s="1795"/>
      <c r="R28" s="769"/>
      <c r="S28" s="770"/>
      <c r="T28" s="769"/>
      <c r="U28" s="770"/>
      <c r="V28" s="769"/>
      <c r="W28" s="770"/>
      <c r="X28" s="771"/>
      <c r="Y28" s="3213"/>
      <c r="Z28" s="55"/>
      <c r="AA28" s="1811">
        <v>1</v>
      </c>
      <c r="AB28" s="1811">
        <v>1</v>
      </c>
      <c r="AC28" s="1811">
        <v>1</v>
      </c>
    </row>
    <row r="29" spans="1:29" s="117" customFormat="1" ht="15">
      <c r="A29" s="649"/>
      <c r="B29" s="1386" t="s">
        <v>2646</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3"/>
      <c r="Q29" s="1795"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1">
        <f>D29/F29</f>
        <v>1</v>
      </c>
      <c r="AB29" s="1811">
        <f>D29/H29</f>
        <v>1</v>
      </c>
      <c r="AC29" s="1811">
        <f>D29/J29</f>
        <v>1</v>
      </c>
    </row>
    <row r="30" spans="1:29" s="117" customFormat="1" ht="15">
      <c r="A30" s="649"/>
      <c r="B30" s="456"/>
      <c r="C30" s="2704" t="s">
        <v>3494</v>
      </c>
      <c r="D30" s="448"/>
      <c r="E30" s="2705" t="s">
        <v>3494</v>
      </c>
      <c r="F30" s="448"/>
      <c r="G30" s="2705" t="s">
        <v>3494</v>
      </c>
      <c r="H30" s="448"/>
      <c r="I30" s="2705" t="s">
        <v>3494</v>
      </c>
      <c r="J30" s="448"/>
      <c r="K30" s="672"/>
      <c r="L30" s="1134"/>
      <c r="M30" s="1135"/>
      <c r="N30" s="1135"/>
      <c r="O30" s="1136"/>
      <c r="P30" s="3213"/>
      <c r="Q30" s="1795"/>
      <c r="R30" s="769"/>
      <c r="S30" s="770"/>
      <c r="T30" s="769"/>
      <c r="U30" s="770"/>
      <c r="V30" s="769"/>
      <c r="W30" s="770"/>
      <c r="X30" s="771"/>
      <c r="Y30" s="3213"/>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3"/>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3"/>
      <c r="Z31" s="1814" t="str">
        <f t="shared" ref="Z31:Z45" si="13">Q31</f>
        <v>临街状况</v>
      </c>
      <c r="AA31" s="1811">
        <f t="shared" si="3"/>
        <v>1</v>
      </c>
      <c r="AB31" s="1811">
        <f t="shared" si="4"/>
        <v>1</v>
      </c>
      <c r="AC31" s="1811">
        <f t="shared" si="5"/>
        <v>1</v>
      </c>
    </row>
    <row r="32" spans="1:29" ht="27">
      <c r="A32" s="428"/>
      <c r="B32" s="1386" t="s">
        <v>2682</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1</v>
      </c>
      <c r="L32" s="1142"/>
      <c r="M32" s="1133"/>
      <c r="N32" s="1133"/>
      <c r="O32" s="1141"/>
      <c r="P32" s="3213"/>
      <c r="Q32" s="1810" t="str">
        <f t="shared" si="8"/>
        <v>毗邻道路的类型与等级</v>
      </c>
      <c r="R32" s="773" t="s">
        <v>17</v>
      </c>
      <c r="S32" s="774">
        <f t="shared" si="10"/>
        <v>98</v>
      </c>
      <c r="T32" s="773" t="s">
        <v>17</v>
      </c>
      <c r="U32" s="774">
        <f t="shared" si="11"/>
        <v>98</v>
      </c>
      <c r="V32" s="773" t="s">
        <v>17</v>
      </c>
      <c r="W32" s="774">
        <f t="shared" si="12"/>
        <v>98</v>
      </c>
      <c r="X32" s="1813"/>
      <c r="Y32" s="3213"/>
      <c r="Z32" s="1814" t="str">
        <f t="shared" si="13"/>
        <v>毗邻道路的类型与等级</v>
      </c>
      <c r="AA32" s="1811">
        <f t="shared" si="3"/>
        <v>1.0204081632653061</v>
      </c>
      <c r="AB32" s="1811">
        <f t="shared" si="4"/>
        <v>1.0204081632653061</v>
      </c>
      <c r="AC32" s="1811">
        <f t="shared" si="5"/>
        <v>1.0204081632653061</v>
      </c>
    </row>
    <row r="33" spans="1:29" ht="15">
      <c r="A33" s="428"/>
      <c r="B33" s="456"/>
      <c r="C33" s="447" t="s">
        <v>3495</v>
      </c>
      <c r="D33" s="448"/>
      <c r="E33" s="2615" t="s">
        <v>3497</v>
      </c>
      <c r="F33" s="448"/>
      <c r="G33" s="2615" t="s">
        <v>3497</v>
      </c>
      <c r="H33" s="448"/>
      <c r="I33" s="447" t="s">
        <v>3497</v>
      </c>
      <c r="J33" s="448"/>
      <c r="K33" s="613"/>
      <c r="L33" s="1142"/>
      <c r="M33" s="1133"/>
      <c r="N33" s="1133"/>
      <c r="O33" s="1141"/>
      <c r="P33" s="3213"/>
      <c r="Q33" s="1810"/>
      <c r="R33" s="773"/>
      <c r="S33" s="774"/>
      <c r="T33" s="773"/>
      <c r="U33" s="774"/>
      <c r="V33" s="773"/>
      <c r="W33" s="774"/>
      <c r="X33" s="1813"/>
      <c r="Y33" s="3213"/>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3"/>
      <c r="Q34" s="1810" t="str">
        <f t="shared" si="8"/>
        <v>土地级别</v>
      </c>
      <c r="R34" s="773" t="s">
        <v>17</v>
      </c>
      <c r="S34" s="774">
        <f t="shared" si="10"/>
        <v>100</v>
      </c>
      <c r="T34" s="773" t="s">
        <v>17</v>
      </c>
      <c r="U34" s="774">
        <f t="shared" si="11"/>
        <v>100</v>
      </c>
      <c r="V34" s="773" t="s">
        <v>17</v>
      </c>
      <c r="W34" s="774">
        <f t="shared" si="12"/>
        <v>100</v>
      </c>
      <c r="X34" s="1813"/>
      <c r="Y34" s="3213"/>
      <c r="Z34" s="1814" t="str">
        <f t="shared" si="13"/>
        <v>土地级别</v>
      </c>
      <c r="AA34" s="1811">
        <f t="shared" si="3"/>
        <v>1</v>
      </c>
      <c r="AB34" s="1811">
        <f t="shared" si="4"/>
        <v>1</v>
      </c>
      <c r="AC34" s="1811">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3"/>
      <c r="Q35" s="1810">
        <f t="shared" si="8"/>
        <v>111</v>
      </c>
      <c r="R35" s="773" t="s">
        <v>17</v>
      </c>
      <c r="S35" s="774">
        <f t="shared" si="10"/>
        <v>100</v>
      </c>
      <c r="T35" s="773" t="s">
        <v>17</v>
      </c>
      <c r="U35" s="774">
        <f t="shared" si="11"/>
        <v>100</v>
      </c>
      <c r="V35" s="773" t="s">
        <v>17</v>
      </c>
      <c r="W35" s="774">
        <f t="shared" si="12"/>
        <v>100</v>
      </c>
      <c r="X35" s="1813"/>
      <c r="Y35" s="3213"/>
      <c r="Z35" s="1814">
        <f t="shared" si="13"/>
        <v>111</v>
      </c>
      <c r="AA35" s="1811">
        <f t="shared" si="3"/>
        <v>1</v>
      </c>
      <c r="AB35" s="1811">
        <f t="shared" si="4"/>
        <v>1</v>
      </c>
      <c r="AC35" s="1811">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14" t="s">
        <v>2556</v>
      </c>
      <c r="Q36" s="1810">
        <f t="shared" si="8"/>
        <v>111</v>
      </c>
      <c r="R36" s="773" t="s">
        <v>17</v>
      </c>
      <c r="S36" s="774">
        <f t="shared" si="10"/>
        <v>100</v>
      </c>
      <c r="T36" s="773" t="s">
        <v>17</v>
      </c>
      <c r="U36" s="774">
        <f t="shared" si="11"/>
        <v>100</v>
      </c>
      <c r="V36" s="773" t="s">
        <v>17</v>
      </c>
      <c r="W36" s="774">
        <f t="shared" si="12"/>
        <v>100</v>
      </c>
      <c r="X36" s="1813"/>
      <c r="Y36" s="3215" t="s">
        <v>2556</v>
      </c>
      <c r="Z36" s="1814">
        <f t="shared" si="13"/>
        <v>111</v>
      </c>
      <c r="AA36" s="1811">
        <f t="shared" si="3"/>
        <v>1</v>
      </c>
      <c r="AB36" s="1811">
        <f t="shared" si="4"/>
        <v>1</v>
      </c>
      <c r="AC36" s="1811">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5"/>
      <c r="Q37" s="1810">
        <f t="shared" si="8"/>
        <v>111</v>
      </c>
      <c r="R37" s="776" t="s">
        <v>17</v>
      </c>
      <c r="S37" s="777">
        <f t="shared" si="10"/>
        <v>100</v>
      </c>
      <c r="T37" s="776" t="s">
        <v>17</v>
      </c>
      <c r="U37" s="777">
        <f t="shared" si="11"/>
        <v>100</v>
      </c>
      <c r="V37" s="776" t="s">
        <v>17</v>
      </c>
      <c r="W37" s="777">
        <f t="shared" si="12"/>
        <v>100</v>
      </c>
      <c r="X37" s="778"/>
      <c r="Y37" s="3215"/>
      <c r="Z37" s="779">
        <f t="shared" si="13"/>
        <v>111</v>
      </c>
      <c r="AA37" s="1811">
        <f t="shared" si="3"/>
        <v>1</v>
      </c>
      <c r="AB37" s="1811">
        <f t="shared" si="4"/>
        <v>1</v>
      </c>
      <c r="AC37" s="1811">
        <f t="shared" si="5"/>
        <v>1</v>
      </c>
    </row>
    <row r="38" spans="1:29" ht="15">
      <c r="A38" s="472" t="s">
        <v>2554</v>
      </c>
      <c r="B38" s="456" t="s">
        <v>2742</v>
      </c>
      <c r="C38" s="679">
        <f>'数据-基础表'!A3</f>
        <v>10335.5</v>
      </c>
      <c r="D38" s="467">
        <v>100</v>
      </c>
      <c r="E38" s="679">
        <f>Sheet1!D9</f>
        <v>9412</v>
      </c>
      <c r="F38" s="467">
        <f>LOOKUP(E38,117:117,118:118)-LOOKUP(C38,117:117,118:118)+100</f>
        <v>100</v>
      </c>
      <c r="G38" s="679">
        <f>Sheet1!D11</f>
        <v>32640</v>
      </c>
      <c r="H38" s="467">
        <f>LOOKUP(G38,117:117,118:118)-LOOKUP(C38,117:117,118:118)+100</f>
        <v>100</v>
      </c>
      <c r="I38" s="530">
        <f>Sheet1!D13</f>
        <v>15423</v>
      </c>
      <c r="J38" s="467">
        <f>LOOKUP(I38,117:117,118:118)-LOOKUP(C38,117:117,118:118)+100</f>
        <v>100</v>
      </c>
      <c r="K38" s="613"/>
      <c r="L38" s="1142"/>
      <c r="M38" s="1133"/>
      <c r="N38" s="1133"/>
      <c r="O38" s="1141"/>
      <c r="P38" s="3215"/>
      <c r="Q38" s="1810" t="str">
        <f>B38</f>
        <v>宗地面积</v>
      </c>
      <c r="R38" s="773" t="s">
        <v>17</v>
      </c>
      <c r="S38" s="774">
        <f t="shared" si="10"/>
        <v>100</v>
      </c>
      <c r="T38" s="773" t="s">
        <v>17</v>
      </c>
      <c r="U38" s="774">
        <f t="shared" si="11"/>
        <v>100</v>
      </c>
      <c r="V38" s="773" t="s">
        <v>17</v>
      </c>
      <c r="W38" s="774">
        <f t="shared" si="12"/>
        <v>100</v>
      </c>
      <c r="X38" s="1813"/>
      <c r="Y38" s="3215"/>
      <c r="Z38" s="1814" t="str">
        <f t="shared" si="13"/>
        <v>宗地面积</v>
      </c>
      <c r="AA38" s="1811">
        <f t="shared" si="3"/>
        <v>1</v>
      </c>
      <c r="AB38" s="1811">
        <f t="shared" si="4"/>
        <v>1</v>
      </c>
      <c r="AC38" s="1811">
        <f t="shared" si="5"/>
        <v>1</v>
      </c>
    </row>
    <row r="39" spans="1:29" ht="15">
      <c r="A39" s="472"/>
      <c r="B39" s="422" t="s">
        <v>2743</v>
      </c>
      <c r="C39" s="2617" t="s">
        <v>3499</v>
      </c>
      <c r="D39" s="435">
        <v>100</v>
      </c>
      <c r="E39" s="2617" t="s">
        <v>3499</v>
      </c>
      <c r="F39" s="435">
        <f>SUMIF(119:119,E39,120:120)-SUMIF(119:119,C39,120:120)+100</f>
        <v>100</v>
      </c>
      <c r="G39" s="2617" t="s">
        <v>3499</v>
      </c>
      <c r="H39" s="435">
        <f>SUMIF(119:119,G39,120:120)-SUMIF(119:119,C39,120:120)+100</f>
        <v>100</v>
      </c>
      <c r="I39" s="2617" t="s">
        <v>3499</v>
      </c>
      <c r="J39" s="435">
        <f>SUMIF(119:119,I39,120:120)-SUMIF(119:119,C39,120:120)+100</f>
        <v>100</v>
      </c>
      <c r="K39" s="612">
        <v>3</v>
      </c>
      <c r="L39" s="1142"/>
      <c r="M39" s="1133"/>
      <c r="N39" s="1133"/>
      <c r="O39" s="1141"/>
      <c r="P39" s="3215"/>
      <c r="Q39" s="1810" t="str">
        <f t="shared" ref="Q39:Q45" si="14">B39</f>
        <v>宗地形状</v>
      </c>
      <c r="R39" s="773" t="s">
        <v>17</v>
      </c>
      <c r="S39" s="774">
        <f t="shared" si="10"/>
        <v>100</v>
      </c>
      <c r="T39" s="773" t="s">
        <v>17</v>
      </c>
      <c r="U39" s="774">
        <f t="shared" si="11"/>
        <v>100</v>
      </c>
      <c r="V39" s="773" t="s">
        <v>17</v>
      </c>
      <c r="W39" s="774">
        <f t="shared" si="12"/>
        <v>100</v>
      </c>
      <c r="X39" s="1813"/>
      <c r="Y39" s="3215"/>
      <c r="Z39" s="1814" t="str">
        <f t="shared" si="13"/>
        <v>宗地形状</v>
      </c>
      <c r="AA39" s="1811">
        <f t="shared" si="3"/>
        <v>1</v>
      </c>
      <c r="AB39" s="1811">
        <f t="shared" si="4"/>
        <v>1</v>
      </c>
      <c r="AC39" s="1811">
        <f t="shared" si="5"/>
        <v>1</v>
      </c>
    </row>
    <row r="40" spans="1:29" ht="15">
      <c r="A40" s="472"/>
      <c r="B40" s="422" t="s">
        <v>2744</v>
      </c>
      <c r="C40" s="2617" t="s">
        <v>3501</v>
      </c>
      <c r="D40" s="435">
        <v>100</v>
      </c>
      <c r="E40" s="2617" t="s">
        <v>3501</v>
      </c>
      <c r="F40" s="435">
        <f>SUMIF(121:121,E40,122:122)-SUMIF(121:121,C40,122:122)+100</f>
        <v>100</v>
      </c>
      <c r="G40" s="2617" t="s">
        <v>3501</v>
      </c>
      <c r="H40" s="435">
        <f>SUMIF(121:121,G40,122:122)-SUMIF(121:121,C40,122:122)+100</f>
        <v>100</v>
      </c>
      <c r="I40" s="2617" t="s">
        <v>3501</v>
      </c>
      <c r="J40" s="435">
        <f>SUMIF(121:121,I40,122:122)-SUMIF(121:121,C40,122:122)+100</f>
        <v>100</v>
      </c>
      <c r="K40" s="612">
        <v>1</v>
      </c>
      <c r="L40" s="1142"/>
      <c r="M40" s="1133"/>
      <c r="N40" s="1133"/>
      <c r="O40" s="1141"/>
      <c r="P40" s="3215"/>
      <c r="Q40" s="1810" t="str">
        <f t="shared" si="14"/>
        <v>临街宽度及深度</v>
      </c>
      <c r="R40" s="773" t="s">
        <v>17</v>
      </c>
      <c r="S40" s="774">
        <f t="shared" si="10"/>
        <v>100</v>
      </c>
      <c r="T40" s="773" t="s">
        <v>17</v>
      </c>
      <c r="U40" s="774">
        <f t="shared" si="11"/>
        <v>100</v>
      </c>
      <c r="V40" s="773" t="s">
        <v>17</v>
      </c>
      <c r="W40" s="774">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2745</v>
      </c>
      <c r="C41" s="2706" t="s">
        <v>3503</v>
      </c>
      <c r="D41" s="136">
        <v>100</v>
      </c>
      <c r="E41" s="2706" t="s">
        <v>3503</v>
      </c>
      <c r="F41" s="435">
        <f>SUMIF(123:123,E41,124:124)-SUMIF(123:123,C41,124:124)+100</f>
        <v>100</v>
      </c>
      <c r="G41" s="2706" t="s">
        <v>3503</v>
      </c>
      <c r="H41" s="435">
        <f>SUMIF(123:123,G41,124:124)-SUMIF(123:123,C41,124:124)+100</f>
        <v>100</v>
      </c>
      <c r="I41" s="2706" t="s">
        <v>3503</v>
      </c>
      <c r="J41" s="435">
        <f>SUMIF(123:123,I41,124:124)-SUMIF(123:123,C41,124:124)+100</f>
        <v>100</v>
      </c>
      <c r="K41" s="612">
        <v>1</v>
      </c>
      <c r="L41" s="1134"/>
      <c r="M41" s="1135"/>
      <c r="N41" s="1135"/>
      <c r="O41" s="1136"/>
      <c r="P41" s="3215"/>
      <c r="Q41" s="1810" t="str">
        <f t="shared" si="14"/>
        <v>宗地开发程度</v>
      </c>
      <c r="R41" s="769" t="s">
        <v>17</v>
      </c>
      <c r="S41" s="770">
        <f t="shared" si="10"/>
        <v>100</v>
      </c>
      <c r="T41" s="769" t="s">
        <v>17</v>
      </c>
      <c r="U41" s="770">
        <f t="shared" si="11"/>
        <v>100</v>
      </c>
      <c r="V41" s="769" t="s">
        <v>17</v>
      </c>
      <c r="W41" s="770">
        <f t="shared" si="12"/>
        <v>100</v>
      </c>
      <c r="X41" s="771"/>
      <c r="Y41" s="3215"/>
      <c r="Z41" s="55" t="str">
        <f t="shared" si="13"/>
        <v>宗地开发程度</v>
      </c>
      <c r="AA41" s="772">
        <f t="shared" si="3"/>
        <v>1</v>
      </c>
      <c r="AB41" s="772">
        <f t="shared" si="4"/>
        <v>1</v>
      </c>
      <c r="AC41" s="772">
        <f t="shared" si="5"/>
        <v>1</v>
      </c>
    </row>
    <row r="42" spans="1:29" ht="15">
      <c r="A42" s="472"/>
      <c r="B42" s="422" t="s">
        <v>2746</v>
      </c>
      <c r="C42" s="2617" t="s">
        <v>3493</v>
      </c>
      <c r="D42" s="435">
        <v>100</v>
      </c>
      <c r="E42" s="2617" t="s">
        <v>3493</v>
      </c>
      <c r="F42" s="435">
        <f>SUMIF(125:125,E42,126:126)-SUMIF(125:125,C42,126:126)+100</f>
        <v>100</v>
      </c>
      <c r="G42" s="2617" t="s">
        <v>3493</v>
      </c>
      <c r="H42" s="435">
        <f>SUMIF(125:125,G42,126:126)-SUMIF(125:125,C42,126:126)+100</f>
        <v>100</v>
      </c>
      <c r="I42" s="2617" t="s">
        <v>3493</v>
      </c>
      <c r="J42" s="435">
        <f>SUMIF(125:125,I42,126:126)-SUMIF(125:125,C42,126:126)+100</f>
        <v>100</v>
      </c>
      <c r="K42" s="612">
        <v>1</v>
      </c>
      <c r="L42" s="1142"/>
      <c r="M42" s="1133"/>
      <c r="N42" s="1133"/>
      <c r="O42" s="1141"/>
      <c r="P42" s="3215" t="s">
        <v>2556</v>
      </c>
      <c r="Q42" s="1810" t="str">
        <f t="shared" si="14"/>
        <v>工程地质条件</v>
      </c>
      <c r="R42" s="773" t="s">
        <v>17</v>
      </c>
      <c r="S42" s="774">
        <f t="shared" si="10"/>
        <v>100</v>
      </c>
      <c r="T42" s="773" t="s">
        <v>17</v>
      </c>
      <c r="U42" s="774">
        <f t="shared" si="11"/>
        <v>100</v>
      </c>
      <c r="V42" s="773" t="s">
        <v>17</v>
      </c>
      <c r="W42" s="774">
        <f t="shared" si="12"/>
        <v>100</v>
      </c>
      <c r="X42" s="1813"/>
      <c r="Y42" s="3215" t="s">
        <v>2556</v>
      </c>
      <c r="Z42" s="1814" t="str">
        <f t="shared" si="13"/>
        <v>工程地质条件</v>
      </c>
      <c r="AA42" s="1811">
        <f t="shared" si="3"/>
        <v>1</v>
      </c>
      <c r="AB42" s="1811">
        <f t="shared" si="4"/>
        <v>1</v>
      </c>
      <c r="AC42" s="1811">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5"/>
      <c r="Q43" s="1810">
        <f t="shared" si="14"/>
        <v>111</v>
      </c>
      <c r="R43" s="773" t="s">
        <v>17</v>
      </c>
      <c r="S43" s="774">
        <f t="shared" si="10"/>
        <v>100</v>
      </c>
      <c r="T43" s="773" t="s">
        <v>17</v>
      </c>
      <c r="U43" s="774">
        <f t="shared" si="11"/>
        <v>100</v>
      </c>
      <c r="V43" s="773" t="s">
        <v>17</v>
      </c>
      <c r="W43" s="774">
        <f t="shared" si="12"/>
        <v>100</v>
      </c>
      <c r="X43" s="1813"/>
      <c r="Y43" s="3215"/>
      <c r="Z43" s="1814">
        <f t="shared" si="13"/>
        <v>111</v>
      </c>
      <c r="AA43" s="1811">
        <f t="shared" si="3"/>
        <v>1</v>
      </c>
      <c r="AB43" s="1811">
        <f t="shared" si="4"/>
        <v>1</v>
      </c>
      <c r="AC43" s="1811">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5"/>
      <c r="Q44" s="1810">
        <f t="shared" si="14"/>
        <v>111</v>
      </c>
      <c r="R44" s="773" t="s">
        <v>17</v>
      </c>
      <c r="S44" s="774">
        <f t="shared" si="10"/>
        <v>100</v>
      </c>
      <c r="T44" s="773" t="s">
        <v>17</v>
      </c>
      <c r="U44" s="774">
        <f t="shared" si="11"/>
        <v>100</v>
      </c>
      <c r="V44" s="773" t="s">
        <v>17</v>
      </c>
      <c r="W44" s="774">
        <f t="shared" si="12"/>
        <v>100</v>
      </c>
      <c r="X44" s="1813"/>
      <c r="Y44" s="3215"/>
      <c r="Z44" s="1814">
        <f t="shared" si="13"/>
        <v>111</v>
      </c>
      <c r="AA44" s="1811">
        <f t="shared" si="3"/>
        <v>1</v>
      </c>
      <c r="AB44" s="1811">
        <f t="shared" si="4"/>
        <v>1</v>
      </c>
      <c r="AC44" s="1811">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5"/>
      <c r="Q45" s="1810">
        <f t="shared" si="14"/>
        <v>111</v>
      </c>
      <c r="R45" s="776" t="s">
        <v>17</v>
      </c>
      <c r="S45" s="777">
        <f t="shared" si="10"/>
        <v>100</v>
      </c>
      <c r="T45" s="776" t="s">
        <v>17</v>
      </c>
      <c r="U45" s="777">
        <f t="shared" si="11"/>
        <v>100</v>
      </c>
      <c r="V45" s="776" t="s">
        <v>17</v>
      </c>
      <c r="W45" s="777">
        <f t="shared" si="12"/>
        <v>100</v>
      </c>
      <c r="X45" s="778"/>
      <c r="Y45" s="3215"/>
      <c r="Z45" s="779">
        <f t="shared" si="13"/>
        <v>111</v>
      </c>
      <c r="AA45" s="1811">
        <f t="shared" si="3"/>
        <v>1</v>
      </c>
      <c r="AB45" s="1811">
        <f t="shared" si="4"/>
        <v>1</v>
      </c>
      <c r="AC45" s="1811">
        <f t="shared" si="5"/>
        <v>1</v>
      </c>
    </row>
    <row r="46" spans="1:29" ht="15">
      <c r="A46" s="479" t="s">
        <v>2711</v>
      </c>
      <c r="B46" s="2708" t="s">
        <v>2747</v>
      </c>
      <c r="C46" s="682" t="s">
        <v>1</v>
      </c>
      <c r="D46" s="481"/>
      <c r="E46" s="482">
        <f>Sheet1!K9</f>
        <v>4250.6000000000004</v>
      </c>
      <c r="F46" s="483"/>
      <c r="G46" s="484">
        <f>Sheet1!K11</f>
        <v>4000</v>
      </c>
      <c r="H46" s="485"/>
      <c r="I46" s="482">
        <f>Sheet1!K13</f>
        <v>3893.15</v>
      </c>
      <c r="J46" s="485"/>
      <c r="K46" s="782"/>
      <c r="L46" s="1145"/>
      <c r="M46" s="1146"/>
      <c r="N46" s="1133"/>
      <c r="O46" s="1146"/>
      <c r="P46" s="3197" t="str">
        <f>A46</f>
        <v>成交单价</v>
      </c>
      <c r="Q46" s="3197"/>
      <c r="R46" s="3210">
        <f>E46</f>
        <v>4250.6000000000004</v>
      </c>
      <c r="S46" s="3210"/>
      <c r="T46" s="3210">
        <f>G46</f>
        <v>4000</v>
      </c>
      <c r="U46" s="3210"/>
      <c r="V46" s="3210">
        <f>I46</f>
        <v>3893.15</v>
      </c>
      <c r="W46" s="3210"/>
      <c r="X46" s="758"/>
      <c r="Y46" s="780"/>
      <c r="Z46" s="758"/>
      <c r="AA46" s="758"/>
      <c r="AB46" s="758"/>
      <c r="AC46" s="758"/>
    </row>
    <row r="47" spans="1:29" ht="15.75" thickBot="1">
      <c r="A47" s="486" t="s">
        <v>2660</v>
      </c>
      <c r="B47" s="683"/>
      <c r="C47" s="490">
        <f>R48</f>
        <v>4545</v>
      </c>
      <c r="D47" s="489"/>
      <c r="E47" s="490">
        <f>R47</f>
        <v>4687</v>
      </c>
      <c r="F47" s="491"/>
      <c r="G47" s="488">
        <f>T47</f>
        <v>4344</v>
      </c>
      <c r="H47" s="489"/>
      <c r="I47" s="490">
        <f>V47</f>
        <v>4603</v>
      </c>
      <c r="J47" s="489"/>
      <c r="K47" s="783"/>
      <c r="L47" s="1145"/>
      <c r="M47" s="1146"/>
      <c r="N47" s="1146"/>
      <c r="O47" s="1146"/>
      <c r="P47" s="3197" t="str">
        <f>A47</f>
        <v>比较价值（元/平方米）</v>
      </c>
      <c r="Q47" s="3197"/>
      <c r="R47" s="3216">
        <f>ROUND(PRODUCT(R46,AA7:AA45),0)</f>
        <v>4687</v>
      </c>
      <c r="S47" s="3216"/>
      <c r="T47" s="3216">
        <f>ROUND(PRODUCT(T46,AB7:AB45),0)</f>
        <v>4344</v>
      </c>
      <c r="U47" s="3216"/>
      <c r="V47" s="3216">
        <f>ROUND(PRODUCT(V46,AC7:AC45),0)</f>
        <v>4603</v>
      </c>
      <c r="W47" s="3216"/>
      <c r="X47" s="758"/>
      <c r="Y47" s="758"/>
      <c r="Z47" s="758"/>
      <c r="AA47" s="758"/>
      <c r="AB47" s="758"/>
      <c r="AC47" s="758"/>
    </row>
    <row r="48" spans="1:29" ht="15.75" thickBot="1">
      <c r="A48" s="492" t="s">
        <v>2748</v>
      </c>
      <c r="B48" s="493"/>
      <c r="C48" s="494">
        <f>R48</f>
        <v>4545</v>
      </c>
      <c r="D48" s="494"/>
      <c r="E48" s="494"/>
      <c r="F48" s="494"/>
      <c r="G48" s="494"/>
      <c r="H48" s="494"/>
      <c r="I48" s="494"/>
      <c r="J48" s="494"/>
      <c r="K48" s="784"/>
      <c r="L48" s="1145"/>
      <c r="M48" s="1146"/>
      <c r="N48" s="1146"/>
      <c r="O48" s="1146"/>
      <c r="P48" s="3217" t="str">
        <f>A48</f>
        <v>估价对象XX用房的比较价值（楼面单价，元/平方米）</v>
      </c>
      <c r="Q48" s="3218"/>
      <c r="R48" s="3219">
        <f>ROUND(AVERAGE(R47:V47),0)</f>
        <v>4545</v>
      </c>
      <c r="S48" s="3219"/>
      <c r="T48" s="3219"/>
      <c r="U48" s="3219"/>
      <c r="V48" s="3219"/>
      <c r="W48" s="321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f>IF(E46&lt;E47,E47/E46-1,E46/E47-1)</f>
        <v>0.10266785865524852</v>
      </c>
      <c r="F51" s="500" t="str">
        <f>IF(OR(E51&gt;=0.3,E51&lt;=-0.3),"超过30%","")</f>
        <v/>
      </c>
      <c r="G51" s="499">
        <f>IF(G46&lt;G47,G47/G46-1,G46/G47-1)</f>
        <v>8.6000000000000076E-2</v>
      </c>
      <c r="H51" s="500" t="str">
        <f>IF(OR(G51&gt;=0.3,G51&lt;=-0.3),"超过30%","")</f>
        <v/>
      </c>
      <c r="I51" s="499">
        <f>IF(I46&lt;I47,I47/I46-1,I46/I47-1)</f>
        <v>0.18233307219089934</v>
      </c>
      <c r="J51" s="500" t="str">
        <f>IF(OR(I51&gt;=0.3,I51&lt;=-0.3),"超过30%","")</f>
        <v/>
      </c>
      <c r="K51" s="1107"/>
      <c r="L51" s="1108"/>
      <c r="M51" s="1146"/>
      <c r="N51" s="1146"/>
      <c r="O51" s="1146"/>
    </row>
    <row r="52" spans="1:15" ht="13.5" customHeight="1">
      <c r="A52" s="1146"/>
      <c r="B52" s="1146"/>
      <c r="C52" s="497" t="s">
        <v>2663</v>
      </c>
      <c r="D52" s="501"/>
      <c r="E52" s="499">
        <f>IF(E47&lt;G47,G47/E47-1,E47/G47-1)</f>
        <v>7.8959484346224684E-2</v>
      </c>
      <c r="F52" s="500" t="str">
        <f>IF(OR(E52&gt;=0.2,E52&lt;=-0.2),"超过20%","")</f>
        <v/>
      </c>
      <c r="G52" s="499">
        <f>IF(G47&lt;I47,I47/G47-1,G47/I47-1)</f>
        <v>5.9622467771639043E-2</v>
      </c>
      <c r="H52" s="500" t="str">
        <f>IF(OR(G52&gt;=0.2,G52&lt;=-0.2),"超过20%","")</f>
        <v/>
      </c>
      <c r="I52" s="499">
        <f>IF(I47&lt;E47,E47/I47-1,I47/E47-1)</f>
        <v>1.824896806430587E-2</v>
      </c>
      <c r="J52" s="500" t="str">
        <f>IF(OR(I52&gt;=0.2,I52&lt;=-0.2),"超过20%","")</f>
        <v/>
      </c>
      <c r="K52" s="1107"/>
      <c r="L52" s="1108"/>
      <c r="M52" s="1146"/>
      <c r="N52" s="1146"/>
      <c r="O52" s="1146"/>
    </row>
    <row r="53" spans="1:15" s="502" customFormat="1" ht="13.5" customHeight="1">
      <c r="A53" s="1147"/>
      <c r="B53" s="1147"/>
      <c r="C53" s="497" t="s">
        <v>2664</v>
      </c>
      <c r="D53" s="501"/>
      <c r="E53" s="499">
        <f>IF(E46&lt;G46,G46/E46-1,E46/G46-1)</f>
        <v>6.2650000000000095E-2</v>
      </c>
      <c r="F53" s="500" t="str">
        <f>IF(OR(E53&gt;=0.3,E53&lt;=-0.3),"超过30%","")</f>
        <v/>
      </c>
      <c r="G53" s="499">
        <f>IF(G46&lt;I46,I46/G46-1,G46/I46-1)</f>
        <v>2.7445641704018531E-2</v>
      </c>
      <c r="H53" s="500" t="str">
        <f>IF(OR(G53&gt;=0.3,G53&lt;=-0.3),"超过30%","")</f>
        <v/>
      </c>
      <c r="I53" s="499">
        <f>IF(I46&lt;E46,E46/I46-1,I46/E46-1)</f>
        <v>9.181511115677532E-2</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9" t="s">
        <v>2751</v>
      </c>
      <c r="D55" s="2710" t="s">
        <v>2752</v>
      </c>
      <c r="E55" s="686" t="s">
        <v>2753</v>
      </c>
      <c r="F55" s="1109" t="s">
        <v>2754</v>
      </c>
      <c r="G55" s="3198" t="s">
        <v>2755</v>
      </c>
      <c r="H55" s="3220"/>
      <c r="I55" s="144" t="s">
        <v>2756</v>
      </c>
      <c r="J55" s="2711">
        <f>项目基本情况!F35</f>
        <v>0</v>
      </c>
      <c r="K55" s="2712" t="s">
        <v>2757</v>
      </c>
      <c r="L55" s="1108"/>
      <c r="M55" s="1146"/>
      <c r="N55" s="1146"/>
      <c r="O55" s="1146"/>
    </row>
    <row r="56" spans="1:15" s="692" customFormat="1">
      <c r="A56" s="688" t="s">
        <v>2758</v>
      </c>
      <c r="B56" s="689">
        <f>C48</f>
        <v>4545</v>
      </c>
      <c r="C56" s="690">
        <v>1</v>
      </c>
      <c r="D56" s="1165">
        <v>1</v>
      </c>
      <c r="E56" s="690">
        <f>'数据-汇总表'!E8+'数据-汇总表'!E9</f>
        <v>34353.799999999996</v>
      </c>
      <c r="F56" s="1105">
        <f t="shared" ref="F56:F65" si="15">ROUND(B56*E56/10000,0)</f>
        <v>15614</v>
      </c>
      <c r="G56" s="3221"/>
      <c r="H56" s="3197"/>
      <c r="I56" s="1110">
        <v>1</v>
      </c>
      <c r="J56" s="1113">
        <v>1</v>
      </c>
      <c r="K56" s="1147"/>
      <c r="L56" s="943"/>
      <c r="M56" s="943"/>
      <c r="N56" s="943"/>
      <c r="O56" s="943"/>
    </row>
    <row r="57" spans="1:15" s="692" customFormat="1">
      <c r="A57" s="693" t="s">
        <v>2759</v>
      </c>
      <c r="B57" s="262">
        <f>ROUND($C$48*C57*D57,0)</f>
        <v>0</v>
      </c>
      <c r="C57" s="200">
        <f t="shared" ref="C57:C65" si="16">IF($C$55="北京市系数",I57,J57)</f>
        <v>0</v>
      </c>
      <c r="D57" s="1166">
        <v>0.25</v>
      </c>
      <c r="E57" s="694"/>
      <c r="F57" s="1105">
        <f t="shared" si="15"/>
        <v>0</v>
      </c>
      <c r="G57" s="3222" t="s">
        <v>2760</v>
      </c>
      <c r="H57" s="1106">
        <f>项目基本情况!B37</f>
        <v>0</v>
      </c>
      <c r="I57" s="1110">
        <f>SUMIF(修正!A45:A56,H57,修正!B45:B56)</f>
        <v>0</v>
      </c>
      <c r="J57" s="1114"/>
      <c r="K57" s="1146"/>
      <c r="L57" s="943"/>
      <c r="M57" s="943"/>
      <c r="N57" s="943"/>
      <c r="O57" s="943"/>
    </row>
    <row r="58" spans="1:15" s="692" customFormat="1">
      <c r="A58" s="693" t="s">
        <v>2761</v>
      </c>
      <c r="B58" s="262">
        <f t="shared" ref="B58:B65" si="17">ROUND($C$48*C58*D58,0)</f>
        <v>0</v>
      </c>
      <c r="C58" s="200">
        <f t="shared" si="16"/>
        <v>0</v>
      </c>
      <c r="D58" s="1166">
        <v>0.25</v>
      </c>
      <c r="E58" s="694"/>
      <c r="F58" s="1105">
        <f t="shared" si="15"/>
        <v>0</v>
      </c>
      <c r="G58" s="3222"/>
      <c r="H58" s="1106">
        <f>项目基本情况!B37</f>
        <v>0</v>
      </c>
      <c r="I58" s="1110">
        <f>SUMIF(修正!A45:A56,H58,修正!C45:C56)</f>
        <v>0</v>
      </c>
      <c r="J58" s="1114"/>
      <c r="K58" s="1147"/>
      <c r="L58" s="943"/>
      <c r="M58" s="943"/>
      <c r="N58" s="943"/>
      <c r="O58" s="943"/>
    </row>
    <row r="59" spans="1:15" s="692" customFormat="1">
      <c r="A59" s="693" t="s">
        <v>2762</v>
      </c>
      <c r="B59" s="262">
        <f t="shared" si="17"/>
        <v>0</v>
      </c>
      <c r="C59" s="200">
        <f t="shared" si="16"/>
        <v>0</v>
      </c>
      <c r="D59" s="1166">
        <v>0.25</v>
      </c>
      <c r="E59" s="694"/>
      <c r="F59" s="1105">
        <f t="shared" si="15"/>
        <v>0</v>
      </c>
      <c r="G59" s="3222"/>
      <c r="H59" s="1106">
        <f>项目基本情况!B37</f>
        <v>0</v>
      </c>
      <c r="I59" s="1110">
        <f>SUMIF(修正!A45:A56,H59,修正!D45:D56)</f>
        <v>0</v>
      </c>
      <c r="J59" s="1114"/>
      <c r="K59" s="1146"/>
      <c r="L59" s="943"/>
      <c r="M59" s="943"/>
      <c r="N59" s="943"/>
      <c r="O59" s="943"/>
    </row>
    <row r="60" spans="1:15" s="692" customFormat="1">
      <c r="A60" s="693" t="s">
        <v>2763</v>
      </c>
      <c r="B60" s="262">
        <f t="shared" si="17"/>
        <v>0</v>
      </c>
      <c r="C60" s="200">
        <f t="shared" si="16"/>
        <v>0</v>
      </c>
      <c r="D60" s="1166">
        <v>0.25</v>
      </c>
      <c r="E60" s="694"/>
      <c r="F60" s="1105">
        <f t="shared" si="15"/>
        <v>0</v>
      </c>
      <c r="G60" s="3222"/>
      <c r="H60" s="1106">
        <f>项目基本情况!B37</f>
        <v>0</v>
      </c>
      <c r="I60" s="1110">
        <f>SUMIF(修正!A45:A56,H60,修正!E45:E56)</f>
        <v>0</v>
      </c>
      <c r="J60" s="1114"/>
      <c r="K60" s="1147"/>
      <c r="L60" s="943"/>
      <c r="M60" s="943"/>
      <c r="N60" s="943"/>
      <c r="O60" s="943"/>
    </row>
    <row r="61" spans="1:15" s="692" customFormat="1">
      <c r="A61" s="693" t="s">
        <v>2764</v>
      </c>
      <c r="B61" s="262">
        <f t="shared" si="17"/>
        <v>0</v>
      </c>
      <c r="C61" s="200">
        <f t="shared" si="16"/>
        <v>0</v>
      </c>
      <c r="D61" s="1166">
        <v>0.25</v>
      </c>
      <c r="E61" s="261">
        <f>'数据-汇总表'!E11</f>
        <v>0</v>
      </c>
      <c r="F61" s="1105">
        <f t="shared" si="15"/>
        <v>0</v>
      </c>
      <c r="G61" s="2713" t="s">
        <v>2765</v>
      </c>
      <c r="H61" s="1106">
        <f>项目基本情况!C37</f>
        <v>0</v>
      </c>
      <c r="I61" s="1110">
        <f>SUMIF(修正!A45:A56,H61,修正!F45:F56)</f>
        <v>0</v>
      </c>
      <c r="J61" s="1114"/>
      <c r="K61" s="1146"/>
      <c r="L61" s="943"/>
      <c r="M61" s="943"/>
      <c r="N61" s="943"/>
      <c r="O61" s="943"/>
    </row>
    <row r="62" spans="1:15" s="692" customFormat="1">
      <c r="A62" s="693" t="s">
        <v>2766</v>
      </c>
      <c r="B62" s="262">
        <f t="shared" si="17"/>
        <v>0</v>
      </c>
      <c r="C62" s="200">
        <f t="shared" si="16"/>
        <v>0</v>
      </c>
      <c r="D62" s="1166">
        <v>0.25</v>
      </c>
      <c r="E62" s="261">
        <f>'数据-汇总表'!E12</f>
        <v>0</v>
      </c>
      <c r="F62" s="1105">
        <f t="shared" si="15"/>
        <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f t="shared" si="17"/>
        <v>0</v>
      </c>
      <c r="C63" s="200">
        <f t="shared" si="16"/>
        <v>0</v>
      </c>
      <c r="D63" s="1166">
        <v>0.25</v>
      </c>
      <c r="E63" s="261">
        <f>'数据-汇总表'!E13</f>
        <v>0</v>
      </c>
      <c r="F63" s="1105">
        <f t="shared" si="15"/>
        <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f t="shared" si="17"/>
        <v>0</v>
      </c>
      <c r="C64" s="200">
        <f t="shared" si="16"/>
        <v>0</v>
      </c>
      <c r="D64" s="1166">
        <v>0.25</v>
      </c>
      <c r="E64" s="261">
        <f>'数据-汇总表'!E14</f>
        <v>0</v>
      </c>
      <c r="F64" s="1105">
        <f t="shared" si="15"/>
        <v>0</v>
      </c>
      <c r="G64" s="2713" t="s">
        <v>2760</v>
      </c>
      <c r="H64" s="1106">
        <f>项目基本情况!B37</f>
        <v>0</v>
      </c>
      <c r="I64" s="1110">
        <f>SUMIF(修正!A45:A56,H64,修正!H45:H56)</f>
        <v>0</v>
      </c>
      <c r="J64" s="1114"/>
      <c r="K64" s="1147"/>
      <c r="L64" s="943"/>
      <c r="M64" s="943"/>
      <c r="N64" s="943"/>
      <c r="O64" s="943"/>
    </row>
    <row r="65" spans="1:17" s="692" customFormat="1" ht="15" thickBot="1">
      <c r="A65" s="693" t="s">
        <v>2771</v>
      </c>
      <c r="B65" s="262">
        <f t="shared" si="17"/>
        <v>0</v>
      </c>
      <c r="C65" s="200">
        <f t="shared" si="16"/>
        <v>0</v>
      </c>
      <c r="D65" s="1166">
        <v>0.25</v>
      </c>
      <c r="E65" s="261">
        <f>'数据-汇总表'!E15</f>
        <v>0</v>
      </c>
      <c r="F65" s="1105">
        <f t="shared" si="15"/>
        <v>0</v>
      </c>
      <c r="G65" s="2714"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34353.799999999996</v>
      </c>
      <c r="F66" s="697">
        <f>IF(B46="楼面地价",SUM(F56:F65),ROUND(C48*E66/10000,0))</f>
        <v>15614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15" t="s">
        <v>2773</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6" t="s">
        <v>2774</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2961" t="s">
        <v>3490</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5"/>
      <c r="O79" s="1155"/>
      <c r="P79" s="45"/>
      <c r="Q79" s="504"/>
    </row>
    <row r="80" spans="1:17" ht="15">
      <c r="A80" s="534"/>
      <c r="B80" s="548"/>
      <c r="C80" s="549">
        <v>0</v>
      </c>
      <c r="D80" s="549">
        <v>1</v>
      </c>
      <c r="E80" s="549">
        <v>2</v>
      </c>
      <c r="F80" s="549">
        <v>3</v>
      </c>
      <c r="G80" s="549">
        <v>4</v>
      </c>
      <c r="H80" s="549">
        <v>5</v>
      </c>
      <c r="I80" s="549">
        <v>6</v>
      </c>
      <c r="J80" s="549">
        <v>7</v>
      </c>
      <c r="K80" s="549">
        <v>8</v>
      </c>
      <c r="L80" s="549">
        <v>9</v>
      </c>
      <c r="M80" s="552"/>
      <c r="N80" s="1154"/>
      <c r="O80" s="1154"/>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2962" t="s">
        <v>3496</v>
      </c>
      <c r="D106" s="583"/>
      <c r="E106" s="2962" t="s">
        <v>3498</v>
      </c>
      <c r="F106" s="554"/>
      <c r="G106" s="554"/>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2741</v>
      </c>
      <c r="C108" s="2962" t="s">
        <v>3496</v>
      </c>
      <c r="D108" s="583"/>
      <c r="E108" s="2962" t="s">
        <v>3498</v>
      </c>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2554</v>
      </c>
      <c r="B116" s="528" t="s">
        <v>2782</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4"/>
      <c r="O117" s="1154"/>
      <c r="P117" s="45"/>
      <c r="Q117" s="504"/>
    </row>
    <row r="118" spans="1:17" ht="15.75" thickBot="1">
      <c r="A118" s="534"/>
      <c r="B118" s="543"/>
      <c r="C118" s="570">
        <v>100</v>
      </c>
      <c r="D118" s="591">
        <v>101</v>
      </c>
      <c r="E118" s="570">
        <v>102</v>
      </c>
      <c r="F118" s="591">
        <v>103</v>
      </c>
      <c r="G118" s="570">
        <v>104</v>
      </c>
      <c r="H118" s="591">
        <v>105</v>
      </c>
      <c r="I118" s="591"/>
      <c r="J118" s="591"/>
      <c r="K118" s="591"/>
      <c r="L118" s="591"/>
      <c r="M118" s="592"/>
      <c r="N118" s="1155"/>
      <c r="O118" s="1155"/>
      <c r="P118" s="45"/>
      <c r="Q118" s="504"/>
    </row>
    <row r="119" spans="1:17" ht="15" thickTop="1">
      <c r="A119" s="599"/>
      <c r="B119" s="538" t="s">
        <v>2783</v>
      </c>
      <c r="C119" s="2962" t="s">
        <v>3500</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5"/>
      <c r="O120" s="1155"/>
      <c r="P120" s="45"/>
      <c r="Q120" s="504"/>
    </row>
    <row r="121" spans="1:17" ht="15" thickTop="1">
      <c r="A121" s="599"/>
      <c r="B121" s="538" t="s">
        <v>2784</v>
      </c>
      <c r="C121" s="2963" t="s">
        <v>3502</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2785</v>
      </c>
      <c r="C123" s="2963" t="s">
        <v>3504</v>
      </c>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2786</v>
      </c>
      <c r="C125" s="2963" t="s">
        <v>3505</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v>101</v>
      </c>
      <c r="D1" s="1820" t="s">
        <v>70</v>
      </c>
      <c r="E1" s="1821" t="s">
        <v>1387</v>
      </c>
      <c r="F1" s="1285">
        <f ca="1">J53</f>
        <v>36.47</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67</v>
      </c>
      <c r="C2" s="1845" t="s">
        <v>1591</v>
      </c>
      <c r="D2" s="1938">
        <f ca="1">C40+J29+L46</f>
        <v>674046</v>
      </c>
      <c r="E2" s="1846" t="s">
        <v>1592</v>
      </c>
      <c r="F2" s="1847"/>
      <c r="G2" s="1848"/>
      <c r="H2" s="1840"/>
      <c r="I2" s="1840"/>
      <c r="J2" s="1840"/>
      <c r="K2" s="1841"/>
      <c r="L2" s="1840"/>
      <c r="M2" s="1840"/>
    </row>
    <row r="3" spans="1:37" ht="18" customHeight="1" thickBot="1">
      <c r="A3" s="1849" t="s">
        <v>1593</v>
      </c>
      <c r="B3" s="1850">
        <f ca="1">IF(ISERROR(D2/F43),0,ROUND(D2/F43,0))</f>
        <v>22401</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36609</v>
      </c>
      <c r="D5" s="1822" t="s">
        <v>1601</v>
      </c>
      <c r="E5" s="1295"/>
      <c r="F5" s="1296"/>
      <c r="G5" s="1851"/>
      <c r="H5" s="344">
        <v>1</v>
      </c>
      <c r="I5" s="345" t="s">
        <v>1600</v>
      </c>
      <c r="J5" s="1294">
        <f ca="1">J6+J10+J12</f>
        <v>0</v>
      </c>
      <c r="K5" s="1822" t="s">
        <v>1601</v>
      </c>
      <c r="L5" s="1295"/>
      <c r="M5" s="1296"/>
    </row>
    <row r="6" spans="1:37" ht="18" customHeight="1">
      <c r="A6" s="1293" t="s">
        <v>1035</v>
      </c>
      <c r="B6" s="3177" t="s">
        <v>1403</v>
      </c>
      <c r="C6" s="1298">
        <f ca="1">ROUND(F6*F8*F7*(1-F9),0)</f>
        <v>36518</v>
      </c>
      <c r="D6" s="164" t="s">
        <v>3020</v>
      </c>
      <c r="E6" s="347" t="s">
        <v>1405</v>
      </c>
      <c r="F6" s="348">
        <f ca="1">INDIRECT("'数据-取费表'!u"&amp;$G$1)</f>
        <v>3.5</v>
      </c>
      <c r="G6" s="1851"/>
      <c r="H6" s="1293" t="s">
        <v>1035</v>
      </c>
      <c r="I6" s="3177" t="s">
        <v>1403</v>
      </c>
      <c r="J6" s="346">
        <f ca="1">ROUND(M6*M8*M7*(1-M9),0)</f>
        <v>0</v>
      </c>
      <c r="K6" s="1834" t="s">
        <v>3021</v>
      </c>
      <c r="L6" s="347" t="s">
        <v>1405</v>
      </c>
      <c r="M6" s="348">
        <f ca="1">INDIRECT("'数据-取费表'!z"&amp;$G$1)</f>
        <v>0</v>
      </c>
    </row>
    <row r="7" spans="1:37" ht="18" customHeight="1">
      <c r="A7" s="1297"/>
      <c r="B7" s="3178"/>
      <c r="C7" s="1299"/>
      <c r="D7" s="352"/>
      <c r="E7" s="1300" t="s">
        <v>1406</v>
      </c>
      <c r="F7" s="348">
        <f ca="1">IF(INDIRECT("'数据-取费表'!ah"&amp;$G$1)="",INDIRECT("'数据-取费表'!k"&amp;$G$1),INDIRECT("'数据-取费表'!ah"&amp;$G$1))</f>
        <v>30.09</v>
      </c>
      <c r="G7" s="1851"/>
      <c r="H7" s="349"/>
      <c r="I7" s="3178"/>
      <c r="J7" s="351"/>
      <c r="K7" s="352"/>
      <c r="L7" s="347" t="s">
        <v>1406</v>
      </c>
      <c r="M7" s="348">
        <f ca="1">F7</f>
        <v>30.09</v>
      </c>
    </row>
    <row r="8" spans="1:37" ht="18" customHeight="1">
      <c r="A8" s="349"/>
      <c r="B8" s="3178"/>
      <c r="C8" s="351"/>
      <c r="D8" s="352"/>
      <c r="E8" s="347" t="s">
        <v>1407</v>
      </c>
      <c r="F8" s="348">
        <f ca="1">INDIRECT("'数据-取费表'!ai"&amp;$G$1)</f>
        <v>365</v>
      </c>
      <c r="G8" s="1851"/>
      <c r="H8" s="349"/>
      <c r="I8" s="3178"/>
      <c r="J8" s="351"/>
      <c r="K8" s="352"/>
      <c r="L8" s="347" t="s">
        <v>1407</v>
      </c>
      <c r="M8" s="348">
        <f ca="1">INDIRECT("'数据-取费表'!ai"&amp;$G$1)</f>
        <v>365</v>
      </c>
    </row>
    <row r="9" spans="1:37" ht="18" customHeight="1">
      <c r="A9" s="349"/>
      <c r="B9" s="3179"/>
      <c r="C9" s="351"/>
      <c r="D9" s="352"/>
      <c r="E9" s="347" t="s">
        <v>1408</v>
      </c>
      <c r="F9" s="357">
        <f ca="1">INDIRECT("'数据-取费表'!w"&amp;$G$1)</f>
        <v>0.05</v>
      </c>
      <c r="G9" s="1851"/>
      <c r="H9" s="349"/>
      <c r="I9" s="3179"/>
      <c r="J9" s="351"/>
      <c r="K9" s="352"/>
      <c r="L9" s="358" t="s">
        <v>1408</v>
      </c>
      <c r="M9" s="359">
        <f ca="1">INDIRECT("'数据-取费表'!ab"&amp;$G$1)</f>
        <v>0</v>
      </c>
    </row>
    <row r="10" spans="1:37" ht="18" customHeight="1">
      <c r="A10" s="1293" t="s">
        <v>1039</v>
      </c>
      <c r="B10" s="1823" t="s">
        <v>1409</v>
      </c>
      <c r="C10" s="361">
        <f ca="1">ROUND(IF(F10="押一",C6/12*F11,IF(F10="押二",C6/12*2*F11,IF(F10="押三",C6/12*3*F11,C11*F11))),0)</f>
        <v>91</v>
      </c>
      <c r="D10" s="1824" t="s">
        <v>3031</v>
      </c>
      <c r="E10" s="358" t="s">
        <v>1410</v>
      </c>
      <c r="F10" s="1368" t="s">
        <v>3354</v>
      </c>
      <c r="G10" s="1851"/>
      <c r="H10" s="1293" t="s">
        <v>1039</v>
      </c>
      <c r="I10" s="1823" t="s">
        <v>1409</v>
      </c>
      <c r="J10" s="346">
        <f ca="1">ROUND(IF(M10="押一",J6/12*M11,IF(M10="押二",J6/12*2*M11,IF(M10="押三",J6/12*3*M11,J11*M11))),0)</f>
        <v>0</v>
      </c>
      <c r="K10" s="1835" t="s">
        <v>3033</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185833</v>
      </c>
      <c r="D13" s="1333" t="s">
        <v>1415</v>
      </c>
      <c r="E13" s="1333" t="s">
        <v>1416</v>
      </c>
      <c r="F13" s="1334">
        <f ca="1">INDIRECT("'数据-取费表'!y"&amp;$G$1)</f>
        <v>0.97</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120360</v>
      </c>
      <c r="D14" s="1800" t="s">
        <v>1418</v>
      </c>
      <c r="E14" s="1794"/>
      <c r="F14" s="364"/>
      <c r="G14" s="1851"/>
      <c r="H14" s="1203" t="s">
        <v>1035</v>
      </c>
      <c r="I14" s="347" t="s">
        <v>1419</v>
      </c>
      <c r="J14" s="24">
        <f ca="1">C29</f>
        <v>191580</v>
      </c>
      <c r="K14" s="15"/>
      <c r="L14" s="981"/>
      <c r="M14" s="982"/>
    </row>
    <row r="15" spans="1:37" s="1858" customFormat="1" ht="18" customHeight="1" thickBot="1">
      <c r="A15" s="1203" t="s">
        <v>1036</v>
      </c>
      <c r="B15" s="347" t="s">
        <v>1420</v>
      </c>
      <c r="C15" s="24">
        <f ca="1">ROUND(C14*F15,0)</f>
        <v>6018</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4528</v>
      </c>
      <c r="K16" s="1339" t="s">
        <v>1425</v>
      </c>
      <c r="L16" s="1340"/>
      <c r="M16" s="1296"/>
    </row>
    <row r="17" spans="1:37" s="1858" customFormat="1" ht="18" customHeight="1">
      <c r="A17" s="1203" t="s">
        <v>1390</v>
      </c>
      <c r="B17" s="347" t="s">
        <v>1426</v>
      </c>
      <c r="C17" s="24">
        <f ca="1">ROUND(F17*(F43+INDIRECT("'数据-取费表'!S"&amp;$G$1)),0)</f>
        <v>6018</v>
      </c>
      <c r="D17" s="347" t="s">
        <v>1427</v>
      </c>
      <c r="E17" s="347" t="s">
        <v>1428</v>
      </c>
      <c r="F17" s="26">
        <f>'数据-取费表'!B35</f>
        <v>200</v>
      </c>
      <c r="G17" s="1854"/>
      <c r="H17" s="1203" t="s">
        <v>1035</v>
      </c>
      <c r="I17" s="347" t="s">
        <v>1429</v>
      </c>
      <c r="J17" s="24">
        <f ca="1">ROUND(IF(项目基本情况!B11="自然人",J5*M17,J18+J19+J20),0)</f>
        <v>1654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1805</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134201</v>
      </c>
      <c r="D19" s="140" t="s">
        <v>1436</v>
      </c>
      <c r="E19" s="1818"/>
      <c r="F19" s="26"/>
      <c r="G19" s="1851"/>
      <c r="H19" s="1203" t="s">
        <v>1036</v>
      </c>
      <c r="I19" s="347" t="s">
        <v>1437</v>
      </c>
      <c r="J19" s="24">
        <f ca="1">IF(K19="按租金收入计税",ROUND(J5*M19,0),ROUND(C29*M19*0.7,0))</f>
        <v>1609</v>
      </c>
      <c r="K19" s="1828" t="s">
        <v>1438</v>
      </c>
      <c r="L19" s="347" t="s">
        <v>1422</v>
      </c>
      <c r="M19" s="367">
        <f>IF(K19="按租金收入计税",'数据-取费表'!B51,'数据-取费表'!B50)</f>
        <v>1.2E-2</v>
      </c>
    </row>
    <row r="20" spans="1:37" s="1858" customFormat="1" ht="18" customHeight="1">
      <c r="A20" s="1203" t="s">
        <v>1039</v>
      </c>
      <c r="B20" s="347" t="s">
        <v>1439</v>
      </c>
      <c r="C20" s="24">
        <f ca="1">ROUND(C19*F20,0)</f>
        <v>4026</v>
      </c>
      <c r="D20" s="369" t="s">
        <v>1440</v>
      </c>
      <c r="E20" s="347" t="s">
        <v>1422</v>
      </c>
      <c r="F20" s="367">
        <f>'数据-取费表'!B37</f>
        <v>0.03</v>
      </c>
      <c r="G20" s="1854"/>
      <c r="H20" s="1203" t="s">
        <v>1389</v>
      </c>
      <c r="I20" s="164" t="s">
        <v>1441</v>
      </c>
      <c r="J20" s="25">
        <f ca="1">ROUND(M20*M21,0)</f>
        <v>45</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9.0500000000000007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2874</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8255</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-4528</v>
      </c>
      <c r="K25" s="1347" t="s">
        <v>1464</v>
      </c>
      <c r="L25" s="1348"/>
      <c r="M25" s="1349"/>
    </row>
    <row r="26" spans="1:37" ht="18" customHeight="1">
      <c r="A26" s="1203" t="s">
        <v>1034</v>
      </c>
      <c r="B26" s="347" t="s">
        <v>1465</v>
      </c>
      <c r="C26" s="24">
        <f ca="1">ROUND((C19+C20)*F26,0)</f>
        <v>27645</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191580</v>
      </c>
      <c r="D29" s="1344"/>
      <c r="E29" s="1342"/>
      <c r="F29" s="1345"/>
      <c r="G29" s="1854"/>
      <c r="H29" s="380" t="s">
        <v>1033</v>
      </c>
      <c r="I29" s="381" t="s">
        <v>1479</v>
      </c>
      <c r="J29" s="382">
        <f ca="1">ROUND(J26/(1+F40)^F41,0)</f>
        <v>0</v>
      </c>
      <c r="K29" s="383" t="s">
        <v>1480</v>
      </c>
      <c r="L29" s="384"/>
      <c r="M29" s="385">
        <f ca="1">INDIRECT("'数据-取费表'!k"&amp;$G$1)</f>
        <v>30.09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9909</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6390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1952</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4393</v>
      </c>
      <c r="D33" s="1828" t="s">
        <v>3355</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9.0500000000000007</v>
      </c>
      <c r="G35" s="1851"/>
      <c r="H35" s="744"/>
      <c r="I35" s="1860"/>
      <c r="J35" s="1861"/>
      <c r="K35" s="1862"/>
      <c r="L35" s="1859"/>
      <c r="M35" s="1859"/>
    </row>
    <row r="36" spans="1:18" ht="18" customHeight="1">
      <c r="A36" s="1354" t="s">
        <v>1039</v>
      </c>
      <c r="B36" s="347" t="s">
        <v>1449</v>
      </c>
      <c r="C36" s="24">
        <f ca="1">ROUND(C29*F36,0)</f>
        <v>2874</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279</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366.1</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26700</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670739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36.47</v>
      </c>
      <c r="G41" s="1851"/>
      <c r="H41" s="731"/>
      <c r="I41" s="1860"/>
      <c r="J41" s="1861"/>
      <c r="K41" s="750"/>
      <c r="L41" s="731"/>
      <c r="M41" s="731"/>
    </row>
    <row r="42" spans="1:18" ht="18" customHeight="1">
      <c r="A42" s="353"/>
      <c r="B42" s="354"/>
      <c r="C42" s="355"/>
      <c r="D42" s="373"/>
      <c r="E42" s="347" t="s">
        <v>1477</v>
      </c>
      <c r="F42" s="357">
        <f ca="1">INDIRECT("'数据-取费表'!v"&amp;$G$1)</f>
        <v>3.5000000000000003E-2</v>
      </c>
      <c r="G42" s="1851"/>
      <c r="H42" s="731"/>
      <c r="I42" s="1860"/>
      <c r="J42" s="1861"/>
      <c r="K42" s="750"/>
      <c r="L42" s="731"/>
      <c r="M42" s="731"/>
    </row>
    <row r="43" spans="1:18" ht="18" customHeight="1" thickBot="1">
      <c r="A43" s="380" t="s">
        <v>1033</v>
      </c>
      <c r="B43" s="381" t="s">
        <v>1487</v>
      </c>
      <c r="C43" s="382">
        <f ca="1">ROUND(C40/F43,0)</f>
        <v>22291</v>
      </c>
      <c r="D43" s="383" t="s">
        <v>1488</v>
      </c>
      <c r="E43" s="384" t="s">
        <v>1489</v>
      </c>
      <c r="F43" s="385">
        <f ca="1">INDIRECT("'数据-取费表'!k"&amp;$G$1)</f>
        <v>30.09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-1155354</v>
      </c>
      <c r="D45" s="1940" t="s">
        <v>1604</v>
      </c>
      <c r="E45" s="1866"/>
      <c r="F45" s="1866"/>
      <c r="O45" s="1869" t="s">
        <v>1519</v>
      </c>
      <c r="P45" s="1839"/>
      <c r="Q45" s="1839"/>
      <c r="R45" s="1839"/>
    </row>
    <row r="46" spans="1:18" s="1842" customFormat="1" ht="13.5" thickBot="1">
      <c r="A46" s="1870" t="s">
        <v>1520</v>
      </c>
      <c r="C46" s="1871">
        <f ca="1">ROUND(C45/10000,0)</f>
        <v>-116</v>
      </c>
      <c r="D46" s="1872" t="str">
        <f>C2</f>
        <v>万元</v>
      </c>
      <c r="I46" s="1873" t="s">
        <v>1521</v>
      </c>
      <c r="J46" s="1874"/>
      <c r="K46" s="1875"/>
      <c r="L46" s="1876">
        <f ca="1">IF(M47="住宅",0,IF(L48&gt;J51,L60,J60))</f>
        <v>3307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3357</v>
      </c>
      <c r="K47" s="1882" t="s">
        <v>1527</v>
      </c>
      <c r="L47" s="1883">
        <f ca="1">INDIRECT("'数据-取费表'!d"&amp;$G$1)</f>
        <v>40</v>
      </c>
      <c r="M47" s="1838" t="str">
        <f>IF(ISNUMBER(FIND("住宅",C1)),"住宅","非住宅")</f>
        <v>非住宅</v>
      </c>
      <c r="O47" s="1884" t="s">
        <v>1040</v>
      </c>
      <c r="P47" s="1885" t="s">
        <v>1528</v>
      </c>
      <c r="Q47" s="1886">
        <f ca="1">C40+J29</f>
        <v>670739</v>
      </c>
      <c r="R47" s="1886" t="s">
        <v>1529</v>
      </c>
    </row>
    <row r="48" spans="1:18" s="1842" customFormat="1" ht="28.5" thickBot="1">
      <c r="A48" s="1362" t="s">
        <v>1135</v>
      </c>
      <c r="B48" s="345" t="s">
        <v>1401</v>
      </c>
      <c r="C48" s="1817">
        <f ca="1">C49+C53+C55</f>
        <v>0</v>
      </c>
      <c r="D48" s="1364"/>
      <c r="E48" s="1365"/>
      <c r="F48" s="1183"/>
      <c r="G48" s="791"/>
      <c r="H48" s="792"/>
      <c r="I48" s="1887" t="s">
        <v>1530</v>
      </c>
      <c r="J48" s="1888" t="s">
        <v>3356</v>
      </c>
      <c r="K48" s="1889" t="s">
        <v>1531</v>
      </c>
      <c r="L48" s="1890">
        <f ca="1">INDIRECT("'数据-取费表'!f"&amp;$G$1)</f>
        <v>36.47</v>
      </c>
      <c r="O48" s="1884" t="s">
        <v>1041</v>
      </c>
      <c r="P48" s="1885" t="s">
        <v>1532</v>
      </c>
      <c r="Q48" s="1886">
        <f ca="1">J60</f>
        <v>3307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2016</v>
      </c>
      <c r="K49" s="1889" t="s">
        <v>1535</v>
      </c>
      <c r="L49" s="1893"/>
      <c r="O49" s="1894" t="s">
        <v>1042</v>
      </c>
      <c r="P49" s="1885" t="s">
        <v>1536</v>
      </c>
      <c r="Q49" s="1886">
        <f ca="1">C29</f>
        <v>191580</v>
      </c>
      <c r="R49" s="1886" t="s">
        <v>1529</v>
      </c>
    </row>
    <row r="50" spans="1:18" s="1842" customFormat="1" ht="13.5" thickBot="1">
      <c r="A50" s="1197"/>
      <c r="B50" s="1200"/>
      <c r="C50" s="1201"/>
      <c r="D50" s="1174"/>
      <c r="E50" s="1279" t="s">
        <v>1406</v>
      </c>
      <c r="F50" s="1280">
        <f ca="1">F7</f>
        <v>30.09</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58</v>
      </c>
      <c r="K51" s="1900" t="s">
        <v>1541</v>
      </c>
      <c r="L51" s="1901">
        <f ca="1">ROUND(-PV(INDIRECT("'数据-取费表'!h"&amp;$G$1),L48,(C39-C13*C76),0),0)</f>
        <v>181284</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36.47</v>
      </c>
      <c r="R52" s="1886" t="s">
        <v>1546</v>
      </c>
    </row>
    <row r="53" spans="1:18" s="1842" customFormat="1" ht="30.75" customHeight="1" thickBot="1">
      <c r="A53" s="1363" t="s">
        <v>1137</v>
      </c>
      <c r="B53" s="369" t="s">
        <v>1409</v>
      </c>
      <c r="C53" s="361">
        <f ca="1">ROUND(IF(F53="押一",C49/12*F11,IF(F53="押二",C49/12*2*F11,IF(F53="押三",C49/12*3*F11,C54*F11))),0)</f>
        <v>0</v>
      </c>
      <c r="D53" s="1824" t="s">
        <v>3034</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36.47</v>
      </c>
      <c r="K53" s="3175" t="s">
        <v>1548</v>
      </c>
      <c r="L53" s="3176"/>
      <c r="O53" s="1884" t="s">
        <v>1046</v>
      </c>
      <c r="P53" s="1885" t="s">
        <v>1549</v>
      </c>
      <c r="Q53" s="1886">
        <f ca="1">Q47+Q48</f>
        <v>674046</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0.35899999999999999</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185833</v>
      </c>
      <c r="D56" s="1914"/>
      <c r="E56" s="1915"/>
      <c r="F56" s="1907"/>
      <c r="I56" s="1916" t="s">
        <v>1554</v>
      </c>
      <c r="J56" s="1917" t="s">
        <v>3044</v>
      </c>
      <c r="K56" s="1887" t="s">
        <v>1555</v>
      </c>
      <c r="L56" s="1890" t="str">
        <f ca="1">IF(L48&lt;J51,"——",L48-J51)</f>
        <v>——</v>
      </c>
      <c r="O56" s="1884" t="s">
        <v>1040</v>
      </c>
      <c r="P56" s="1885" t="s">
        <v>1528</v>
      </c>
      <c r="Q56" s="1886">
        <f ca="1">C40+J29</f>
        <v>670739</v>
      </c>
      <c r="R56" s="1886" t="s">
        <v>1529</v>
      </c>
    </row>
    <row r="57" spans="1:18" s="1842" customFormat="1" ht="24.75" thickBot="1">
      <c r="A57" s="1918"/>
      <c r="B57" s="1171" t="s">
        <v>1478</v>
      </c>
      <c r="C57" s="282">
        <f ca="1">C29</f>
        <v>191580</v>
      </c>
      <c r="D57" s="1919"/>
      <c r="E57" s="1920"/>
      <c r="F57" s="1921"/>
      <c r="I57" s="1922" t="s">
        <v>1556</v>
      </c>
      <c r="J57" s="1923">
        <f ca="1">IF(OR(M47="住宅",J51&lt;L48,J56="是"),"——",J51-L48)</f>
        <v>21.53</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19291</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16138</v>
      </c>
      <c r="D59" s="1184" t="s">
        <v>1430</v>
      </c>
      <c r="E59" s="1185" t="s">
        <v>1431</v>
      </c>
      <c r="F59" s="368" t="str">
        <f ca="1">IF(项目基本情况!B11="企业","",IF(INDIRECT("'数据-取费表'!c"&amp;$G$1)="住宅",5%,IF(F49*F50*F51/12/(1+'数据-取费表'!C42)&gt;20000,12%,7%)))</f>
        <v/>
      </c>
      <c r="I59" s="1922" t="s">
        <v>1563</v>
      </c>
      <c r="J59" s="1923">
        <f ca="1">IF(OR(M47="住宅",J51&lt;L48,J56="是"),"——",ROUND(C29*J58,0))</f>
        <v>76632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3307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16093</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v>
      </c>
      <c r="D62" s="1186" t="s">
        <v>1497</v>
      </c>
      <c r="E62" s="1171" t="s">
        <v>1498</v>
      </c>
      <c r="F62" s="371">
        <f t="shared" si="0"/>
        <v>5</v>
      </c>
      <c r="I62" s="1929" t="s">
        <v>1570</v>
      </c>
      <c r="J62" s="1930" t="s">
        <v>1571</v>
      </c>
      <c r="K62" s="1930" t="s">
        <v>1572</v>
      </c>
      <c r="L62" s="1930" t="s">
        <v>1573</v>
      </c>
      <c r="M62" s="1931" t="s">
        <v>1574</v>
      </c>
      <c r="O62" s="1884" t="s">
        <v>1046</v>
      </c>
      <c r="P62" s="1885" t="s">
        <v>1575</v>
      </c>
      <c r="Q62" s="1886">
        <f ca="1">Q56+Q57</f>
        <v>670739</v>
      </c>
      <c r="R62" s="1886" t="s">
        <v>1047</v>
      </c>
    </row>
    <row r="63" spans="1:18" s="1842" customFormat="1" ht="13.5" thickBot="1">
      <c r="A63" s="372"/>
      <c r="B63" s="1177"/>
      <c r="C63" s="29"/>
      <c r="D63" s="1187"/>
      <c r="E63" s="1171" t="s">
        <v>1499</v>
      </c>
      <c r="F63" s="348">
        <f t="shared" ca="1" si="0"/>
        <v>9.0500000000000007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2874</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279</v>
      </c>
      <c r="D65" s="1185" t="s">
        <v>1454</v>
      </c>
      <c r="E65" s="1171" t="s">
        <v>1455</v>
      </c>
      <c r="F65" s="376">
        <f t="shared" ca="1" si="0"/>
        <v>1.5E-3</v>
      </c>
      <c r="I65" s="1929" t="s">
        <v>1579</v>
      </c>
      <c r="J65" s="1930">
        <v>40</v>
      </c>
      <c r="K65" s="1930">
        <v>30</v>
      </c>
      <c r="L65" s="1930">
        <v>50</v>
      </c>
      <c r="M65" s="1932">
        <v>0.02</v>
      </c>
      <c r="O65" s="1884" t="s">
        <v>1040</v>
      </c>
      <c r="P65" s="1885" t="s">
        <v>1580</v>
      </c>
      <c r="Q65" s="1886">
        <f ca="1">C40+J29</f>
        <v>670739</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-19291</v>
      </c>
      <c r="D67" s="1184" t="s">
        <v>1464</v>
      </c>
      <c r="E67" s="1189"/>
      <c r="F67" s="1190"/>
      <c r="O67" s="1894" t="s">
        <v>1042</v>
      </c>
      <c r="P67" s="1885" t="s">
        <v>1562</v>
      </c>
      <c r="Q67" s="1933">
        <f ca="1">L51</f>
        <v>181284</v>
      </c>
      <c r="R67" s="1886" t="s">
        <v>1582</v>
      </c>
    </row>
    <row r="68" spans="1:18" s="1842" customFormat="1" ht="16.5" thickBot="1">
      <c r="A68" s="1168" t="s">
        <v>1032</v>
      </c>
      <c r="B68" s="1169" t="s">
        <v>1485</v>
      </c>
      <c r="C68" s="346">
        <f ca="1">ROUND(C67*(1-((1+F70)/(1+F68))^F69)/(F68-F70),0)</f>
        <v>-484615</v>
      </c>
      <c r="D68" s="1186" t="s">
        <v>1469</v>
      </c>
      <c r="E68" s="1171" t="s">
        <v>1470</v>
      </c>
      <c r="F68" s="357">
        <f ca="1">F40</f>
        <v>5.5E-2</v>
      </c>
      <c r="O68" s="1894" t="s">
        <v>1043</v>
      </c>
      <c r="P68" s="1934" t="s">
        <v>1583</v>
      </c>
      <c r="Q68" s="1886">
        <f ca="1">ROUND(Q69-Q70*Q71,0)</f>
        <v>10904</v>
      </c>
      <c r="R68" s="1886" t="s">
        <v>1051</v>
      </c>
    </row>
    <row r="69" spans="1:18" s="1842" customFormat="1" ht="13.5" thickBot="1">
      <c r="A69" s="1172"/>
      <c r="B69" s="1173"/>
      <c r="C69" s="351"/>
      <c r="D69" s="1191" t="s">
        <v>1473</v>
      </c>
      <c r="E69" s="1171" t="s">
        <v>1474</v>
      </c>
      <c r="F69" s="379">
        <f ca="1">F41</f>
        <v>36.47</v>
      </c>
      <c r="O69" s="1894" t="s">
        <v>1048</v>
      </c>
      <c r="P69" s="1934" t="s">
        <v>1584</v>
      </c>
      <c r="Q69" s="1886">
        <f ca="1">C39</f>
        <v>26700</v>
      </c>
      <c r="R69" s="1886" t="s">
        <v>1529</v>
      </c>
    </row>
    <row r="70" spans="1:18" s="1842" customFormat="1" ht="13.5" thickBot="1">
      <c r="A70" s="1175"/>
      <c r="B70" s="1176"/>
      <c r="C70" s="355"/>
      <c r="D70" s="1187"/>
      <c r="E70" s="1171" t="s">
        <v>1477</v>
      </c>
      <c r="F70" s="1277">
        <f ca="1">F42</f>
        <v>3.5000000000000003E-2</v>
      </c>
      <c r="O70" s="1894" t="s">
        <v>1049</v>
      </c>
      <c r="P70" s="1934" t="s">
        <v>1585</v>
      </c>
      <c r="Q70" s="1886">
        <f ca="1">C13</f>
        <v>185833</v>
      </c>
      <c r="R70" s="1886" t="s">
        <v>1529</v>
      </c>
    </row>
    <row r="71" spans="1:18" s="1842" customFormat="1" ht="13.5" thickBot="1">
      <c r="A71" s="1192" t="s">
        <v>1033</v>
      </c>
      <c r="B71" s="1193" t="s">
        <v>1487</v>
      </c>
      <c r="C71" s="382">
        <f ca="1">ROUND(C68/F71,0)</f>
        <v>-16106</v>
      </c>
      <c r="D71" s="1194" t="s">
        <v>1488</v>
      </c>
      <c r="E71" s="1195" t="s">
        <v>1489</v>
      </c>
      <c r="F71" s="385">
        <f ca="1">F43</f>
        <v>30.09</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15796</v>
      </c>
      <c r="D75" s="1842"/>
      <c r="E75" s="1842"/>
      <c r="F75" s="1842"/>
      <c r="K75" s="1868"/>
      <c r="L75" s="1842"/>
      <c r="O75" s="1884" t="s">
        <v>1046</v>
      </c>
      <c r="P75" s="1885" t="s">
        <v>1549</v>
      </c>
      <c r="Q75" s="1886">
        <f ca="1">Q65+Q66</f>
        <v>670739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0.40800000000000003</v>
      </c>
    </row>
    <row r="80" spans="1:18">
      <c r="B80" s="386" t="s">
        <v>1511</v>
      </c>
      <c r="C80" s="318">
        <f ca="1">ROUND(C75/C39,3)</f>
        <v>0.59199999999999997</v>
      </c>
    </row>
    <row r="81" spans="2:3">
      <c r="B81" s="314" t="s">
        <v>1512</v>
      </c>
      <c r="C81" s="282"/>
    </row>
    <row r="82" spans="2:3">
      <c r="B82" s="317" t="s">
        <v>1513</v>
      </c>
      <c r="C82" s="319">
        <f ca="1">1-C83</f>
        <v>0.72299999999999998</v>
      </c>
    </row>
    <row r="83" spans="2:3">
      <c r="B83" s="317" t="s">
        <v>1514</v>
      </c>
      <c r="C83" s="318">
        <f ca="1">ROUND(C13/C40,3)</f>
        <v>0.27700000000000002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2517</v>
      </c>
      <c r="B1" s="2566"/>
      <c r="C1" s="2566"/>
      <c r="D1" s="2566"/>
      <c r="E1" s="2567"/>
    </row>
    <row r="2" spans="1:6" ht="15.75">
      <c r="A2" s="2568" t="s">
        <v>2318</v>
      </c>
      <c r="B2" s="2569">
        <f ca="1">SUMIF(B6:B13,"&lt;&gt;#ref!",B6:B13)</f>
        <v>67</v>
      </c>
      <c r="C2" s="2570" t="s">
        <v>2510</v>
      </c>
      <c r="D2" s="2571" t="s">
        <v>2511</v>
      </c>
      <c r="E2" s="2572">
        <f>SUM(E6:E13)</f>
        <v>30.09</v>
      </c>
    </row>
    <row r="3" spans="1:6" ht="15.75">
      <c r="A3" s="2568" t="s">
        <v>1395</v>
      </c>
      <c r="B3" s="2569">
        <f ca="1">ROUND(B2*10000/E2,0)</f>
        <v>22267</v>
      </c>
      <c r="C3" s="2570" t="s">
        <v>2518</v>
      </c>
      <c r="D3" s="2573"/>
      <c r="E3" s="2574"/>
    </row>
    <row r="4" spans="1:6" ht="15.75">
      <c r="A4" s="2575"/>
      <c r="B4" s="2573"/>
      <c r="C4" s="2573"/>
      <c r="D4" s="2573"/>
      <c r="E4" s="2574"/>
    </row>
    <row r="5" spans="1:6" ht="15">
      <c r="A5" s="2576" t="s">
        <v>2512</v>
      </c>
      <c r="B5" s="3223" t="s">
        <v>2513</v>
      </c>
      <c r="C5" s="3223"/>
      <c r="D5" s="2577"/>
      <c r="E5" s="2578" t="s">
        <v>2514</v>
      </c>
      <c r="F5" s="2579" t="s">
        <v>2515</v>
      </c>
    </row>
    <row r="6" spans="1:6">
      <c r="A6" s="2580" t="str">
        <f>'数据-取费表'!AN6</f>
        <v>收益法 (元)</v>
      </c>
      <c r="B6" s="2579">
        <f ca="1">IF(F6="是",'数据-取费表'!AO6,0)</f>
        <v>67</v>
      </c>
      <c r="C6" s="2570" t="s">
        <v>2510</v>
      </c>
      <c r="D6" s="2573"/>
      <c r="E6" s="2581">
        <f>IF(OR(A6=0,F6="否"),0,'数据-取费表'!K6+'数据-取费表'!S6)</f>
        <v>30.09</v>
      </c>
      <c r="F6" s="2582" t="s">
        <v>2516</v>
      </c>
    </row>
    <row r="7" spans="1:6">
      <c r="A7" s="2580">
        <f>'数据-取费表'!AN7</f>
        <v>0</v>
      </c>
      <c r="B7" s="2579" t="e">
        <f ca="1">IF(F7="是",'数据-取费表'!AO7,0)</f>
        <v>#REF!</v>
      </c>
      <c r="C7" s="2570" t="s">
        <v>2510</v>
      </c>
      <c r="D7" s="2573"/>
      <c r="E7" s="2581">
        <f>IF(OR(A7=0,F7="否"),0,'数据-取费表'!K7+'数据-取费表'!S7)</f>
        <v>0</v>
      </c>
      <c r="F7" s="2582" t="s">
        <v>2516</v>
      </c>
    </row>
    <row r="8" spans="1:6">
      <c r="A8" s="2580">
        <f>'数据-取费表'!AN8</f>
        <v>0</v>
      </c>
      <c r="B8" s="2579" t="e">
        <f ca="1">IF(F8="是",'数据-取费表'!AO8,0)</f>
        <v>#REF!</v>
      </c>
      <c r="C8" s="2570" t="s">
        <v>2510</v>
      </c>
      <c r="D8" s="2573"/>
      <c r="E8" s="2581">
        <f>IF(OR(A8=0,F8="否"),0,'数据-取费表'!K8+'数据-取费表'!S8)</f>
        <v>0</v>
      </c>
      <c r="F8" s="2582" t="s">
        <v>2516</v>
      </c>
    </row>
    <row r="9" spans="1:6">
      <c r="A9" s="2580">
        <f>'数据-取费表'!AN9</f>
        <v>0</v>
      </c>
      <c r="B9" s="2579" t="e">
        <f ca="1">IF(F9="是",'数据-取费表'!AO9,0)</f>
        <v>#REF!</v>
      </c>
      <c r="C9" s="2570" t="s">
        <v>2510</v>
      </c>
      <c r="D9" s="2573"/>
      <c r="E9" s="2581">
        <f>IF(OR(A9=0,F9="否"),0,'数据-取费表'!K9+'数据-取费表'!S9)</f>
        <v>0</v>
      </c>
      <c r="F9" s="2582" t="s">
        <v>2516</v>
      </c>
    </row>
    <row r="10" spans="1:6">
      <c r="A10" s="2580">
        <f>'数据-取费表'!AN10</f>
        <v>0</v>
      </c>
      <c r="B10" s="2579" t="e">
        <f ca="1">IF(F10="是",'数据-取费表'!AO10,0)</f>
        <v>#REF!</v>
      </c>
      <c r="C10" s="2570" t="s">
        <v>2510</v>
      </c>
      <c r="D10" s="2573"/>
      <c r="E10" s="2581">
        <f>IF(OR(A10=0,F10="否"),0,'数据-取费表'!K10+'数据-取费表'!S10)</f>
        <v>0</v>
      </c>
      <c r="F10" s="2582" t="s">
        <v>2516</v>
      </c>
    </row>
    <row r="11" spans="1:6">
      <c r="A11" s="2580">
        <f>'数据-取费表'!AN11</f>
        <v>0</v>
      </c>
      <c r="B11" s="2579" t="e">
        <f ca="1">IF(F11="是",'数据-取费表'!AO11,0)</f>
        <v>#REF!</v>
      </c>
      <c r="C11" s="2570" t="s">
        <v>2510</v>
      </c>
      <c r="D11" s="2573"/>
      <c r="E11" s="2581">
        <f>IF(OR(A11=0,F11="否"),0,'数据-取费表'!K11+'数据-取费表'!S11)</f>
        <v>0</v>
      </c>
      <c r="F11" s="2582" t="s">
        <v>2516</v>
      </c>
    </row>
    <row r="12" spans="1:6">
      <c r="A12" s="2580">
        <f>'数据-取费表'!AN12</f>
        <v>0</v>
      </c>
      <c r="B12" s="2579" t="e">
        <f ca="1">IF(F12="是",'数据-取费表'!AO12,0)</f>
        <v>#REF!</v>
      </c>
      <c r="C12" s="2570" t="s">
        <v>2510</v>
      </c>
      <c r="D12" s="2573"/>
      <c r="E12" s="2581">
        <f>IF(OR(A12=0,F12="否"),0,'数据-取费表'!K12+'数据-取费表'!S12)</f>
        <v>0</v>
      </c>
      <c r="F12" s="2582" t="s">
        <v>2516</v>
      </c>
    </row>
    <row r="13" spans="1:6" ht="15" thickBot="1">
      <c r="A13" s="2583">
        <f>'数据-取费表'!AN13</f>
        <v>0</v>
      </c>
      <c r="B13" s="2579" t="e">
        <f ca="1">IF(F13="是",'数据-取费表'!AO13,0)</f>
        <v>#REF!</v>
      </c>
      <c r="C13" s="2584" t="s">
        <v>2510</v>
      </c>
      <c r="D13" s="2585"/>
      <c r="E13" s="2581">
        <f>IF(OR(A13=0,F13="否"),0,'数据-取费表'!K13+'数据-取费表'!S13)</f>
        <v>0</v>
      </c>
      <c r="F13" s="258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29" t="s">
        <v>1077</v>
      </c>
      <c r="B2" s="3230" t="s">
        <v>1078</v>
      </c>
      <c r="C2" s="3230"/>
      <c r="D2" s="1303" t="s">
        <v>1079</v>
      </c>
      <c r="E2" s="1303" t="s">
        <v>1080</v>
      </c>
      <c r="F2" s="1303" t="s">
        <v>1081</v>
      </c>
      <c r="G2" s="1303" t="s">
        <v>1082</v>
      </c>
      <c r="H2" s="1303" t="s">
        <v>1083</v>
      </c>
      <c r="I2" s="1304" t="s">
        <v>1084</v>
      </c>
    </row>
    <row r="3" spans="1:9">
      <c r="A3" s="3229"/>
      <c r="B3" s="3230" t="s">
        <v>1085</v>
      </c>
      <c r="C3" s="3230"/>
      <c r="D3" s="1305"/>
      <c r="E3" s="1303"/>
      <c r="F3" s="1306"/>
      <c r="G3" s="1306"/>
      <c r="H3" s="1307"/>
      <c r="I3" s="1308">
        <f>ROUND(D3*E3*F3*G3*H3/10000,0)</f>
        <v>0</v>
      </c>
    </row>
    <row r="4" spans="1:9">
      <c r="A4" s="3229"/>
      <c r="B4" s="3230" t="s">
        <v>1086</v>
      </c>
      <c r="C4" s="3230"/>
      <c r="D4" s="1305"/>
      <c r="E4" s="1303"/>
      <c r="F4" s="1306"/>
      <c r="G4" s="1306"/>
      <c r="H4" s="1307"/>
      <c r="I4" s="1308">
        <f t="shared" ref="I4:I9" si="0">ROUND(D4*E4*F4*G4*H4/10000,0)</f>
        <v>0</v>
      </c>
    </row>
    <row r="5" spans="1:9">
      <c r="A5" s="3229"/>
      <c r="B5" s="3230" t="s">
        <v>1087</v>
      </c>
      <c r="C5" s="3230"/>
      <c r="D5" s="1305"/>
      <c r="E5" s="1303"/>
      <c r="F5" s="1306"/>
      <c r="G5" s="1306"/>
      <c r="H5" s="1307"/>
      <c r="I5" s="1308">
        <f t="shared" si="0"/>
        <v>0</v>
      </c>
    </row>
    <row r="6" spans="1:9">
      <c r="A6" s="3229"/>
      <c r="B6" s="3230" t="s">
        <v>1088</v>
      </c>
      <c r="C6" s="3230"/>
      <c r="D6" s="1305"/>
      <c r="E6" s="1303"/>
      <c r="F6" s="1306"/>
      <c r="G6" s="1306"/>
      <c r="H6" s="1307"/>
      <c r="I6" s="1308">
        <f t="shared" si="0"/>
        <v>0</v>
      </c>
    </row>
    <row r="7" spans="1:9">
      <c r="A7" s="3229"/>
      <c r="B7" s="3230" t="s">
        <v>1089</v>
      </c>
      <c r="C7" s="3230"/>
      <c r="D7" s="1305"/>
      <c r="E7" s="1303"/>
      <c r="F7" s="1306"/>
      <c r="G7" s="1306"/>
      <c r="H7" s="1307"/>
      <c r="I7" s="1308">
        <f t="shared" si="0"/>
        <v>0</v>
      </c>
    </row>
    <row r="8" spans="1:9">
      <c r="A8" s="3229"/>
      <c r="B8" s="3230" t="s">
        <v>1090</v>
      </c>
      <c r="C8" s="3230"/>
      <c r="D8" s="1305"/>
      <c r="E8" s="1303"/>
      <c r="F8" s="1306"/>
      <c r="G8" s="1306"/>
      <c r="H8" s="1307"/>
      <c r="I8" s="1308">
        <f t="shared" si="0"/>
        <v>0</v>
      </c>
    </row>
    <row r="9" spans="1:9">
      <c r="A9" s="3229"/>
      <c r="B9" s="3230" t="s">
        <v>1091</v>
      </c>
      <c r="C9" s="3230"/>
      <c r="D9" s="1305"/>
      <c r="E9" s="1303"/>
      <c r="F9" s="1306"/>
      <c r="G9" s="1306"/>
      <c r="H9" s="1307"/>
      <c r="I9" s="1308">
        <f t="shared" si="0"/>
        <v>0</v>
      </c>
    </row>
    <row r="10" spans="1:9">
      <c r="A10" s="3229"/>
      <c r="B10" s="3231" t="s">
        <v>1092</v>
      </c>
      <c r="C10" s="3231"/>
      <c r="D10" s="1309"/>
      <c r="E10" s="1309" t="e">
        <f>ROUND(D1*10000/D10/H9,0)</f>
        <v>#DIV/0!</v>
      </c>
      <c r="F10" s="1310"/>
      <c r="G10" s="1310"/>
      <c r="H10" s="1311"/>
      <c r="I10" s="1312">
        <f>SUM(I3:I9)</f>
        <v>0</v>
      </c>
    </row>
    <row r="11" spans="1:9" ht="14.25">
      <c r="A11" s="3229" t="s">
        <v>1093</v>
      </c>
      <c r="B11" s="3230" t="s">
        <v>1094</v>
      </c>
      <c r="C11" s="3230"/>
      <c r="D11" s="1305" t="s">
        <v>1095</v>
      </c>
      <c r="E11" s="1305" t="s">
        <v>1096</v>
      </c>
      <c r="F11" s="1306" t="s">
        <v>1097</v>
      </c>
      <c r="G11" s="1306" t="s">
        <v>1083</v>
      </c>
      <c r="H11" s="1313" t="s">
        <v>1098</v>
      </c>
      <c r="I11" s="1304" t="s">
        <v>1084</v>
      </c>
    </row>
    <row r="12" spans="1:9">
      <c r="A12" s="3229"/>
      <c r="B12" s="3230" t="s">
        <v>1099</v>
      </c>
      <c r="C12" s="3230"/>
      <c r="D12" s="1305"/>
      <c r="E12" s="1305"/>
      <c r="F12" s="1306"/>
      <c r="G12" s="1307"/>
      <c r="H12" s="1314"/>
      <c r="I12" s="1304">
        <f>ROUND(D12*E12*F12*G12/10000,0)</f>
        <v>0</v>
      </c>
    </row>
    <row r="13" spans="1:9">
      <c r="A13" s="3229"/>
      <c r="B13" s="3230" t="s">
        <v>1100</v>
      </c>
      <c r="C13" s="3230"/>
      <c r="D13" s="1305"/>
      <c r="E13" s="1305"/>
      <c r="F13" s="1306"/>
      <c r="G13" s="1307"/>
      <c r="H13" s="1314"/>
      <c r="I13" s="1304">
        <f>ROUND(D13*E13*F13*G13/10000,0)</f>
        <v>0</v>
      </c>
    </row>
    <row r="14" spans="1:9">
      <c r="A14" s="3229"/>
      <c r="B14" s="3230" t="s">
        <v>1101</v>
      </c>
      <c r="C14" s="3230"/>
      <c r="D14" s="1305"/>
      <c r="E14" s="1305"/>
      <c r="F14" s="1306"/>
      <c r="G14" s="1307"/>
      <c r="H14" s="1314"/>
      <c r="I14" s="1304">
        <f>ROUND(D14*E14*F14*G14/10000,0)</f>
        <v>0</v>
      </c>
    </row>
    <row r="15" spans="1:9">
      <c r="A15" s="3229"/>
      <c r="B15" s="3231" t="s">
        <v>1092</v>
      </c>
      <c r="C15" s="3231"/>
      <c r="D15" s="1309"/>
      <c r="E15" s="1309">
        <f>SUM(E12:E14)</f>
        <v>0</v>
      </c>
      <c r="F15" s="1310"/>
      <c r="G15" s="1307"/>
      <c r="H15" s="1314"/>
      <c r="I15" s="1315">
        <f>SUM(I12:I14)</f>
        <v>0</v>
      </c>
    </row>
    <row r="16" spans="1:9" ht="24">
      <c r="A16" s="3229" t="s">
        <v>1102</v>
      </c>
      <c r="B16" s="3230" t="s">
        <v>1103</v>
      </c>
      <c r="C16" s="3230"/>
      <c r="D16" s="1305" t="s">
        <v>1079</v>
      </c>
      <c r="E16" s="1316" t="s">
        <v>1104</v>
      </c>
      <c r="F16" s="1306" t="s">
        <v>1105</v>
      </c>
      <c r="G16" s="1307" t="s">
        <v>1083</v>
      </c>
      <c r="H16" s="1313" t="s">
        <v>1098</v>
      </c>
      <c r="I16" s="1304" t="s">
        <v>1084</v>
      </c>
    </row>
    <row r="17" spans="1:9" ht="14.25">
      <c r="A17" s="3229"/>
      <c r="B17" s="3230" t="s">
        <v>1106</v>
      </c>
      <c r="C17" s="3230"/>
      <c r="D17" s="1305"/>
      <c r="E17" s="1305"/>
      <c r="F17" s="1306"/>
      <c r="G17" s="1307"/>
      <c r="H17" s="1317"/>
      <c r="I17" s="1318">
        <f>ROUND(D17*E17*F17*G17/10000,0)</f>
        <v>0</v>
      </c>
    </row>
    <row r="18" spans="1:9" ht="14.25">
      <c r="A18" s="3229"/>
      <c r="B18" s="3230" t="s">
        <v>1107</v>
      </c>
      <c r="C18" s="3230"/>
      <c r="D18" s="1305"/>
      <c r="E18" s="1305"/>
      <c r="F18" s="1306"/>
      <c r="G18" s="1307"/>
      <c r="H18" s="1317"/>
      <c r="I18" s="1318">
        <f>ROUND(D18*E18*F18*G18/10000,0)</f>
        <v>0</v>
      </c>
    </row>
    <row r="19" spans="1:9" ht="14.25">
      <c r="A19" s="3229"/>
      <c r="B19" s="3230" t="s">
        <v>1108</v>
      </c>
      <c r="C19" s="3230"/>
      <c r="D19" s="1305"/>
      <c r="E19" s="1305"/>
      <c r="F19" s="1306"/>
      <c r="G19" s="1307"/>
      <c r="H19" s="1317"/>
      <c r="I19" s="1318">
        <f>ROUND(D19*E19*F19*G19/10000,0)</f>
        <v>0</v>
      </c>
    </row>
    <row r="20" spans="1:9">
      <c r="A20" s="3229"/>
      <c r="B20" s="3231" t="s">
        <v>1092</v>
      </c>
      <c r="C20" s="3231"/>
      <c r="D20" s="1309">
        <f>SUM(D17:D19)</f>
        <v>0</v>
      </c>
      <c r="E20" s="1309"/>
      <c r="F20" s="1310"/>
      <c r="G20" s="1307"/>
      <c r="H20" s="1314"/>
      <c r="I20" s="1315">
        <f>SUM(I17:I19)</f>
        <v>0</v>
      </c>
    </row>
    <row r="21" spans="1:9">
      <c r="A21" s="3229" t="s">
        <v>1109</v>
      </c>
      <c r="B21" s="3233"/>
      <c r="C21" s="3233"/>
      <c r="D21" s="3233"/>
      <c r="E21" s="3233"/>
      <c r="F21" s="3233"/>
      <c r="G21" s="3233"/>
      <c r="H21" s="1765">
        <v>0.1</v>
      </c>
      <c r="I21" s="1312">
        <f>ROUND(I10*H21,0)</f>
        <v>0</v>
      </c>
    </row>
    <row r="22" spans="1:9" ht="14.25">
      <c r="A22" s="3234" t="s">
        <v>1110</v>
      </c>
      <c r="B22" s="3235"/>
      <c r="C22" s="3236"/>
      <c r="D22" s="1319" t="s">
        <v>1111</v>
      </c>
      <c r="E22" s="1319" t="s">
        <v>1112</v>
      </c>
      <c r="F22" s="1320" t="s">
        <v>1113</v>
      </c>
      <c r="G22" s="1320" t="s">
        <v>1114</v>
      </c>
      <c r="H22" s="1313" t="s">
        <v>1115</v>
      </c>
      <c r="I22" s="1304" t="s">
        <v>1116</v>
      </c>
    </row>
    <row r="23" spans="1:9" ht="14.25" thickBot="1">
      <c r="A23" s="3237"/>
      <c r="B23" s="3238"/>
      <c r="C23" s="3239"/>
      <c r="D23" s="1321"/>
      <c r="E23" s="1321"/>
      <c r="F23" s="1321"/>
      <c r="G23" s="1322"/>
      <c r="H23" s="1323"/>
      <c r="I23" s="1324">
        <f>ROUND(E23*D23*F23*(1-G23)/10000,0)</f>
        <v>0</v>
      </c>
    </row>
    <row r="26" spans="1:9">
      <c r="A26" s="1325" t="s">
        <v>1117</v>
      </c>
      <c r="B26" s="1325"/>
      <c r="C26" s="1325"/>
      <c r="D26" s="1325"/>
      <c r="E26" s="3240">
        <f>C27-C30-C31-C32</f>
        <v>0</v>
      </c>
      <c r="F26" s="3240"/>
      <c r="G26" s="3240"/>
      <c r="H26" s="1737" t="s">
        <v>1340</v>
      </c>
    </row>
    <row r="27" spans="1:9">
      <c r="A27" s="1326">
        <v>1</v>
      </c>
      <c r="B27" s="1327" t="s">
        <v>1118</v>
      </c>
      <c r="C27" s="1327">
        <f>C28+C29</f>
        <v>0</v>
      </c>
      <c r="D27" s="1327"/>
      <c r="E27" s="3241"/>
      <c r="F27" s="3241"/>
      <c r="G27" s="3241"/>
    </row>
    <row r="28" spans="1:9">
      <c r="A28" s="1328" t="s">
        <v>1119</v>
      </c>
      <c r="B28" s="1327" t="s">
        <v>1120</v>
      </c>
      <c r="C28" s="1327"/>
      <c r="D28" s="1327"/>
      <c r="E28" s="3241"/>
      <c r="F28" s="3241"/>
      <c r="G28" s="324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2"/>
      <c r="F32" s="3232"/>
      <c r="G32" s="3232"/>
    </row>
    <row r="33" spans="1:7" hidden="1">
      <c r="A33" s="3242" t="s">
        <v>1129</v>
      </c>
      <c r="B33" s="3243"/>
      <c r="C33" s="3243"/>
      <c r="D33" s="3244"/>
      <c r="E33" s="3240"/>
      <c r="F33" s="3240"/>
      <c r="G33" s="3240"/>
    </row>
    <row r="34" spans="1:7" hidden="1">
      <c r="A34" s="1330">
        <v>1</v>
      </c>
      <c r="B34" s="1327" t="s">
        <v>1130</v>
      </c>
      <c r="C34" s="1327"/>
      <c r="D34" s="1327"/>
      <c r="E34" s="3241"/>
      <c r="F34" s="3241"/>
      <c r="G34" s="3241"/>
    </row>
    <row r="35" spans="1:7" hidden="1">
      <c r="A35" s="1330">
        <v>2</v>
      </c>
      <c r="B35" s="1327" t="s">
        <v>1131</v>
      </c>
      <c r="C35" s="1327"/>
      <c r="D35" s="1327"/>
      <c r="E35" s="3241"/>
      <c r="F35" s="3241"/>
      <c r="G35" s="3241"/>
    </row>
    <row r="36" spans="1:7" hidden="1">
      <c r="A36" s="1330">
        <v>3</v>
      </c>
      <c r="B36" s="1327" t="s">
        <v>1132</v>
      </c>
      <c r="C36" s="1327"/>
      <c r="D36" s="1327"/>
      <c r="E36" s="3241"/>
      <c r="F36" s="3241"/>
      <c r="G36" s="3241"/>
    </row>
    <row r="37" spans="1:7" hidden="1">
      <c r="A37" s="1330">
        <v>4</v>
      </c>
      <c r="B37" s="1327" t="s">
        <v>1133</v>
      </c>
      <c r="C37" s="1327"/>
      <c r="D37" s="1327"/>
      <c r="E37" s="3241"/>
      <c r="F37" s="3241"/>
      <c r="G37" s="3241"/>
    </row>
    <row r="38" spans="1:7" hidden="1">
      <c r="A38" s="3242" t="s">
        <v>1134</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586" t="s">
        <v>2520</v>
      </c>
      <c r="C1" s="1635" t="s">
        <v>2521</v>
      </c>
      <c r="D1" s="1622"/>
      <c r="E1" s="2587"/>
      <c r="F1" s="2588" t="s">
        <v>2522</v>
      </c>
      <c r="G1" s="1632" t="s">
        <v>2523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90"/>
      <c r="D2" s="1367" t="e">
        <f ca="1">SUMIF(INDIRECT("'"&amp;F2&amp;"'"&amp;"!A:A"),"承租人权益价值",INDIRECT("'"&amp;F2&amp;"'"&amp;"!c:c"))</f>
        <v>#REF!</v>
      </c>
      <c r="E2" s="2591" t="s">
        <v>2524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2525</v>
      </c>
      <c r="D3" s="399">
        <f>IF(D1="",'数据-汇总表'!E3,SUMIF('数据-汇总表'!$C19:$C33,D1,'数据-汇总表'!$E19:$E33))</f>
        <v>34353.799999999996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2526</v>
      </c>
      <c r="B4" s="402"/>
      <c r="C4" s="3198" t="s">
        <v>2527</v>
      </c>
      <c r="D4" s="3199"/>
      <c r="E4" s="3200" t="s">
        <v>2528</v>
      </c>
      <c r="F4" s="3201"/>
      <c r="G4" s="3198" t="s">
        <v>2529</v>
      </c>
      <c r="H4" s="3199"/>
      <c r="I4" s="3198" t="s">
        <v>2530</v>
      </c>
      <c r="J4" s="3199"/>
      <c r="K4" s="2600" t="s">
        <v>2531</v>
      </c>
      <c r="L4" s="1132"/>
      <c r="M4" s="1133"/>
      <c r="N4" s="1133"/>
      <c r="O4" s="1133"/>
      <c r="P4" s="3202" t="s">
        <v>2532</v>
      </c>
      <c r="Q4" s="3203"/>
      <c r="R4" s="3185" t="s">
        <v>2528</v>
      </c>
      <c r="S4" s="3186"/>
      <c r="T4" s="3185" t="s">
        <v>2529</v>
      </c>
      <c r="U4" s="3186"/>
      <c r="V4" s="3210" t="s">
        <v>2530</v>
      </c>
      <c r="W4" s="3210"/>
      <c r="X4" s="1813"/>
      <c r="Y4" s="3185" t="s">
        <v>2532</v>
      </c>
      <c r="Z4" s="3186"/>
      <c r="AA4" s="3180" t="s">
        <v>2528</v>
      </c>
      <c r="AB4" s="3180" t="s">
        <v>2529</v>
      </c>
      <c r="AC4" s="3180" t="s">
        <v>2530</v>
      </c>
    </row>
    <row r="5" spans="1:29" ht="15">
      <c r="A5" s="404"/>
      <c r="B5" s="405"/>
      <c r="C5" s="3191" t="s">
        <v>2533</v>
      </c>
      <c r="D5" s="3192"/>
      <c r="E5" s="3189" t="s">
        <v>2534</v>
      </c>
      <c r="F5" s="3190"/>
      <c r="G5" s="3191" t="s">
        <v>2535</v>
      </c>
      <c r="H5" s="3192"/>
      <c r="I5" s="3191" t="s">
        <v>2536</v>
      </c>
      <c r="J5" s="3192"/>
      <c r="K5" s="2601"/>
      <c r="L5" s="1132"/>
      <c r="M5" s="1133"/>
      <c r="N5" s="1133"/>
      <c r="O5" s="1133"/>
      <c r="P5" s="3204"/>
      <c r="Q5" s="3205"/>
      <c r="R5" s="3187"/>
      <c r="S5" s="3188"/>
      <c r="T5" s="3187"/>
      <c r="U5" s="3188"/>
      <c r="V5" s="3210"/>
      <c r="W5" s="3210"/>
      <c r="X5" s="1813"/>
      <c r="Y5" s="3187"/>
      <c r="Z5" s="3188"/>
      <c r="AA5" s="3181"/>
      <c r="AB5" s="3181"/>
      <c r="AC5" s="3181"/>
    </row>
    <row r="6" spans="1:29" ht="15.75" thickBot="1">
      <c r="A6" s="406"/>
      <c r="B6" s="407"/>
      <c r="C6" s="3193" t="s">
        <v>2537</v>
      </c>
      <c r="D6" s="3194"/>
      <c r="E6" s="3195" t="s">
        <v>2537</v>
      </c>
      <c r="F6" s="3196"/>
      <c r="G6" s="3193" t="s">
        <v>2537</v>
      </c>
      <c r="H6" s="3194"/>
      <c r="I6" s="3193" t="s">
        <v>2537</v>
      </c>
      <c r="J6" s="3194"/>
      <c r="K6" s="2601" t="s">
        <v>2538</v>
      </c>
      <c r="L6" s="1132"/>
      <c r="M6" s="1133"/>
      <c r="N6" s="1133"/>
      <c r="O6" s="1133"/>
      <c r="P6" s="3206"/>
      <c r="Q6" s="3207"/>
      <c r="R6" s="3187"/>
      <c r="S6" s="3188"/>
      <c r="T6" s="3208"/>
      <c r="U6" s="3209"/>
      <c r="V6" s="3210"/>
      <c r="W6" s="3210"/>
      <c r="X6" s="1813"/>
      <c r="Y6" s="3208"/>
      <c r="Z6" s="3209"/>
      <c r="AA6" s="3182"/>
      <c r="AB6" s="3182"/>
      <c r="AC6" s="3182"/>
    </row>
    <row r="7" spans="1:29" s="117" customFormat="1" ht="15.75" thickBot="1">
      <c r="A7" s="408" t="s">
        <v>2539</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83" t="s">
        <v>2540</v>
      </c>
      <c r="Q7" s="3211"/>
      <c r="R7" s="769" t="s">
        <v>23</v>
      </c>
      <c r="S7" s="770">
        <f t="shared" ref="S7:S15" si="0">F7</f>
        <v>0</v>
      </c>
      <c r="T7" s="769" t="s">
        <v>23</v>
      </c>
      <c r="U7" s="770">
        <f t="shared" ref="U7:U15" si="1">H7</f>
        <v>0</v>
      </c>
      <c r="V7" s="769" t="s">
        <v>23</v>
      </c>
      <c r="W7" s="770">
        <f t="shared" ref="W7:W15" si="2">J7</f>
        <v>0</v>
      </c>
      <c r="X7" s="771"/>
      <c r="Y7" s="3183" t="s">
        <v>2540</v>
      </c>
      <c r="Z7" s="3184"/>
      <c r="AA7" s="772" t="e">
        <f>D7/F7</f>
        <v>#DIV/0!</v>
      </c>
      <c r="AB7" s="772" t="e">
        <f>D7/H7</f>
        <v>#DIV/0!</v>
      </c>
      <c r="AC7" s="772" t="e">
        <f>D7/J7</f>
        <v>#DIV/0!</v>
      </c>
    </row>
    <row r="8" spans="1:29" s="117" customFormat="1" ht="15.75" thickBot="1">
      <c r="A8" s="408" t="s">
        <v>2541</v>
      </c>
      <c r="B8" s="409"/>
      <c r="C8" s="414" t="s">
        <v>2542</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83" t="s">
        <v>2543</v>
      </c>
      <c r="Q8" s="3184"/>
      <c r="R8" s="769" t="s">
        <v>23</v>
      </c>
      <c r="S8" s="770">
        <f t="shared" si="0"/>
        <v>0</v>
      </c>
      <c r="T8" s="769" t="s">
        <v>23</v>
      </c>
      <c r="U8" s="770">
        <f t="shared" si="1"/>
        <v>0</v>
      </c>
      <c r="V8" s="769" t="s">
        <v>23</v>
      </c>
      <c r="W8" s="770">
        <f t="shared" si="2"/>
        <v>0</v>
      </c>
      <c r="X8" s="771"/>
      <c r="Y8" s="3183" t="s">
        <v>2543</v>
      </c>
      <c r="Z8" s="318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21"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1"/>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1"/>
      <c r="Q11" s="1795" t="str">
        <f t="shared" si="6"/>
        <v>容积率</v>
      </c>
      <c r="R11" s="769" t="s">
        <v>21</v>
      </c>
      <c r="S11" s="770" t="e">
        <f t="shared" si="0"/>
        <v>#N/A</v>
      </c>
      <c r="T11" s="769" t="s">
        <v>21</v>
      </c>
      <c r="U11" s="770" t="e">
        <f t="shared" si="1"/>
        <v>#N/A</v>
      </c>
      <c r="V11" s="769" t="s">
        <v>21</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21"/>
      <c r="Q12" s="1795">
        <f t="shared" si="6"/>
        <v>111</v>
      </c>
      <c r="R12" s="769" t="s">
        <v>21</v>
      </c>
      <c r="S12" s="770">
        <f t="shared" si="0"/>
        <v>100</v>
      </c>
      <c r="T12" s="769" t="s">
        <v>21</v>
      </c>
      <c r="U12" s="770">
        <f t="shared" si="1"/>
        <v>100</v>
      </c>
      <c r="V12" s="769" t="s">
        <v>21</v>
      </c>
      <c r="W12" s="770">
        <f t="shared" si="2"/>
        <v>100</v>
      </c>
      <c r="X12" s="771"/>
      <c r="Y12" s="304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21"/>
      <c r="Q13" s="1795">
        <f t="shared" si="6"/>
        <v>111</v>
      </c>
      <c r="R13" s="769" t="s">
        <v>21</v>
      </c>
      <c r="S13" s="770">
        <f t="shared" si="0"/>
        <v>100</v>
      </c>
      <c r="T13" s="769" t="s">
        <v>21</v>
      </c>
      <c r="U13" s="770">
        <f t="shared" si="1"/>
        <v>100</v>
      </c>
      <c r="V13" s="769" t="s">
        <v>21</v>
      </c>
      <c r="W13" s="770">
        <f t="shared" si="2"/>
        <v>100</v>
      </c>
      <c r="X13" s="771"/>
      <c r="Y13" s="3048"/>
      <c r="Z13" s="55">
        <f t="shared" si="7"/>
        <v>111</v>
      </c>
      <c r="AA13" s="772">
        <f t="shared" si="3"/>
        <v>1</v>
      </c>
      <c r="AB13" s="772">
        <f t="shared" si="4"/>
        <v>1</v>
      </c>
      <c r="AC13" s="772">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21"/>
      <c r="Q14" s="1795">
        <f t="shared" si="6"/>
        <v>111</v>
      </c>
      <c r="R14" s="769" t="s">
        <v>21</v>
      </c>
      <c r="S14" s="770">
        <f t="shared" si="0"/>
        <v>100</v>
      </c>
      <c r="T14" s="769" t="s">
        <v>21</v>
      </c>
      <c r="U14" s="770">
        <f t="shared" si="1"/>
        <v>100</v>
      </c>
      <c r="V14" s="769" t="s">
        <v>21</v>
      </c>
      <c r="W14" s="770">
        <f t="shared" si="2"/>
        <v>100</v>
      </c>
      <c r="X14" s="771"/>
      <c r="Y14" s="3048"/>
      <c r="Z14" s="55">
        <f t="shared" si="7"/>
        <v>111</v>
      </c>
      <c r="AA14" s="772">
        <f t="shared" si="3"/>
        <v>1</v>
      </c>
      <c r="AB14" s="772">
        <f t="shared" si="4"/>
        <v>1</v>
      </c>
      <c r="AC14" s="772">
        <f t="shared" si="5"/>
        <v>1</v>
      </c>
    </row>
    <row r="15" spans="1:29" ht="15">
      <c r="A15" s="440" t="s">
        <v>2550</v>
      </c>
      <c r="B15" s="69" t="s">
        <v>2084</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1" t="s">
        <v>2551</v>
      </c>
      <c r="Q15" s="1810" t="str">
        <f t="shared" si="6"/>
        <v>居住社区成熟度</v>
      </c>
      <c r="R15" s="773" t="s">
        <v>21</v>
      </c>
      <c r="S15" s="774">
        <f t="shared" si="0"/>
        <v>100</v>
      </c>
      <c r="T15" s="773" t="s">
        <v>21</v>
      </c>
      <c r="U15" s="774">
        <f t="shared" si="1"/>
        <v>100</v>
      </c>
      <c r="V15" s="773" t="s">
        <v>21</v>
      </c>
      <c r="W15" s="774">
        <f t="shared" si="2"/>
        <v>100</v>
      </c>
      <c r="X15" s="1813"/>
      <c r="Y15" s="3212" t="s">
        <v>2551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2"/>
      <c r="M16" s="1133"/>
      <c r="N16" s="1133"/>
      <c r="O16" s="1133"/>
      <c r="P16" s="3252"/>
      <c r="Q16" s="1810"/>
      <c r="R16" s="773"/>
      <c r="S16" s="774"/>
      <c r="T16" s="773"/>
      <c r="U16" s="774"/>
      <c r="V16" s="773"/>
      <c r="W16" s="774"/>
      <c r="X16" s="1813"/>
      <c r="Y16" s="3213"/>
      <c r="Z16" s="1814"/>
      <c r="AA16" s="1811">
        <v>1</v>
      </c>
      <c r="AB16" s="1811">
        <v>1</v>
      </c>
      <c r="AC16" s="1811">
        <v>1</v>
      </c>
    </row>
    <row r="17" spans="1:29" ht="15">
      <c r="A17" s="428"/>
      <c r="B17" s="451" t="s">
        <v>2090</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2"/>
      <c r="Q17" s="1810" t="str">
        <f>B17</f>
        <v>交通便捷度</v>
      </c>
      <c r="R17" s="773" t="s">
        <v>21</v>
      </c>
      <c r="S17" s="774">
        <f>F17</f>
        <v>100</v>
      </c>
      <c r="T17" s="773" t="s">
        <v>21</v>
      </c>
      <c r="U17" s="774">
        <f>H17</f>
        <v>100</v>
      </c>
      <c r="V17" s="773" t="s">
        <v>21</v>
      </c>
      <c r="W17" s="774">
        <f>J17</f>
        <v>100</v>
      </c>
      <c r="X17" s="1813"/>
      <c r="Y17" s="3213"/>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2"/>
      <c r="M18" s="1133"/>
      <c r="N18" s="1133"/>
      <c r="O18" s="1133"/>
      <c r="P18" s="3252"/>
      <c r="Q18" s="1810"/>
      <c r="R18" s="773"/>
      <c r="S18" s="774"/>
      <c r="T18" s="773"/>
      <c r="U18" s="774"/>
      <c r="V18" s="773"/>
      <c r="W18" s="774"/>
      <c r="X18" s="1813"/>
      <c r="Y18" s="3213"/>
      <c r="Z18" s="1814"/>
      <c r="AA18" s="1811">
        <v>1</v>
      </c>
      <c r="AB18" s="1811">
        <v>1</v>
      </c>
      <c r="AC18" s="1811">
        <v>1</v>
      </c>
    </row>
    <row r="19" spans="1:29" ht="15">
      <c r="A19" s="428"/>
      <c r="B19" s="451" t="s">
        <v>2089</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2"/>
      <c r="Q19" s="1810" t="str">
        <f>B19</f>
        <v>公共配套设施</v>
      </c>
      <c r="R19" s="773" t="s">
        <v>21</v>
      </c>
      <c r="S19" s="774">
        <f>F19</f>
        <v>100</v>
      </c>
      <c r="T19" s="773" t="s">
        <v>21</v>
      </c>
      <c r="U19" s="774">
        <f>H19</f>
        <v>100</v>
      </c>
      <c r="V19" s="773" t="s">
        <v>21</v>
      </c>
      <c r="W19" s="774">
        <f>J19</f>
        <v>100</v>
      </c>
      <c r="X19" s="1813"/>
      <c r="Y19" s="3213"/>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2"/>
      <c r="M20" s="1133"/>
      <c r="N20" s="1133"/>
      <c r="O20" s="1133"/>
      <c r="P20" s="3252"/>
      <c r="Q20" s="1810"/>
      <c r="R20" s="773"/>
      <c r="S20" s="774"/>
      <c r="T20" s="773"/>
      <c r="U20" s="774"/>
      <c r="V20" s="773"/>
      <c r="W20" s="774"/>
      <c r="X20" s="1813"/>
      <c r="Y20" s="3213"/>
      <c r="Z20" s="1814"/>
      <c r="AA20" s="1811">
        <v>1</v>
      </c>
      <c r="AB20" s="1811">
        <v>1</v>
      </c>
      <c r="AC20" s="1811">
        <v>1</v>
      </c>
    </row>
    <row r="21" spans="1:29" ht="15">
      <c r="A21" s="428"/>
      <c r="B21" s="1386" t="s">
        <v>2091</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2"/>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8"/>
      <c r="G22" s="2615"/>
      <c r="H22" s="448"/>
      <c r="I22" s="447"/>
      <c r="J22" s="448"/>
      <c r="K22" s="2616"/>
      <c r="L22" s="1142"/>
      <c r="M22" s="1133"/>
      <c r="N22" s="1133"/>
      <c r="O22" s="1133"/>
      <c r="P22" s="3252"/>
      <c r="Q22" s="1810"/>
      <c r="R22" s="773"/>
      <c r="S22" s="774"/>
      <c r="T22" s="773"/>
      <c r="U22" s="774"/>
      <c r="V22" s="773"/>
      <c r="W22" s="774"/>
      <c r="X22" s="1813"/>
      <c r="Y22" s="3213"/>
      <c r="Z22" s="1814"/>
      <c r="AA22" s="1811">
        <v>1</v>
      </c>
      <c r="AB22" s="1811">
        <v>1</v>
      </c>
      <c r="AC22" s="1811">
        <v>1</v>
      </c>
    </row>
    <row r="23" spans="1:29" ht="15">
      <c r="A23" s="428"/>
      <c r="B23" s="451" t="s">
        <v>2093</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2"/>
      <c r="Q23" s="1810" t="str">
        <f>B23</f>
        <v>自然及人文环境</v>
      </c>
      <c r="R23" s="773" t="s">
        <v>21</v>
      </c>
      <c r="S23" s="774">
        <f>F23</f>
        <v>100</v>
      </c>
      <c r="T23" s="773" t="s">
        <v>21</v>
      </c>
      <c r="U23" s="774">
        <f>H23</f>
        <v>100</v>
      </c>
      <c r="V23" s="773" t="s">
        <v>21</v>
      </c>
      <c r="W23" s="774">
        <f>J23</f>
        <v>100</v>
      </c>
      <c r="X23" s="1813"/>
      <c r="Y23" s="3213"/>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2"/>
      <c r="M24" s="1133"/>
      <c r="N24" s="1133"/>
      <c r="O24" s="1133"/>
      <c r="P24" s="3252"/>
      <c r="Q24" s="1810"/>
      <c r="R24" s="773"/>
      <c r="S24" s="774"/>
      <c r="T24" s="773"/>
      <c r="U24" s="774"/>
      <c r="V24" s="773"/>
      <c r="W24" s="774"/>
      <c r="X24" s="1813"/>
      <c r="Y24" s="3213"/>
      <c r="Z24" s="1814"/>
      <c r="AA24" s="1811">
        <v>1</v>
      </c>
      <c r="AB24" s="1811">
        <v>1</v>
      </c>
      <c r="AC24" s="1811">
        <v>1</v>
      </c>
    </row>
    <row r="25" spans="1:29" ht="15">
      <c r="A25" s="428"/>
      <c r="B25" s="422" t="s">
        <v>2552</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52"/>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52"/>
      <c r="Q26" s="1810" t="str">
        <f t="shared" si="11"/>
        <v>朝向</v>
      </c>
      <c r="R26" s="773" t="s">
        <v>21</v>
      </c>
      <c r="S26" s="774">
        <f t="shared" si="12"/>
        <v>100</v>
      </c>
      <c r="T26" s="773" t="s">
        <v>21</v>
      </c>
      <c r="U26" s="774">
        <f t="shared" si="13"/>
        <v>100</v>
      </c>
      <c r="V26" s="773" t="s">
        <v>21</v>
      </c>
      <c r="W26" s="774">
        <f t="shared" si="14"/>
        <v>100</v>
      </c>
      <c r="X26" s="1813"/>
      <c r="Y26" s="3213"/>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52"/>
      <c r="Q27" s="1795">
        <f t="shared" si="11"/>
        <v>111</v>
      </c>
      <c r="R27" s="769" t="s">
        <v>21</v>
      </c>
      <c r="S27" s="770">
        <f t="shared" si="12"/>
        <v>100</v>
      </c>
      <c r="T27" s="769" t="s">
        <v>21</v>
      </c>
      <c r="U27" s="770">
        <f t="shared" si="13"/>
        <v>100</v>
      </c>
      <c r="V27" s="769" t="s">
        <v>21</v>
      </c>
      <c r="W27" s="770">
        <f t="shared" si="14"/>
        <v>100</v>
      </c>
      <c r="X27" s="771"/>
      <c r="Y27" s="3213"/>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52"/>
      <c r="Q28" s="1810">
        <f t="shared" si="11"/>
        <v>111</v>
      </c>
      <c r="R28" s="773" t="s">
        <v>21</v>
      </c>
      <c r="S28" s="774">
        <f t="shared" si="12"/>
        <v>100</v>
      </c>
      <c r="T28" s="773" t="s">
        <v>21</v>
      </c>
      <c r="U28" s="774">
        <f t="shared" si="13"/>
        <v>100</v>
      </c>
      <c r="V28" s="773" t="s">
        <v>21</v>
      </c>
      <c r="W28" s="774">
        <f t="shared" si="14"/>
        <v>100</v>
      </c>
      <c r="X28" s="1813"/>
      <c r="Y28" s="3213"/>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52"/>
      <c r="Q29" s="1810">
        <f t="shared" si="11"/>
        <v>111</v>
      </c>
      <c r="R29" s="773" t="s">
        <v>21</v>
      </c>
      <c r="S29" s="774">
        <f t="shared" si="12"/>
        <v>100</v>
      </c>
      <c r="T29" s="773" t="s">
        <v>21</v>
      </c>
      <c r="U29" s="774">
        <f t="shared" si="13"/>
        <v>100</v>
      </c>
      <c r="V29" s="773" t="s">
        <v>21</v>
      </c>
      <c r="W29" s="774">
        <f t="shared" si="14"/>
        <v>100</v>
      </c>
      <c r="X29" s="1813"/>
      <c r="Y29" s="3213"/>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52"/>
      <c r="Q30" s="1810">
        <f t="shared" si="11"/>
        <v>111</v>
      </c>
      <c r="R30" s="773" t="s">
        <v>21</v>
      </c>
      <c r="S30" s="774">
        <f t="shared" si="12"/>
        <v>100</v>
      </c>
      <c r="T30" s="773" t="s">
        <v>21</v>
      </c>
      <c r="U30" s="774">
        <f t="shared" si="13"/>
        <v>100</v>
      </c>
      <c r="V30" s="773" t="s">
        <v>21</v>
      </c>
      <c r="W30" s="774">
        <f t="shared" si="14"/>
        <v>100</v>
      </c>
      <c r="X30" s="1813"/>
      <c r="Y30" s="3213"/>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52"/>
      <c r="Q31" s="1810">
        <f t="shared" si="11"/>
        <v>111</v>
      </c>
      <c r="R31" s="773" t="s">
        <v>21</v>
      </c>
      <c r="S31" s="774">
        <f t="shared" si="12"/>
        <v>100</v>
      </c>
      <c r="T31" s="773" t="s">
        <v>21</v>
      </c>
      <c r="U31" s="774">
        <f t="shared" si="13"/>
        <v>100</v>
      </c>
      <c r="V31" s="773" t="s">
        <v>21</v>
      </c>
      <c r="W31" s="774">
        <f t="shared" si="14"/>
        <v>100</v>
      </c>
      <c r="X31" s="1813"/>
      <c r="Y31" s="3213"/>
      <c r="Z31" s="1814">
        <f t="shared" si="18"/>
        <v>111</v>
      </c>
      <c r="AA31" s="1811">
        <f t="shared" si="15"/>
        <v>1</v>
      </c>
      <c r="AB31" s="1811">
        <f t="shared" si="16"/>
        <v>1</v>
      </c>
      <c r="AC31" s="1811">
        <f t="shared" si="17"/>
        <v>1</v>
      </c>
    </row>
    <row r="32" spans="1:29" ht="15">
      <c r="A32" s="440" t="s">
        <v>2554</v>
      </c>
      <c r="B32" s="71" t="s">
        <v>2555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47" t="s">
        <v>2556</v>
      </c>
      <c r="Q32" s="1810" t="str">
        <f t="shared" si="11"/>
        <v>建筑类型</v>
      </c>
      <c r="R32" s="773" t="s">
        <v>21</v>
      </c>
      <c r="S32" s="774">
        <f t="shared" si="12"/>
        <v>100</v>
      </c>
      <c r="T32" s="773" t="s">
        <v>21</v>
      </c>
      <c r="U32" s="774">
        <f t="shared" si="13"/>
        <v>100</v>
      </c>
      <c r="V32" s="773" t="s">
        <v>21</v>
      </c>
      <c r="W32" s="774">
        <f t="shared" si="14"/>
        <v>100</v>
      </c>
      <c r="X32" s="1813"/>
      <c r="Y32" s="3215"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248"/>
      <c r="Q33" s="775" t="str">
        <f t="shared" si="11"/>
        <v>项目建筑规模</v>
      </c>
      <c r="R33" s="776" t="s">
        <v>21</v>
      </c>
      <c r="S33" s="777" t="e">
        <f t="shared" si="12"/>
        <v>#N/A</v>
      </c>
      <c r="T33" s="776" t="s">
        <v>21</v>
      </c>
      <c r="U33" s="777" t="e">
        <f t="shared" si="13"/>
        <v>#N/A</v>
      </c>
      <c r="V33" s="776" t="s">
        <v>21</v>
      </c>
      <c r="W33" s="777" t="e">
        <f t="shared" si="14"/>
        <v>#N/A</v>
      </c>
      <c r="X33" s="778"/>
      <c r="Y33" s="3215"/>
      <c r="Z33" s="779" t="str">
        <f t="shared" si="18"/>
        <v>项目建筑规模</v>
      </c>
      <c r="AA33" s="1811" t="e">
        <f t="shared" si="15"/>
        <v>#N/A</v>
      </c>
      <c r="AB33" s="1811" t="e">
        <f t="shared" si="16"/>
        <v>#N/A</v>
      </c>
      <c r="AC33" s="1811" t="e">
        <f t="shared" si="17"/>
        <v>#N/A</v>
      </c>
    </row>
    <row r="34" spans="1:29" ht="15">
      <c r="A34" s="472"/>
      <c r="B34" s="422" t="s">
        <v>2558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48"/>
      <c r="Q34" s="1810" t="str">
        <f t="shared" si="11"/>
        <v>建筑结构</v>
      </c>
      <c r="R34" s="773" t="s">
        <v>21</v>
      </c>
      <c r="S34" s="774">
        <f t="shared" si="12"/>
        <v>100</v>
      </c>
      <c r="T34" s="773" t="s">
        <v>21</v>
      </c>
      <c r="U34" s="774">
        <f t="shared" si="13"/>
        <v>100</v>
      </c>
      <c r="V34" s="773" t="s">
        <v>21</v>
      </c>
      <c r="W34" s="774">
        <f t="shared" si="14"/>
        <v>100</v>
      </c>
      <c r="X34" s="1813"/>
      <c r="Y34" s="3215"/>
      <c r="Z34" s="1814" t="str">
        <f t="shared" si="18"/>
        <v>建筑结构</v>
      </c>
      <c r="AA34" s="1811">
        <f t="shared" si="15"/>
        <v>1</v>
      </c>
      <c r="AB34" s="1811">
        <f t="shared" si="16"/>
        <v>1</v>
      </c>
      <c r="AC34" s="1811">
        <f t="shared" si="17"/>
        <v>1</v>
      </c>
    </row>
    <row r="35" spans="1:29" ht="15">
      <c r="A35" s="472"/>
      <c r="B35" s="422" t="s">
        <v>2559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48"/>
      <c r="Q35" s="1810" t="str">
        <f t="shared" si="11"/>
        <v>建筑品质</v>
      </c>
      <c r="R35" s="773" t="s">
        <v>21</v>
      </c>
      <c r="S35" s="774">
        <f t="shared" si="12"/>
        <v>100</v>
      </c>
      <c r="T35" s="773" t="s">
        <v>21</v>
      </c>
      <c r="U35" s="774">
        <f t="shared" si="13"/>
        <v>100</v>
      </c>
      <c r="V35" s="773" t="s">
        <v>21</v>
      </c>
      <c r="W35" s="774">
        <f t="shared" si="14"/>
        <v>100</v>
      </c>
      <c r="X35" s="1813"/>
      <c r="Y35" s="3215"/>
      <c r="Z35" s="1814" t="str">
        <f t="shared" si="18"/>
        <v>建筑品质</v>
      </c>
      <c r="AA35" s="1811">
        <f t="shared" si="15"/>
        <v>1</v>
      </c>
      <c r="AB35" s="1811">
        <f t="shared" si="16"/>
        <v>1</v>
      </c>
      <c r="AC35" s="1811">
        <f t="shared" si="17"/>
        <v>1</v>
      </c>
    </row>
    <row r="36" spans="1:29" ht="15">
      <c r="A36" s="472"/>
      <c r="B36" s="422" t="s">
        <v>2560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48"/>
      <c r="Q36" s="1810" t="str">
        <f t="shared" si="11"/>
        <v>公共部分装修</v>
      </c>
      <c r="R36" s="773" t="s">
        <v>21</v>
      </c>
      <c r="S36" s="774">
        <f t="shared" si="12"/>
        <v>100</v>
      </c>
      <c r="T36" s="773" t="s">
        <v>21</v>
      </c>
      <c r="U36" s="774">
        <f t="shared" si="13"/>
        <v>100</v>
      </c>
      <c r="V36" s="773" t="s">
        <v>21</v>
      </c>
      <c r="W36" s="774">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8"/>
      <c r="Q37" s="1795" t="str">
        <f t="shared" si="11"/>
        <v>成新度</v>
      </c>
      <c r="R37" s="769" t="s">
        <v>21</v>
      </c>
      <c r="S37" s="770" t="e">
        <f t="shared" si="12"/>
        <v>#N/A</v>
      </c>
      <c r="T37" s="769" t="s">
        <v>21</v>
      </c>
      <c r="U37" s="770" t="e">
        <f t="shared" si="13"/>
        <v>#N/A</v>
      </c>
      <c r="V37" s="769" t="s">
        <v>21</v>
      </c>
      <c r="W37" s="770" t="e">
        <f t="shared" si="14"/>
        <v>#N/A</v>
      </c>
      <c r="X37" s="771"/>
      <c r="Y37" s="3215"/>
      <c r="Z37" s="55" t="str">
        <f t="shared" si="18"/>
        <v>成新度</v>
      </c>
      <c r="AA37" s="772" t="e">
        <f t="shared" si="15"/>
        <v>#N/A</v>
      </c>
      <c r="AB37" s="772" t="e">
        <f t="shared" si="16"/>
        <v>#N/A</v>
      </c>
      <c r="AC37" s="772" t="e">
        <f t="shared" si="17"/>
        <v>#N/A</v>
      </c>
    </row>
    <row r="38" spans="1:29" ht="15">
      <c r="A38" s="472"/>
      <c r="B38" s="422" t="s">
        <v>2562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48" t="s">
        <v>2556</v>
      </c>
      <c r="Q38" s="1810" t="str">
        <f t="shared" si="11"/>
        <v>物业管理</v>
      </c>
      <c r="R38" s="773" t="s">
        <v>21</v>
      </c>
      <c r="S38" s="774">
        <f t="shared" si="12"/>
        <v>100</v>
      </c>
      <c r="T38" s="773" t="s">
        <v>21</v>
      </c>
      <c r="U38" s="774">
        <f t="shared" si="13"/>
        <v>100</v>
      </c>
      <c r="V38" s="773" t="s">
        <v>21</v>
      </c>
      <c r="W38" s="774">
        <f t="shared" si="14"/>
        <v>100</v>
      </c>
      <c r="X38" s="1813"/>
      <c r="Y38" s="3215" t="s">
        <v>2556</v>
      </c>
      <c r="Z38" s="1814" t="str">
        <f t="shared" si="18"/>
        <v>物业管理</v>
      </c>
      <c r="AA38" s="1811">
        <f t="shared" si="15"/>
        <v>1</v>
      </c>
      <c r="AB38" s="1811">
        <f t="shared" si="16"/>
        <v>1</v>
      </c>
      <c r="AC38" s="1811">
        <f t="shared" si="17"/>
        <v>1</v>
      </c>
    </row>
    <row r="39" spans="1:29" ht="15">
      <c r="A39" s="472"/>
      <c r="B39" s="422" t="s">
        <v>2563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48"/>
      <c r="Q39" s="1810" t="str">
        <f t="shared" si="11"/>
        <v>市政基础设施</v>
      </c>
      <c r="R39" s="773" t="s">
        <v>21</v>
      </c>
      <c r="S39" s="774">
        <f t="shared" si="12"/>
        <v>100</v>
      </c>
      <c r="T39" s="773" t="s">
        <v>21</v>
      </c>
      <c r="U39" s="774">
        <f t="shared" si="13"/>
        <v>100</v>
      </c>
      <c r="V39" s="773" t="s">
        <v>21</v>
      </c>
      <c r="W39" s="774">
        <f t="shared" si="14"/>
        <v>100</v>
      </c>
      <c r="X39" s="1813"/>
      <c r="Y39" s="3215"/>
      <c r="Z39" s="1814" t="str">
        <f t="shared" si="18"/>
        <v>市政基础设施</v>
      </c>
      <c r="AA39" s="1811">
        <f t="shared" si="15"/>
        <v>1</v>
      </c>
      <c r="AB39" s="1811">
        <f t="shared" si="16"/>
        <v>1</v>
      </c>
      <c r="AC39" s="1811">
        <f t="shared" si="17"/>
        <v>1</v>
      </c>
    </row>
    <row r="40" spans="1:29" ht="15">
      <c r="A40" s="472"/>
      <c r="B40" s="422" t="s">
        <v>2564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48"/>
      <c r="Q40" s="1810" t="str">
        <f t="shared" si="11"/>
        <v>房型</v>
      </c>
      <c r="R40" s="773" t="s">
        <v>21</v>
      </c>
      <c r="S40" s="774">
        <f t="shared" si="12"/>
        <v>100</v>
      </c>
      <c r="T40" s="773" t="s">
        <v>21</v>
      </c>
      <c r="U40" s="774">
        <f t="shared" si="13"/>
        <v>100</v>
      </c>
      <c r="V40" s="773" t="s">
        <v>21</v>
      </c>
      <c r="W40" s="774">
        <f t="shared" si="14"/>
        <v>100</v>
      </c>
      <c r="X40" s="1813"/>
      <c r="Y40" s="3215"/>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48"/>
      <c r="Q41" s="775" t="str">
        <f t="shared" si="11"/>
        <v>单套/主力户型建筑面积</v>
      </c>
      <c r="R41" s="776" t="s">
        <v>21</v>
      </c>
      <c r="S41" s="777">
        <f t="shared" si="12"/>
        <v>100</v>
      </c>
      <c r="T41" s="776" t="s">
        <v>21</v>
      </c>
      <c r="U41" s="777">
        <f t="shared" si="13"/>
        <v>100</v>
      </c>
      <c r="V41" s="776" t="s">
        <v>21</v>
      </c>
      <c r="W41" s="777">
        <f t="shared" si="14"/>
        <v>100</v>
      </c>
      <c r="X41" s="778"/>
      <c r="Y41" s="3215"/>
      <c r="Z41" s="779" t="str">
        <f t="shared" si="18"/>
        <v>单套/主力户型建筑面积</v>
      </c>
      <c r="AA41" s="1811">
        <f t="shared" si="15"/>
        <v>1</v>
      </c>
      <c r="AB41" s="1811">
        <f t="shared" si="16"/>
        <v>1</v>
      </c>
      <c r="AC41" s="1811">
        <f t="shared" si="17"/>
        <v>1</v>
      </c>
    </row>
    <row r="42" spans="1:29" ht="15">
      <c r="A42" s="472"/>
      <c r="B42" s="422" t="s">
        <v>2566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48"/>
      <c r="Q42" s="1810" t="str">
        <f t="shared" si="11"/>
        <v>内部装修</v>
      </c>
      <c r="R42" s="773" t="s">
        <v>21</v>
      </c>
      <c r="S42" s="774">
        <f t="shared" si="12"/>
        <v>100</v>
      </c>
      <c r="T42" s="773" t="s">
        <v>21</v>
      </c>
      <c r="U42" s="774">
        <f t="shared" si="13"/>
        <v>100</v>
      </c>
      <c r="V42" s="773" t="s">
        <v>21</v>
      </c>
      <c r="W42" s="774">
        <f t="shared" si="14"/>
        <v>100</v>
      </c>
      <c r="X42" s="1813"/>
      <c r="Y42" s="3215"/>
      <c r="Z42" s="1814" t="str">
        <f t="shared" si="18"/>
        <v>内部装修</v>
      </c>
      <c r="AA42" s="1811">
        <f t="shared" si="15"/>
        <v>1</v>
      </c>
      <c r="AB42" s="1811">
        <f t="shared" si="16"/>
        <v>1</v>
      </c>
      <c r="AC42" s="1811">
        <f t="shared" si="17"/>
        <v>1</v>
      </c>
    </row>
    <row r="43" spans="1:29" ht="15">
      <c r="A43" s="472"/>
      <c r="B43" s="422" t="s">
        <v>2567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48"/>
      <c r="Q43" s="1810" t="str">
        <f t="shared" si="11"/>
        <v>内部装修维护情况</v>
      </c>
      <c r="R43" s="773" t="s">
        <v>21</v>
      </c>
      <c r="S43" s="774">
        <f t="shared" si="12"/>
        <v>100</v>
      </c>
      <c r="T43" s="773" t="s">
        <v>21</v>
      </c>
      <c r="U43" s="774">
        <f t="shared" si="13"/>
        <v>100</v>
      </c>
      <c r="V43" s="773" t="s">
        <v>21</v>
      </c>
      <c r="W43" s="774">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48"/>
      <c r="Q44" s="1795">
        <f t="shared" si="11"/>
        <v>111</v>
      </c>
      <c r="R44" s="769" t="s">
        <v>21</v>
      </c>
      <c r="S44" s="770">
        <f t="shared" si="12"/>
        <v>100</v>
      </c>
      <c r="T44" s="769" t="s">
        <v>21</v>
      </c>
      <c r="U44" s="770">
        <f t="shared" si="13"/>
        <v>100</v>
      </c>
      <c r="V44" s="769" t="s">
        <v>21</v>
      </c>
      <c r="W44" s="770">
        <f t="shared" si="14"/>
        <v>100</v>
      </c>
      <c r="X44" s="771"/>
      <c r="Y44" s="3215"/>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48"/>
      <c r="Q45" s="1810">
        <f t="shared" si="11"/>
        <v>111</v>
      </c>
      <c r="R45" s="773" t="s">
        <v>21</v>
      </c>
      <c r="S45" s="774">
        <f t="shared" si="12"/>
        <v>100</v>
      </c>
      <c r="T45" s="773" t="s">
        <v>21</v>
      </c>
      <c r="U45" s="774">
        <f t="shared" si="13"/>
        <v>100</v>
      </c>
      <c r="V45" s="773" t="s">
        <v>21</v>
      </c>
      <c r="W45" s="774">
        <f t="shared" si="14"/>
        <v>100</v>
      </c>
      <c r="X45" s="1813"/>
      <c r="Y45" s="3215"/>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49"/>
      <c r="Q46" s="1810">
        <f t="shared" si="11"/>
        <v>111</v>
      </c>
      <c r="R46" s="773" t="s">
        <v>20</v>
      </c>
      <c r="S46" s="774">
        <f t="shared" si="12"/>
        <v>100</v>
      </c>
      <c r="T46" s="773" t="s">
        <v>20</v>
      </c>
      <c r="U46" s="774">
        <f t="shared" si="13"/>
        <v>100</v>
      </c>
      <c r="V46" s="773" t="s">
        <v>20</v>
      </c>
      <c r="W46" s="774">
        <f t="shared" si="14"/>
        <v>100</v>
      </c>
      <c r="X46" s="1813"/>
      <c r="Y46" s="3250"/>
      <c r="Z46" s="1814">
        <f t="shared" si="18"/>
        <v>111</v>
      </c>
      <c r="AA46" s="1811">
        <f t="shared" si="15"/>
        <v>1</v>
      </c>
      <c r="AB46" s="1811">
        <f t="shared" si="16"/>
        <v>1</v>
      </c>
      <c r="AC46" s="1811">
        <f t="shared" si="17"/>
        <v>1</v>
      </c>
    </row>
    <row r="47" spans="1:29" ht="15">
      <c r="A47" s="479" t="s">
        <v>2568</v>
      </c>
      <c r="B47" s="480"/>
      <c r="C47" s="1409" t="s">
        <v>19</v>
      </c>
      <c r="D47" s="1410"/>
      <c r="E47" s="1411"/>
      <c r="F47" s="1412"/>
      <c r="G47" s="1413"/>
      <c r="H47" s="1414"/>
      <c r="I47" s="1411"/>
      <c r="J47" s="1414"/>
      <c r="K47" s="2625"/>
      <c r="L47" s="1145"/>
      <c r="M47" s="1146"/>
      <c r="N47" s="1133"/>
      <c r="O47" s="1146"/>
      <c r="P47" s="3197" t="str">
        <f>A47</f>
        <v>成交单价（元/平方米）</v>
      </c>
      <c r="Q47" s="3197"/>
      <c r="R47" s="3246">
        <f>E47</f>
        <v>0</v>
      </c>
      <c r="S47" s="3246"/>
      <c r="T47" s="3246">
        <f>G47</f>
        <v>0</v>
      </c>
      <c r="U47" s="3246"/>
      <c r="V47" s="3246">
        <f>I47</f>
        <v>0</v>
      </c>
      <c r="W47" s="3246"/>
      <c r="X47" s="758"/>
      <c r="Y47" s="780"/>
      <c r="Z47" s="758"/>
      <c r="AA47" s="758"/>
      <c r="AB47" s="758"/>
      <c r="AC47" s="758"/>
    </row>
    <row r="48" spans="1:29" ht="15.75" thickBot="1">
      <c r="A48" s="486" t="s">
        <v>2569</v>
      </c>
      <c r="B48" s="487"/>
      <c r="C48" s="1415" t="e">
        <f>R49</f>
        <v>#DIV/0!</v>
      </c>
      <c r="D48" s="1416"/>
      <c r="E48" s="1417" t="e">
        <f>R48</f>
        <v>#DIV/0!</v>
      </c>
      <c r="F48" s="1417"/>
      <c r="G48" s="1415" t="e">
        <f>T48</f>
        <v>#DIV/0!</v>
      </c>
      <c r="H48" s="1416"/>
      <c r="I48" s="1417" t="e">
        <f>V48</f>
        <v>#DIV/0!</v>
      </c>
      <c r="J48" s="1416"/>
      <c r="K48" s="2626"/>
      <c r="L48" s="1145"/>
      <c r="M48" s="1146"/>
      <c r="N48" s="1146"/>
      <c r="O48" s="1146"/>
      <c r="P48" s="3197" t="str">
        <f>A48</f>
        <v>比较价值（元/平方米）</v>
      </c>
      <c r="Q48" s="3197"/>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8"/>
      <c r="Y48" s="758"/>
      <c r="Z48" s="758"/>
      <c r="AA48" s="758"/>
      <c r="AB48" s="758"/>
      <c r="AC48" s="758"/>
    </row>
    <row r="49" spans="1:29" ht="15.75" thickBot="1">
      <c r="A49" s="492" t="s">
        <v>2570</v>
      </c>
      <c r="B49" s="493"/>
      <c r="C49" s="1418" t="e">
        <f>R49</f>
        <v>#DIV/0!</v>
      </c>
      <c r="D49" s="1419"/>
      <c r="E49" s="1419"/>
      <c r="F49" s="1419"/>
      <c r="G49" s="1419"/>
      <c r="H49" s="1419"/>
      <c r="I49" s="1419"/>
      <c r="J49" s="1419"/>
      <c r="K49" s="2627"/>
      <c r="L49" s="1145"/>
      <c r="M49" s="1146"/>
      <c r="N49" s="1146"/>
      <c r="O49" s="1146"/>
      <c r="P49" s="3217" t="str">
        <f>A49</f>
        <v>估价对象XX用房的比较价值（楼面单价，元/平方米）</v>
      </c>
      <c r="Q49" s="3218"/>
      <c r="R49" s="3245" t="e">
        <f>IF(F1="售价",ROUND(AVERAGE(R48:V48),0),ROUND(AVERAGE(R48:V48),1))</f>
        <v>#DIV/0!</v>
      </c>
      <c r="S49" s="3245"/>
      <c r="T49" s="3245"/>
      <c r="U49" s="3245"/>
      <c r="V49" s="3245"/>
      <c r="W49" s="324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30"/>
      <c r="Q57" s="504"/>
    </row>
    <row r="58" spans="1:29" s="508" customFormat="1" ht="15">
      <c r="A58" s="505" t="s">
        <v>2575</v>
      </c>
      <c r="B58" s="506"/>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7" customFormat="1" ht="15">
      <c r="A59" s="509"/>
      <c r="B59" s="2631"/>
      <c r="C59" s="1574">
        <v>100</v>
      </c>
      <c r="D59" s="511"/>
      <c r="E59" s="512"/>
      <c r="F59" s="512"/>
      <c r="G59" s="512"/>
      <c r="H59" s="512"/>
      <c r="I59" s="512"/>
      <c r="J59" s="512"/>
      <c r="K59" s="512"/>
      <c r="L59" s="512"/>
      <c r="M59" s="513"/>
      <c r="N59" s="512"/>
      <c r="O59" s="513"/>
      <c r="P59" s="2632"/>
    </row>
    <row r="60" spans="1:29" s="117" customFormat="1" ht="15.75" thickBot="1">
      <c r="A60" s="515" t="s">
        <v>2576</v>
      </c>
      <c r="B60" s="516"/>
      <c r="C60" s="517"/>
      <c r="D60" s="518"/>
      <c r="E60" s="518"/>
      <c r="F60" s="518"/>
      <c r="G60" s="518"/>
      <c r="H60" s="518"/>
      <c r="I60" s="518"/>
      <c r="J60" s="518"/>
      <c r="K60" s="518"/>
      <c r="L60" s="518"/>
      <c r="M60" s="519"/>
      <c r="N60" s="518"/>
      <c r="O60" s="519"/>
      <c r="P60" s="2632"/>
      <c r="Q60" s="504"/>
    </row>
    <row r="61" spans="1:29" s="117" customFormat="1" ht="15">
      <c r="A61" s="521" t="s">
        <v>2577</v>
      </c>
      <c r="B61" s="510"/>
      <c r="C61" s="522" t="s">
        <v>2578</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2579</v>
      </c>
      <c r="B63" s="528" t="s">
        <v>2545</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2601</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2602</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2554</v>
      </c>
      <c r="B100" s="528" t="s">
        <v>2603</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2605</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2606</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2607</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2608</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2609</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2610</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2565</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2611</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2613</v>
      </c>
    </row>
    <row r="137" spans="1:17" ht="15">
      <c r="B137" s="2642" t="s">
        <v>2614</v>
      </c>
      <c r="C137" s="2643"/>
      <c r="D137" s="2643"/>
      <c r="E137" s="2643"/>
      <c r="F137" s="2643"/>
      <c r="G137" s="2644"/>
      <c r="H137" s="2645"/>
      <c r="I137" s="2646" t="s">
        <v>2615</v>
      </c>
      <c r="J137" s="2643"/>
      <c r="K137" s="2647"/>
    </row>
    <row r="138" spans="1:17" ht="15">
      <c r="B138" s="2648"/>
      <c r="C138" s="146" t="s">
        <v>2616</v>
      </c>
      <c r="D138" s="146" t="s">
        <v>2617</v>
      </c>
      <c r="E138" s="2649" t="s">
        <v>2618</v>
      </c>
      <c r="F138" s="2650" t="s">
        <v>2619</v>
      </c>
      <c r="G138" s="146" t="s">
        <v>2617</v>
      </c>
      <c r="H138" s="147" t="s">
        <v>2618</v>
      </c>
      <c r="I138" s="2651"/>
      <c r="J138" s="146" t="s">
        <v>2620</v>
      </c>
      <c r="K138" s="147" t="s">
        <v>2621</v>
      </c>
    </row>
    <row r="139" spans="1:17" ht="15">
      <c r="B139" s="1086">
        <v>6</v>
      </c>
      <c r="C139" s="1087">
        <v>96</v>
      </c>
      <c r="D139" s="2652" t="s">
        <v>2622</v>
      </c>
      <c r="E139" s="1088">
        <v>100</v>
      </c>
      <c r="F139" s="1089">
        <v>102.5</v>
      </c>
      <c r="G139" s="2652" t="s">
        <v>2622</v>
      </c>
      <c r="H139" s="1090">
        <v>105</v>
      </c>
      <c r="I139" s="2653" t="s">
        <v>2623</v>
      </c>
      <c r="J139" s="1087">
        <v>20</v>
      </c>
      <c r="K139" s="1091">
        <f>C145/(J139-2)</f>
        <v>4.0555555555555553E-3</v>
      </c>
    </row>
    <row r="140" spans="1:17" ht="15">
      <c r="B140" s="1092">
        <v>5</v>
      </c>
      <c r="C140" s="1093">
        <v>100</v>
      </c>
      <c r="D140" s="1093"/>
      <c r="E140" s="1094"/>
      <c r="F140" s="1095">
        <v>102</v>
      </c>
      <c r="G140" s="1093"/>
      <c r="H140" s="1096"/>
      <c r="I140" s="2654" t="s">
        <v>2624</v>
      </c>
      <c r="J140" s="315">
        <f>ROUNDUP((J139-1)/2,0)</f>
        <v>10</v>
      </c>
      <c r="K140" s="1097">
        <v>100</v>
      </c>
    </row>
    <row r="141" spans="1:17" ht="15">
      <c r="B141" s="1092">
        <v>4</v>
      </c>
      <c r="C141" s="1093">
        <v>102</v>
      </c>
      <c r="D141" s="1093"/>
      <c r="E141" s="1094"/>
      <c r="F141" s="1095">
        <v>101.5</v>
      </c>
      <c r="G141" s="1093"/>
      <c r="H141" s="1096"/>
      <c r="I141" s="2654" t="s">
        <v>2625</v>
      </c>
      <c r="J141" s="315">
        <v>1</v>
      </c>
      <c r="K141" s="1098">
        <f>ROUND(100+(J141-J140)*K139*100,1)</f>
        <v>96.4</v>
      </c>
    </row>
    <row r="142" spans="1:17" ht="15">
      <c r="B142" s="1092">
        <v>3</v>
      </c>
      <c r="C142" s="1093">
        <v>103</v>
      </c>
      <c r="D142" s="1093"/>
      <c r="E142" s="1094"/>
      <c r="F142" s="1095">
        <v>101</v>
      </c>
      <c r="G142" s="1093"/>
      <c r="H142" s="1096"/>
      <c r="I142" s="2654" t="s">
        <v>2626</v>
      </c>
      <c r="J142" s="315">
        <f>J139</f>
        <v>20</v>
      </c>
      <c r="K142" s="1099">
        <v>95</v>
      </c>
    </row>
    <row r="143" spans="1:17" ht="15">
      <c r="B143" s="1092">
        <v>2</v>
      </c>
      <c r="C143" s="1093">
        <v>100</v>
      </c>
      <c r="D143" s="1093"/>
      <c r="E143" s="1094"/>
      <c r="F143" s="1095">
        <v>100.5</v>
      </c>
      <c r="G143" s="1093"/>
      <c r="H143" s="1096"/>
      <c r="I143" s="2654" t="s">
        <v>2627</v>
      </c>
      <c r="J143" s="1093">
        <v>15</v>
      </c>
      <c r="K143" s="1098">
        <f>ROUND(100+(J143-J140)*K139*100,1)</f>
        <v>102</v>
      </c>
    </row>
    <row r="144" spans="1:17" ht="15">
      <c r="B144" s="1092">
        <v>1</v>
      </c>
      <c r="C144" s="1093">
        <v>98</v>
      </c>
      <c r="D144" s="2655" t="s">
        <v>2628</v>
      </c>
      <c r="E144" s="1094">
        <v>102</v>
      </c>
      <c r="F144" s="1100">
        <v>100</v>
      </c>
      <c r="G144" s="2655" t="s">
        <v>2628</v>
      </c>
      <c r="H144" s="1096">
        <v>105</v>
      </c>
      <c r="I144" s="2654" t="s">
        <v>2627</v>
      </c>
      <c r="J144" s="1093">
        <v>18</v>
      </c>
      <c r="K144" s="1098">
        <f>ROUND(100+(J144-J140)*K139*100,1)</f>
        <v>103.2</v>
      </c>
    </row>
    <row r="145" spans="2:11" ht="15.75" thickBot="1">
      <c r="B145" s="2656" t="s">
        <v>2629</v>
      </c>
      <c r="C145" s="1101">
        <f>ROUND(MAX(C139:C144)/MIN(C139:C144)-1,3)</f>
        <v>7.2999999999999995E-2</v>
      </c>
      <c r="D145" s="1102"/>
      <c r="E145" s="1102"/>
      <c r="F145" s="2657" t="s">
        <v>2630</v>
      </c>
      <c r="G145" s="2658"/>
      <c r="H145" s="2659"/>
      <c r="I145" s="2660" t="s">
        <v>2627</v>
      </c>
      <c r="J145" s="1103">
        <v>8</v>
      </c>
      <c r="K145" s="1104">
        <f>ROUND(100+(J145-J140)*K139*100,1)</f>
        <v>99.2</v>
      </c>
    </row>
    <row r="147" spans="2:11">
      <c r="B147" s="2641" t="s">
        <v>2631</v>
      </c>
    </row>
    <row r="148" spans="2:11">
      <c r="B148" s="2641"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586" t="s">
        <v>2633</v>
      </c>
      <c r="C1" s="1635" t="s">
        <v>2521</v>
      </c>
      <c r="D1" s="1622"/>
      <c r="E1" s="2661"/>
      <c r="F1" s="2588"/>
      <c r="G1" s="1632" t="s">
        <v>2634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8" customFormat="1" ht="28.5" customHeight="1" thickTop="1">
      <c r="A2" s="1618" t="s">
        <v>2318</v>
      </c>
      <c r="B2" s="1420" t="e">
        <f ca="1">IF(C2="——",ROUND(C49*D3/10000,0),ROUND(C49*D3/10000,0)-D2)</f>
        <v>#DIV/0!</v>
      </c>
      <c r="C2" s="2590"/>
      <c r="D2" s="1367" t="e">
        <f ca="1">SUMIF(INDIRECT("'"&amp;F2&amp;"'"&amp;"!A:A"),"承租人权益价值",INDIRECT("'"&amp;F2&amp;"'"&amp;"!c:c"))</f>
        <v>#REF!</v>
      </c>
      <c r="E2" s="2591" t="s">
        <v>2319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2320</v>
      </c>
      <c r="B3" s="609" t="e">
        <f ca="1">IF(C2="——",C49,ROUND(B2*10000/D3,0))</f>
        <v>#DIV/0!</v>
      </c>
      <c r="C3" s="400" t="s">
        <v>2635</v>
      </c>
      <c r="D3" s="399">
        <f>IF(D1="",'数据-汇总表'!E3,SUMIF('数据-汇总表'!$C19:$C33,D1,'数据-汇总表'!$E19:$E33))</f>
        <v>34353.799999999996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210" t="s">
        <v>2639</v>
      </c>
      <c r="AC4" s="3180" t="s">
        <v>2640</v>
      </c>
    </row>
    <row r="5" spans="1:29" ht="15">
      <c r="A5" s="404"/>
      <c r="B5" s="405"/>
      <c r="C5" s="3191" t="s">
        <v>2533</v>
      </c>
      <c r="D5" s="3192"/>
      <c r="E5" s="3189" t="s">
        <v>2534</v>
      </c>
      <c r="F5" s="3190"/>
      <c r="G5" s="3191" t="s">
        <v>2535</v>
      </c>
      <c r="H5" s="3192"/>
      <c r="I5" s="3191" t="s">
        <v>2536</v>
      </c>
      <c r="J5" s="3192"/>
      <c r="K5" s="610"/>
      <c r="L5" s="1132"/>
      <c r="M5" s="1133"/>
      <c r="N5" s="1133"/>
      <c r="O5" s="1133"/>
      <c r="P5" s="3204"/>
      <c r="Q5" s="3205"/>
      <c r="R5" s="3187"/>
      <c r="S5" s="3188"/>
      <c r="T5" s="3187"/>
      <c r="U5" s="3188"/>
      <c r="V5" s="3210"/>
      <c r="W5" s="3210"/>
      <c r="X5" s="1813"/>
      <c r="Y5" s="3187"/>
      <c r="Z5" s="3188"/>
      <c r="AA5" s="3181"/>
      <c r="AB5" s="3210"/>
      <c r="AC5" s="3181"/>
    </row>
    <row r="6" spans="1:29" ht="15.75" thickBot="1">
      <c r="A6" s="406"/>
      <c r="B6" s="407"/>
      <c r="C6" s="3193" t="s">
        <v>2537</v>
      </c>
      <c r="D6" s="3194"/>
      <c r="E6" s="3195" t="s">
        <v>2537</v>
      </c>
      <c r="F6" s="3196"/>
      <c r="G6" s="3193" t="s">
        <v>2537</v>
      </c>
      <c r="H6" s="3194"/>
      <c r="I6" s="3193" t="s">
        <v>2537</v>
      </c>
      <c r="J6" s="3194"/>
      <c r="K6" s="610" t="s">
        <v>2538</v>
      </c>
      <c r="L6" s="1132"/>
      <c r="M6" s="1133"/>
      <c r="N6" s="1133"/>
      <c r="O6" s="1133"/>
      <c r="P6" s="3206"/>
      <c r="Q6" s="3207"/>
      <c r="R6" s="3187"/>
      <c r="S6" s="3188"/>
      <c r="T6" s="3208"/>
      <c r="U6" s="3209"/>
      <c r="V6" s="3210"/>
      <c r="W6" s="3210"/>
      <c r="X6" s="1813"/>
      <c r="Y6" s="3208"/>
      <c r="Z6" s="3209"/>
      <c r="AA6" s="3182"/>
      <c r="AB6" s="3210"/>
      <c r="AC6" s="3182"/>
    </row>
    <row r="7" spans="1:29" s="117" customFormat="1" ht="15.75" thickBot="1">
      <c r="A7" s="408" t="s">
        <v>2539</v>
      </c>
      <c r="B7" s="409"/>
      <c r="C7" s="410">
        <f>'数据-取费表'!B2</f>
        <v>43405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3" t="s">
        <v>2540</v>
      </c>
      <c r="Q7" s="3211"/>
      <c r="R7" s="769" t="s">
        <v>17</v>
      </c>
      <c r="S7" s="770">
        <f t="shared" ref="S7:S15" si="0">F7</f>
        <v>0</v>
      </c>
      <c r="T7" s="769" t="s">
        <v>17</v>
      </c>
      <c r="U7" s="770">
        <f t="shared" ref="U7:U15" si="1">H7</f>
        <v>0</v>
      </c>
      <c r="V7" s="769" t="s">
        <v>17</v>
      </c>
      <c r="W7" s="770">
        <f t="shared" ref="W7:W15" si="2">J7</f>
        <v>0</v>
      </c>
      <c r="X7" s="771"/>
      <c r="Y7" s="3183" t="s">
        <v>2540</v>
      </c>
      <c r="Z7" s="3184"/>
      <c r="AA7" s="772" t="e">
        <f>D7/F7</f>
        <v>#DIV/0!</v>
      </c>
      <c r="AB7" s="772" t="e">
        <f>D7/H7</f>
        <v>#DIV/0!</v>
      </c>
      <c r="AC7" s="772"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3" t="s">
        <v>2543</v>
      </c>
      <c r="Q8" s="3184"/>
      <c r="R8" s="769" t="s">
        <v>17</v>
      </c>
      <c r="S8" s="770">
        <f t="shared" si="0"/>
        <v>0</v>
      </c>
      <c r="T8" s="769" t="s">
        <v>17</v>
      </c>
      <c r="U8" s="770">
        <f t="shared" si="1"/>
        <v>0</v>
      </c>
      <c r="V8" s="769" t="s">
        <v>17</v>
      </c>
      <c r="W8" s="770">
        <f t="shared" si="2"/>
        <v>0</v>
      </c>
      <c r="X8" s="771"/>
      <c r="Y8" s="3183" t="s">
        <v>2543</v>
      </c>
      <c r="Z8" s="3184"/>
      <c r="AA8" s="772" t="e">
        <f t="shared" ref="AA8:AA46" si="3">D8/F8</f>
        <v>#DIV/0!</v>
      </c>
      <c r="AB8" s="772" t="e">
        <f t="shared" ref="AB8:AB46" si="4">D8/H8</f>
        <v>#DIV/0!</v>
      </c>
      <c r="AC8" s="772"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1"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1"/>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1"/>
      <c r="Q11" s="1795"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1"/>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1"/>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1"/>
      <c r="Q14" s="1795">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5">
      <c r="A15" s="440" t="s">
        <v>2550</v>
      </c>
      <c r="B15" s="69" t="s">
        <v>2644</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1" t="s">
        <v>2551</v>
      </c>
      <c r="Q15" s="1810" t="str">
        <f t="shared" si="6"/>
        <v>商业繁华度</v>
      </c>
      <c r="R15" s="773" t="s">
        <v>17</v>
      </c>
      <c r="S15" s="774">
        <f t="shared" si="0"/>
        <v>100</v>
      </c>
      <c r="T15" s="773" t="s">
        <v>17</v>
      </c>
      <c r="U15" s="774">
        <f t="shared" si="1"/>
        <v>100</v>
      </c>
      <c r="V15" s="773" t="s">
        <v>17</v>
      </c>
      <c r="W15" s="774">
        <f t="shared" si="2"/>
        <v>100</v>
      </c>
      <c r="X15" s="1813"/>
      <c r="Y15" s="3212"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33"/>
      <c r="P16" s="3252"/>
      <c r="Q16" s="1810"/>
      <c r="R16" s="773"/>
      <c r="S16" s="774"/>
      <c r="T16" s="773"/>
      <c r="U16" s="774"/>
      <c r="V16" s="773"/>
      <c r="W16" s="774"/>
      <c r="X16" s="1813"/>
      <c r="Y16" s="3213"/>
      <c r="Z16" s="1814"/>
      <c r="AA16" s="1811">
        <v>1</v>
      </c>
      <c r="AB16" s="1811">
        <v>1</v>
      </c>
      <c r="AC16" s="1811">
        <v>1</v>
      </c>
    </row>
    <row r="17" spans="1:29" ht="15">
      <c r="A17" s="428"/>
      <c r="B17" s="451" t="s">
        <v>2090</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2"/>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33"/>
      <c r="P18" s="3252"/>
      <c r="Q18" s="1810"/>
      <c r="R18" s="773"/>
      <c r="S18" s="774"/>
      <c r="T18" s="773"/>
      <c r="U18" s="774"/>
      <c r="V18" s="773"/>
      <c r="W18" s="774"/>
      <c r="X18" s="1813"/>
      <c r="Y18" s="3213"/>
      <c r="Z18" s="1814"/>
      <c r="AA18" s="1811">
        <v>1</v>
      </c>
      <c r="AB18" s="1811">
        <v>1</v>
      </c>
      <c r="AC18" s="1811">
        <v>1</v>
      </c>
    </row>
    <row r="19" spans="1:29" ht="15">
      <c r="A19" s="428"/>
      <c r="B19" s="451" t="s">
        <v>2645</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2"/>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33"/>
      <c r="P20" s="3252"/>
      <c r="Q20" s="1810"/>
      <c r="R20" s="773"/>
      <c r="S20" s="774"/>
      <c r="T20" s="773"/>
      <c r="U20" s="774"/>
      <c r="V20" s="773"/>
      <c r="W20" s="774"/>
      <c r="X20" s="1813"/>
      <c r="Y20" s="3213"/>
      <c r="Z20" s="1814"/>
      <c r="AA20" s="1811">
        <v>1</v>
      </c>
      <c r="AB20" s="1811">
        <v>1</v>
      </c>
      <c r="AC20" s="1811">
        <v>1</v>
      </c>
    </row>
    <row r="21" spans="1:29" ht="15">
      <c r="A21" s="428"/>
      <c r="B21" s="1386" t="s">
        <v>2646</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2"/>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33"/>
      <c r="P22" s="3252"/>
      <c r="Q22" s="1810"/>
      <c r="R22" s="773"/>
      <c r="S22" s="774"/>
      <c r="T22" s="773"/>
      <c r="U22" s="774"/>
      <c r="V22" s="773"/>
      <c r="W22" s="774"/>
      <c r="X22" s="1813"/>
      <c r="Y22" s="3213"/>
      <c r="Z22" s="1814"/>
      <c r="AA22" s="1811">
        <v>1</v>
      </c>
      <c r="AB22" s="1811">
        <v>1</v>
      </c>
      <c r="AC22" s="1811">
        <v>1</v>
      </c>
    </row>
    <row r="23" spans="1:29" ht="15">
      <c r="A23" s="428"/>
      <c r="B23" s="451" t="s">
        <v>2093</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2"/>
      <c r="Q23" s="1810" t="str">
        <f>B23</f>
        <v>自然及人文环境</v>
      </c>
      <c r="R23" s="773" t="s">
        <v>17</v>
      </c>
      <c r="S23" s="774">
        <f>F23</f>
        <v>100</v>
      </c>
      <c r="T23" s="773" t="s">
        <v>17</v>
      </c>
      <c r="U23" s="774">
        <f>H23</f>
        <v>100</v>
      </c>
      <c r="V23" s="773" t="s">
        <v>17</v>
      </c>
      <c r="W23" s="774">
        <f>J23</f>
        <v>100</v>
      </c>
      <c r="X23" s="1813"/>
      <c r="Y23" s="3213"/>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2"/>
      <c r="M24" s="1133"/>
      <c r="N24" s="1133"/>
      <c r="O24" s="1133"/>
      <c r="P24" s="3252"/>
      <c r="Q24" s="1810"/>
      <c r="R24" s="773"/>
      <c r="S24" s="774"/>
      <c r="T24" s="773"/>
      <c r="U24" s="774"/>
      <c r="V24" s="773"/>
      <c r="W24" s="774"/>
      <c r="X24" s="1813"/>
      <c r="Y24" s="3213"/>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2"/>
      <c r="Q25" s="1810" t="str">
        <f t="shared" ref="Q25:Q46" si="11">B25</f>
        <v>临街状况</v>
      </c>
      <c r="R25" s="773" t="s">
        <v>17</v>
      </c>
      <c r="S25" s="774">
        <f>F25</f>
        <v>100</v>
      </c>
      <c r="T25" s="773" t="s">
        <v>17</v>
      </c>
      <c r="U25" s="774">
        <f>H25</f>
        <v>100</v>
      </c>
      <c r="V25" s="773" t="s">
        <v>17</v>
      </c>
      <c r="W25" s="774">
        <f>J25</f>
        <v>100</v>
      </c>
      <c r="X25" s="1813"/>
      <c r="Y25" s="3213"/>
      <c r="Z25" s="1814" t="str">
        <f>Q25</f>
        <v>临街状况</v>
      </c>
      <c r="AA25" s="1811">
        <f t="shared" si="3"/>
        <v>1</v>
      </c>
      <c r="AB25" s="1811">
        <f t="shared" si="4"/>
        <v>1</v>
      </c>
      <c r="AC25" s="1811">
        <f t="shared" si="5"/>
        <v>1</v>
      </c>
    </row>
    <row r="26" spans="1:29" ht="15">
      <c r="A26" s="428"/>
      <c r="B26" s="1388" t="s">
        <v>2648</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2"/>
      <c r="Q26" s="1810" t="str">
        <f t="shared" si="11"/>
        <v>平面位置/可视性</v>
      </c>
      <c r="R26" s="773" t="s">
        <v>17</v>
      </c>
      <c r="S26" s="774">
        <f>F26</f>
        <v>100</v>
      </c>
      <c r="T26" s="773" t="s">
        <v>17</v>
      </c>
      <c r="U26" s="774">
        <f>H26</f>
        <v>100</v>
      </c>
      <c r="V26" s="773" t="s">
        <v>17</v>
      </c>
      <c r="W26" s="774">
        <f>J26</f>
        <v>100</v>
      </c>
      <c r="X26" s="1813"/>
      <c r="Y26" s="3213"/>
      <c r="Z26" s="1814" t="str">
        <f>Q26</f>
        <v>平面位置/可视性</v>
      </c>
      <c r="AA26" s="1811">
        <f t="shared" si="3"/>
        <v>1</v>
      </c>
      <c r="AB26" s="1811">
        <f t="shared" si="4"/>
        <v>1</v>
      </c>
      <c r="AC26" s="1811">
        <f t="shared" si="5"/>
        <v>1</v>
      </c>
    </row>
    <row r="27" spans="1:29" s="117" customFormat="1" ht="15">
      <c r="A27" s="431"/>
      <c r="B27" s="451" t="s">
        <v>2649</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52"/>
      <c r="Q27" s="1795" t="str">
        <f t="shared" si="11"/>
        <v>人流量</v>
      </c>
      <c r="R27" s="769" t="s">
        <v>17</v>
      </c>
      <c r="S27" s="770">
        <f>F27</f>
        <v>100</v>
      </c>
      <c r="T27" s="769" t="s">
        <v>17</v>
      </c>
      <c r="U27" s="770">
        <f>H27</f>
        <v>100</v>
      </c>
      <c r="V27" s="769" t="s">
        <v>17</v>
      </c>
      <c r="W27" s="770">
        <f>J27</f>
        <v>100</v>
      </c>
      <c r="X27" s="771"/>
      <c r="Y27" s="3213"/>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2"/>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3"/>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2"/>
      <c r="Q29" s="1810">
        <f t="shared" si="11"/>
        <v>111</v>
      </c>
      <c r="R29" s="773" t="s">
        <v>17</v>
      </c>
      <c r="S29" s="774">
        <f t="shared" si="12"/>
        <v>100</v>
      </c>
      <c r="T29" s="773" t="s">
        <v>17</v>
      </c>
      <c r="U29" s="774">
        <f t="shared" si="13"/>
        <v>100</v>
      </c>
      <c r="V29" s="773" t="s">
        <v>17</v>
      </c>
      <c r="W29" s="774">
        <f t="shared" si="14"/>
        <v>100</v>
      </c>
      <c r="X29" s="1813"/>
      <c r="Y29" s="3213"/>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2"/>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2"/>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1811">
        <f t="shared" si="5"/>
        <v>1</v>
      </c>
    </row>
    <row r="32" spans="1:29" ht="15">
      <c r="A32" s="440" t="s">
        <v>2554</v>
      </c>
      <c r="B32" s="71" t="s">
        <v>2651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247" t="s">
        <v>2556</v>
      </c>
      <c r="Q32" s="1810" t="str">
        <f t="shared" si="11"/>
        <v>商业类型</v>
      </c>
      <c r="R32" s="773" t="s">
        <v>17</v>
      </c>
      <c r="S32" s="774">
        <f t="shared" si="12"/>
        <v>100</v>
      </c>
      <c r="T32" s="773" t="s">
        <v>17</v>
      </c>
      <c r="U32" s="774">
        <f t="shared" si="13"/>
        <v>100</v>
      </c>
      <c r="V32" s="773" t="s">
        <v>17</v>
      </c>
      <c r="W32" s="774">
        <f t="shared" si="14"/>
        <v>100</v>
      </c>
      <c r="X32" s="1813"/>
      <c r="Y32" s="3215"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8"/>
      <c r="Q33" s="775" t="str">
        <f t="shared" si="11"/>
        <v>项目建筑规模</v>
      </c>
      <c r="R33" s="776" t="s">
        <v>17</v>
      </c>
      <c r="S33" s="777" t="e">
        <f t="shared" si="12"/>
        <v>#N/A</v>
      </c>
      <c r="T33" s="776" t="s">
        <v>17</v>
      </c>
      <c r="U33" s="777" t="e">
        <f t="shared" si="13"/>
        <v>#N/A</v>
      </c>
      <c r="V33" s="776" t="s">
        <v>17</v>
      </c>
      <c r="W33" s="777" t="e">
        <f t="shared" si="14"/>
        <v>#N/A</v>
      </c>
      <c r="X33" s="778"/>
      <c r="Y33" s="3215"/>
      <c r="Z33" s="779" t="str">
        <f t="shared" si="15"/>
        <v>项目建筑规模</v>
      </c>
      <c r="AA33" s="1811" t="e">
        <f t="shared" si="3"/>
        <v>#N/A</v>
      </c>
      <c r="AB33" s="1811" t="e">
        <f t="shared" si="4"/>
        <v>#N/A</v>
      </c>
      <c r="AC33" s="1811" t="e">
        <f t="shared" si="5"/>
        <v>#N/A</v>
      </c>
    </row>
    <row r="34" spans="1:29" ht="15">
      <c r="A34" s="472"/>
      <c r="B34" s="422" t="s">
        <v>2558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248"/>
      <c r="Q34" s="1810" t="str">
        <f t="shared" si="11"/>
        <v>建筑结构</v>
      </c>
      <c r="R34" s="773" t="s">
        <v>17</v>
      </c>
      <c r="S34" s="774">
        <f t="shared" si="12"/>
        <v>100</v>
      </c>
      <c r="T34" s="773" t="s">
        <v>17</v>
      </c>
      <c r="U34" s="774">
        <f t="shared" si="13"/>
        <v>100</v>
      </c>
      <c r="V34" s="773" t="s">
        <v>17</v>
      </c>
      <c r="W34" s="774">
        <f t="shared" si="14"/>
        <v>100</v>
      </c>
      <c r="X34" s="1813"/>
      <c r="Y34" s="3215"/>
      <c r="Z34" s="1814" t="str">
        <f t="shared" si="15"/>
        <v>建筑结构</v>
      </c>
      <c r="AA34" s="1811">
        <f t="shared" si="3"/>
        <v>1</v>
      </c>
      <c r="AB34" s="1811">
        <f t="shared" si="4"/>
        <v>1</v>
      </c>
      <c r="AC34" s="1811">
        <f t="shared" si="5"/>
        <v>1</v>
      </c>
    </row>
    <row r="35" spans="1:29" ht="15">
      <c r="A35" s="472"/>
      <c r="B35" s="422" t="s">
        <v>2652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248"/>
      <c r="Q35" s="1810" t="str">
        <f t="shared" si="11"/>
        <v>公共部分装修</v>
      </c>
      <c r="R35" s="773" t="s">
        <v>17</v>
      </c>
      <c r="S35" s="774">
        <f t="shared" si="12"/>
        <v>100</v>
      </c>
      <c r="T35" s="773" t="s">
        <v>17</v>
      </c>
      <c r="U35" s="774">
        <f t="shared" si="13"/>
        <v>100</v>
      </c>
      <c r="V35" s="773" t="s">
        <v>17</v>
      </c>
      <c r="W35" s="774">
        <f t="shared" si="14"/>
        <v>100</v>
      </c>
      <c r="X35" s="1813"/>
      <c r="Y35" s="3215"/>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8"/>
      <c r="Q36" s="1810" t="str">
        <f t="shared" si="11"/>
        <v>成新度</v>
      </c>
      <c r="R36" s="773" t="s">
        <v>17</v>
      </c>
      <c r="S36" s="774" t="e">
        <f t="shared" si="12"/>
        <v>#N/A</v>
      </c>
      <c r="T36" s="773" t="s">
        <v>17</v>
      </c>
      <c r="U36" s="774" t="e">
        <f t="shared" si="13"/>
        <v>#N/A</v>
      </c>
      <c r="V36" s="773" t="s">
        <v>17</v>
      </c>
      <c r="W36" s="774"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2654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248"/>
      <c r="Q37" s="1795" t="str">
        <f t="shared" si="11"/>
        <v>市政基础设施</v>
      </c>
      <c r="R37" s="769" t="s">
        <v>17</v>
      </c>
      <c r="S37" s="770">
        <f t="shared" si="12"/>
        <v>100</v>
      </c>
      <c r="T37" s="769" t="s">
        <v>17</v>
      </c>
      <c r="U37" s="770">
        <f t="shared" si="13"/>
        <v>100</v>
      </c>
      <c r="V37" s="769" t="s">
        <v>17</v>
      </c>
      <c r="W37" s="770">
        <f t="shared" si="14"/>
        <v>100</v>
      </c>
      <c r="X37" s="771"/>
      <c r="Y37" s="3215"/>
      <c r="Z37" s="55" t="str">
        <f t="shared" si="15"/>
        <v>市政基础设施</v>
      </c>
      <c r="AA37" s="772">
        <f t="shared" si="3"/>
        <v>1</v>
      </c>
      <c r="AB37" s="772">
        <f t="shared" si="4"/>
        <v>1</v>
      </c>
      <c r="AC37" s="772">
        <f t="shared" si="5"/>
        <v>1</v>
      </c>
    </row>
    <row r="38" spans="1:29" ht="15">
      <c r="A38" s="472"/>
      <c r="B38" s="422" t="s">
        <v>2655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48" t="s">
        <v>2556</v>
      </c>
      <c r="Q38" s="1810" t="str">
        <f t="shared" si="11"/>
        <v>业态</v>
      </c>
      <c r="R38" s="773" t="s">
        <v>17</v>
      </c>
      <c r="S38" s="774">
        <f t="shared" si="12"/>
        <v>100</v>
      </c>
      <c r="T38" s="773" t="s">
        <v>17</v>
      </c>
      <c r="U38" s="774">
        <f t="shared" si="13"/>
        <v>100</v>
      </c>
      <c r="V38" s="773" t="s">
        <v>17</v>
      </c>
      <c r="W38" s="774">
        <f t="shared" si="14"/>
        <v>100</v>
      </c>
      <c r="X38" s="1813"/>
      <c r="Y38" s="3215" t="s">
        <v>2556</v>
      </c>
      <c r="Z38" s="1814" t="str">
        <f t="shared" si="15"/>
        <v>业态</v>
      </c>
      <c r="AA38" s="1811">
        <f t="shared" si="3"/>
        <v>1</v>
      </c>
      <c r="AB38" s="1811">
        <f t="shared" si="4"/>
        <v>1</v>
      </c>
      <c r="AC38" s="1811">
        <f t="shared" si="5"/>
        <v>1</v>
      </c>
    </row>
    <row r="39" spans="1:29" ht="15">
      <c r="A39" s="472"/>
      <c r="B39" s="422" t="s">
        <v>2656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248"/>
      <c r="Q39" s="1810" t="str">
        <f t="shared" si="11"/>
        <v>层高</v>
      </c>
      <c r="R39" s="773" t="s">
        <v>17</v>
      </c>
      <c r="S39" s="774">
        <f t="shared" si="12"/>
        <v>100</v>
      </c>
      <c r="T39" s="773" t="s">
        <v>17</v>
      </c>
      <c r="U39" s="774">
        <f t="shared" si="13"/>
        <v>100</v>
      </c>
      <c r="V39" s="773" t="s">
        <v>17</v>
      </c>
      <c r="W39" s="774">
        <f t="shared" si="14"/>
        <v>100</v>
      </c>
      <c r="X39" s="1813"/>
      <c r="Y39" s="3215"/>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8"/>
      <c r="Q40" s="1810" t="str">
        <f t="shared" si="11"/>
        <v>单套建筑面积</v>
      </c>
      <c r="R40" s="773" t="s">
        <v>17</v>
      </c>
      <c r="S40" s="774">
        <f t="shared" si="12"/>
        <v>100</v>
      </c>
      <c r="T40" s="773" t="s">
        <v>17</v>
      </c>
      <c r="U40" s="774">
        <f t="shared" si="13"/>
        <v>100</v>
      </c>
      <c r="V40" s="773" t="s">
        <v>17</v>
      </c>
      <c r="W40" s="774">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8"/>
      <c r="Q41" s="775" t="str">
        <f t="shared" si="11"/>
        <v>进深比</v>
      </c>
      <c r="R41" s="776" t="s">
        <v>17</v>
      </c>
      <c r="S41" s="777">
        <f t="shared" si="12"/>
        <v>100</v>
      </c>
      <c r="T41" s="776" t="s">
        <v>17</v>
      </c>
      <c r="U41" s="777">
        <f t="shared" si="13"/>
        <v>100</v>
      </c>
      <c r="V41" s="776" t="s">
        <v>17</v>
      </c>
      <c r="W41" s="777">
        <f t="shared" si="14"/>
        <v>100</v>
      </c>
      <c r="X41" s="778"/>
      <c r="Y41" s="3215"/>
      <c r="Z41" s="779" t="str">
        <f t="shared" si="15"/>
        <v>进深比</v>
      </c>
      <c r="AA41" s="1811">
        <f t="shared" si="3"/>
        <v>1</v>
      </c>
      <c r="AB41" s="1811">
        <f t="shared" si="4"/>
        <v>1</v>
      </c>
      <c r="AC41" s="1811">
        <f t="shared" si="5"/>
        <v>1</v>
      </c>
    </row>
    <row r="42" spans="1:29" ht="15">
      <c r="A42" s="472"/>
      <c r="B42" s="422" t="s">
        <v>2659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48"/>
      <c r="Q42" s="1810" t="str">
        <f t="shared" si="11"/>
        <v>内部装修</v>
      </c>
      <c r="R42" s="773" t="s">
        <v>17</v>
      </c>
      <c r="S42" s="774">
        <f t="shared" si="12"/>
        <v>100</v>
      </c>
      <c r="T42" s="773" t="s">
        <v>17</v>
      </c>
      <c r="U42" s="774">
        <f t="shared" si="13"/>
        <v>100</v>
      </c>
      <c r="V42" s="773" t="s">
        <v>17</v>
      </c>
      <c r="W42" s="774">
        <f t="shared" si="14"/>
        <v>100</v>
      </c>
      <c r="X42" s="1813"/>
      <c r="Y42" s="3215"/>
      <c r="Z42" s="1814" t="str">
        <f t="shared" si="15"/>
        <v>内部装修</v>
      </c>
      <c r="AA42" s="1811">
        <f t="shared" si="3"/>
        <v>1</v>
      </c>
      <c r="AB42" s="1811">
        <f t="shared" si="4"/>
        <v>1</v>
      </c>
      <c r="AC42" s="1811">
        <f t="shared" si="5"/>
        <v>1</v>
      </c>
    </row>
    <row r="43" spans="1:29" ht="15">
      <c r="A43" s="472"/>
      <c r="B43" s="422" t="s">
        <v>2567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48"/>
      <c r="Q43" s="1810" t="str">
        <f t="shared" si="11"/>
        <v>内部装修维护情况</v>
      </c>
      <c r="R43" s="773" t="s">
        <v>17</v>
      </c>
      <c r="S43" s="774">
        <f t="shared" si="12"/>
        <v>100</v>
      </c>
      <c r="T43" s="773" t="s">
        <v>17</v>
      </c>
      <c r="U43" s="774">
        <f t="shared" si="13"/>
        <v>100</v>
      </c>
      <c r="V43" s="773" t="s">
        <v>17</v>
      </c>
      <c r="W43" s="774">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8"/>
      <c r="Q44" s="1795">
        <f t="shared" si="11"/>
        <v>111</v>
      </c>
      <c r="R44" s="769" t="s">
        <v>17</v>
      </c>
      <c r="S44" s="770">
        <f t="shared" si="12"/>
        <v>100</v>
      </c>
      <c r="T44" s="769" t="s">
        <v>17</v>
      </c>
      <c r="U44" s="770">
        <f t="shared" si="13"/>
        <v>100</v>
      </c>
      <c r="V44" s="769" t="s">
        <v>17</v>
      </c>
      <c r="W44" s="770">
        <f t="shared" si="14"/>
        <v>100</v>
      </c>
      <c r="X44" s="771"/>
      <c r="Y44" s="3215"/>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8"/>
      <c r="Q45" s="1810">
        <f t="shared" si="11"/>
        <v>111</v>
      </c>
      <c r="R45" s="773" t="s">
        <v>17</v>
      </c>
      <c r="S45" s="774">
        <f t="shared" si="12"/>
        <v>100</v>
      </c>
      <c r="T45" s="773" t="s">
        <v>17</v>
      </c>
      <c r="U45" s="774">
        <f t="shared" si="13"/>
        <v>100</v>
      </c>
      <c r="V45" s="773" t="s">
        <v>17</v>
      </c>
      <c r="W45" s="774">
        <f t="shared" si="14"/>
        <v>100</v>
      </c>
      <c r="X45" s="1813"/>
      <c r="Y45" s="3215"/>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9"/>
      <c r="Q46" s="1810">
        <f t="shared" si="11"/>
        <v>111</v>
      </c>
      <c r="R46" s="773" t="s">
        <v>17</v>
      </c>
      <c r="S46" s="774">
        <f t="shared" si="12"/>
        <v>100</v>
      </c>
      <c r="T46" s="773" t="s">
        <v>17</v>
      </c>
      <c r="U46" s="774">
        <f t="shared" si="13"/>
        <v>100</v>
      </c>
      <c r="V46" s="773" t="s">
        <v>17</v>
      </c>
      <c r="W46" s="774">
        <f t="shared" si="14"/>
        <v>100</v>
      </c>
      <c r="X46" s="1813"/>
      <c r="Y46" s="3250"/>
      <c r="Z46" s="1814">
        <f t="shared" si="15"/>
        <v>111</v>
      </c>
      <c r="AA46" s="1811">
        <f t="shared" si="3"/>
        <v>1</v>
      </c>
      <c r="AB46" s="1811">
        <f t="shared" si="4"/>
        <v>1</v>
      </c>
      <c r="AC46" s="1811">
        <f t="shared" si="5"/>
        <v>1</v>
      </c>
    </row>
    <row r="47" spans="1:29" ht="15">
      <c r="A47" s="479" t="s">
        <v>2568</v>
      </c>
      <c r="B47" s="480"/>
      <c r="C47" s="1409" t="s">
        <v>1</v>
      </c>
      <c r="D47" s="1410"/>
      <c r="E47" s="1411"/>
      <c r="F47" s="1412"/>
      <c r="G47" s="1413"/>
      <c r="H47" s="1414"/>
      <c r="I47" s="1411"/>
      <c r="J47" s="1414"/>
      <c r="K47" s="782"/>
      <c r="L47" s="1145"/>
      <c r="M47" s="1146"/>
      <c r="N47" s="1133"/>
      <c r="O47" s="1146"/>
      <c r="P47" s="3197" t="str">
        <f>A47</f>
        <v>成交单价（元/平方米）</v>
      </c>
      <c r="Q47" s="3197"/>
      <c r="R47" s="3210">
        <f>E47</f>
        <v>0</v>
      </c>
      <c r="S47" s="3210"/>
      <c r="T47" s="3210">
        <f>G47</f>
        <v>0</v>
      </c>
      <c r="U47" s="3210"/>
      <c r="V47" s="3210">
        <f>I47</f>
        <v>0</v>
      </c>
      <c r="W47" s="3210"/>
      <c r="X47" s="758"/>
      <c r="Y47" s="780"/>
      <c r="Z47" s="758"/>
      <c r="AA47" s="758"/>
      <c r="AB47" s="758"/>
      <c r="AC47" s="758"/>
    </row>
    <row r="48" spans="1:29" ht="15.75" thickBot="1">
      <c r="A48" s="486" t="s">
        <v>2660</v>
      </c>
      <c r="B48" s="487"/>
      <c r="C48" s="1415" t="e">
        <f>R49</f>
        <v>#DIV/0!</v>
      </c>
      <c r="D48" s="1416"/>
      <c r="E48" s="1417" t="e">
        <f>R48</f>
        <v>#DIV/0!</v>
      </c>
      <c r="F48" s="1417"/>
      <c r="G48" s="1415" t="e">
        <f>T48</f>
        <v>#DIV/0!</v>
      </c>
      <c r="H48" s="1416"/>
      <c r="I48" s="1417" t="e">
        <f>V48</f>
        <v>#DIV/0!</v>
      </c>
      <c r="J48" s="1416"/>
      <c r="K48" s="783"/>
      <c r="L48" s="1145"/>
      <c r="M48" s="1146"/>
      <c r="N48" s="1133"/>
      <c r="O48" s="1146"/>
      <c r="P48" s="3197" t="str">
        <f>A48</f>
        <v>比较价值（元/平方米）</v>
      </c>
      <c r="Q48" s="3197"/>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8"/>
      <c r="Y48" s="758"/>
      <c r="Z48" s="758"/>
      <c r="AA48" s="758"/>
      <c r="AB48" s="758"/>
      <c r="AC48" s="758"/>
    </row>
    <row r="49" spans="1:29" ht="15.75" thickBot="1">
      <c r="A49" s="492" t="s">
        <v>2661</v>
      </c>
      <c r="B49" s="493"/>
      <c r="C49" s="1419" t="e">
        <f>R49</f>
        <v>#DIV/0!</v>
      </c>
      <c r="D49" s="1419"/>
      <c r="E49" s="1419"/>
      <c r="F49" s="1419"/>
      <c r="G49" s="1419"/>
      <c r="H49" s="1419"/>
      <c r="I49" s="1419"/>
      <c r="J49" s="1419"/>
      <c r="K49" s="784"/>
      <c r="L49" s="1145"/>
      <c r="M49" s="1146"/>
      <c r="N49" s="1133"/>
      <c r="O49" s="1146"/>
      <c r="P49" s="3217" t="str">
        <f>A49</f>
        <v>估价对象XX用房的比较价值（楼面单价，元/平方米）</v>
      </c>
      <c r="Q49" s="3218"/>
      <c r="R49" s="3245" t="e">
        <f>IF(F1="售价",ROUND(AVERAGE(R48:V48),0),ROUND(AVERAGE(R48:V48),1))</f>
        <v>#DIV/0!</v>
      </c>
      <c r="S49" s="3245"/>
      <c r="T49" s="3245"/>
      <c r="U49" s="3245"/>
      <c r="V49" s="3245"/>
      <c r="W49" s="324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2539</v>
      </c>
      <c r="B58" s="506"/>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7" customFormat="1" ht="15">
      <c r="A59" s="509"/>
      <c r="B59" s="510"/>
      <c r="C59" s="1574">
        <v>100</v>
      </c>
      <c r="D59" s="512"/>
      <c r="E59" s="512"/>
      <c r="F59" s="512"/>
      <c r="G59" s="512"/>
      <c r="H59" s="512"/>
      <c r="I59" s="512"/>
      <c r="J59" s="512"/>
      <c r="K59" s="512"/>
      <c r="L59" s="512"/>
      <c r="M59" s="513"/>
      <c r="N59" s="512"/>
      <c r="O59" s="513"/>
      <c r="P59" s="2632"/>
    </row>
    <row r="60" spans="1:29" s="117" customFormat="1" ht="15.75" thickBot="1">
      <c r="A60" s="515" t="s">
        <v>2576</v>
      </c>
      <c r="B60" s="516"/>
      <c r="C60" s="517"/>
      <c r="D60" s="518"/>
      <c r="E60" s="518"/>
      <c r="F60" s="518"/>
      <c r="G60" s="518"/>
      <c r="H60" s="518"/>
      <c r="I60" s="518"/>
      <c r="J60" s="518"/>
      <c r="K60" s="518"/>
      <c r="L60" s="518"/>
      <c r="M60" s="519"/>
      <c r="N60" s="518"/>
      <c r="O60" s="519"/>
      <c r="P60" s="2632"/>
      <c r="Q60" s="504"/>
    </row>
    <row r="61" spans="1:29" s="117" customFormat="1" ht="15">
      <c r="A61" s="521" t="s">
        <v>2541</v>
      </c>
      <c r="B61" s="510"/>
      <c r="C61" s="522" t="s">
        <v>2643</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2579</v>
      </c>
      <c r="B63" s="528" t="s">
        <v>2545</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2671</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2554</v>
      </c>
      <c r="B100" s="528" t="s">
        <v>2672</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2605</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2607</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2673</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2674</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2675</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2676</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2611</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估价对象为房地产，为所有。根据《国有土地使用证》[]，估价对象（分摊）出让国有建设用地使用权面积为10335.5平方米，建筑面积为34353.8平方米。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估价对象为房地产,属开发建设的商业项目，该项目尚在开发建设中。根据《国有土地使用证》[]，估价对象（分摊）出让国有建设用地使用权面积为10335.5平方米，规划建筑面积为34353.8平方米。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2018年11月1日（评估专业人员实地查勘之日）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673" t="s">
        <v>2677</v>
      </c>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IF(C2="——",ROUND(C50*D3/10000,0),ROUND(C50*D3/10000,0)-D2)</f>
        <v>#DIV/0!</v>
      </c>
      <c r="C2" s="2590"/>
      <c r="D2" s="1367" t="e">
        <f ca="1">SUMIF(INDIRECT("'"&amp;F2&amp;"'"&amp;"!A:A"),"承租人权益价值",INDIRECT("'"&amp;F2&amp;"'"&amp;"!c:c"))</f>
        <v>#REF!</v>
      </c>
      <c r="E2" s="2591" t="s">
        <v>2319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34353.799999999996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59" t="s">
        <v>2642</v>
      </c>
      <c r="Q4" s="3260"/>
      <c r="R4" s="3254" t="s">
        <v>2638</v>
      </c>
      <c r="S4" s="3255"/>
      <c r="T4" s="3254" t="s">
        <v>2639</v>
      </c>
      <c r="U4" s="3255"/>
      <c r="V4" s="3263" t="s">
        <v>2640</v>
      </c>
      <c r="W4" s="3263"/>
      <c r="X4" s="2674"/>
      <c r="Y4" s="3254" t="s">
        <v>2642</v>
      </c>
      <c r="Z4" s="3255"/>
      <c r="AA4" s="3253" t="s">
        <v>2638</v>
      </c>
      <c r="AB4" s="3253" t="s">
        <v>2639</v>
      </c>
      <c r="AC4" s="3256" t="s">
        <v>2640</v>
      </c>
    </row>
    <row r="5" spans="1:29" ht="15">
      <c r="A5" s="404"/>
      <c r="B5" s="405"/>
      <c r="C5" s="3191" t="s">
        <v>2533</v>
      </c>
      <c r="D5" s="3192"/>
      <c r="E5" s="3189" t="s">
        <v>2534</v>
      </c>
      <c r="F5" s="3190"/>
      <c r="G5" s="3191" t="s">
        <v>2535</v>
      </c>
      <c r="H5" s="3192"/>
      <c r="I5" s="3191" t="s">
        <v>2536</v>
      </c>
      <c r="J5" s="3192"/>
      <c r="K5" s="610"/>
      <c r="L5" s="1132"/>
      <c r="M5" s="1133"/>
      <c r="N5" s="1133"/>
      <c r="O5" s="1133"/>
      <c r="P5" s="3261"/>
      <c r="Q5" s="3205"/>
      <c r="R5" s="3187"/>
      <c r="S5" s="3188"/>
      <c r="T5" s="3187"/>
      <c r="U5" s="3188"/>
      <c r="V5" s="3210"/>
      <c r="W5" s="3210"/>
      <c r="X5" s="1813"/>
      <c r="Y5" s="3187"/>
      <c r="Z5" s="3188"/>
      <c r="AA5" s="3181"/>
      <c r="AB5" s="3181"/>
      <c r="AC5" s="3257"/>
    </row>
    <row r="6" spans="1:29" ht="15.75" thickBot="1">
      <c r="A6" s="406"/>
      <c r="B6" s="407"/>
      <c r="C6" s="3193" t="s">
        <v>2537</v>
      </c>
      <c r="D6" s="3194"/>
      <c r="E6" s="3195" t="s">
        <v>2537</v>
      </c>
      <c r="F6" s="3196"/>
      <c r="G6" s="3193" t="s">
        <v>2537</v>
      </c>
      <c r="H6" s="3194"/>
      <c r="I6" s="3193" t="s">
        <v>2537</v>
      </c>
      <c r="J6" s="3194"/>
      <c r="K6" s="610" t="s">
        <v>2538</v>
      </c>
      <c r="L6" s="1132"/>
      <c r="M6" s="1133"/>
      <c r="N6" s="1133"/>
      <c r="O6" s="1133"/>
      <c r="P6" s="3262"/>
      <c r="Q6" s="3207"/>
      <c r="R6" s="3187"/>
      <c r="S6" s="3188"/>
      <c r="T6" s="3208"/>
      <c r="U6" s="3209"/>
      <c r="V6" s="3210"/>
      <c r="W6" s="3210"/>
      <c r="X6" s="1813"/>
      <c r="Y6" s="3208"/>
      <c r="Z6" s="3209"/>
      <c r="AA6" s="3182"/>
      <c r="AB6" s="3182"/>
      <c r="AC6" s="3258"/>
    </row>
    <row r="7" spans="1:29" s="117" customFormat="1" ht="15.75" thickBot="1">
      <c r="A7" s="408" t="s">
        <v>2539</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4" t="s">
        <v>2540</v>
      </c>
      <c r="Q7" s="3211"/>
      <c r="R7" s="769" t="s">
        <v>17</v>
      </c>
      <c r="S7" s="770">
        <f t="shared" ref="S7:S15" si="0">F7</f>
        <v>0</v>
      </c>
      <c r="T7" s="769" t="s">
        <v>17</v>
      </c>
      <c r="U7" s="770">
        <f t="shared" ref="U7:U15" si="1">H7</f>
        <v>0</v>
      </c>
      <c r="V7" s="769" t="s">
        <v>17</v>
      </c>
      <c r="W7" s="770">
        <f t="shared" ref="W7:W15" si="2">J7</f>
        <v>0</v>
      </c>
      <c r="X7" s="771"/>
      <c r="Y7" s="3183" t="s">
        <v>2540</v>
      </c>
      <c r="Z7" s="3184"/>
      <c r="AA7" s="772" t="e">
        <f>D7/F7</f>
        <v>#DIV/0!</v>
      </c>
      <c r="AB7" s="772" t="e">
        <f>D7/H7</f>
        <v>#DIV/0!</v>
      </c>
      <c r="AC7" s="267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4" t="s">
        <v>2543</v>
      </c>
      <c r="Q8" s="3184"/>
      <c r="R8" s="769" t="s">
        <v>17</v>
      </c>
      <c r="S8" s="770">
        <f t="shared" si="0"/>
        <v>0</v>
      </c>
      <c r="T8" s="769" t="s">
        <v>17</v>
      </c>
      <c r="U8" s="770">
        <f t="shared" si="1"/>
        <v>0</v>
      </c>
      <c r="V8" s="769" t="s">
        <v>17</v>
      </c>
      <c r="W8" s="770">
        <f t="shared" si="2"/>
        <v>0</v>
      </c>
      <c r="X8" s="771"/>
      <c r="Y8" s="3183" t="s">
        <v>2543</v>
      </c>
      <c r="Z8" s="3184"/>
      <c r="AA8" s="772" t="e">
        <f t="shared" ref="AA8:AA47" si="3">D8/F8</f>
        <v>#DIV/0!</v>
      </c>
      <c r="AB8" s="772" t="e">
        <f t="shared" ref="AB8:AB47" si="4">D8/H8</f>
        <v>#DIV/0!</v>
      </c>
      <c r="AC8" s="267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1"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267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1"/>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267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1"/>
      <c r="Q11" s="1795"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221"/>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221"/>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221"/>
      <c r="Q14" s="1795">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2675">
        <f t="shared" si="5"/>
        <v>1</v>
      </c>
    </row>
    <row r="15" spans="1:29" ht="15">
      <c r="A15" s="440" t="s">
        <v>2550</v>
      </c>
      <c r="B15" s="629" t="s">
        <v>2678</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1" t="s">
        <v>2551</v>
      </c>
      <c r="Q15" s="1810" t="str">
        <f t="shared" si="6"/>
        <v>办公集聚程度</v>
      </c>
      <c r="R15" s="773" t="s">
        <v>17</v>
      </c>
      <c r="S15" s="774">
        <f t="shared" si="0"/>
        <v>100</v>
      </c>
      <c r="T15" s="773" t="s">
        <v>17</v>
      </c>
      <c r="U15" s="774">
        <f t="shared" si="1"/>
        <v>100</v>
      </c>
      <c r="V15" s="773" t="s">
        <v>17</v>
      </c>
      <c r="W15" s="774">
        <f t="shared" si="2"/>
        <v>100</v>
      </c>
      <c r="X15" s="1813"/>
      <c r="Y15" s="3212" t="s">
        <v>2551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2"/>
      <c r="M16" s="1133"/>
      <c r="N16" s="1133"/>
      <c r="O16" s="1133"/>
      <c r="P16" s="3252"/>
      <c r="Q16" s="1810"/>
      <c r="R16" s="773"/>
      <c r="S16" s="774"/>
      <c r="T16" s="773"/>
      <c r="U16" s="774"/>
      <c r="V16" s="773"/>
      <c r="W16" s="774"/>
      <c r="X16" s="1813"/>
      <c r="Y16" s="3213"/>
      <c r="Z16" s="1814"/>
      <c r="AA16" s="1811">
        <v>1</v>
      </c>
      <c r="AB16" s="1811">
        <v>1</v>
      </c>
      <c r="AC16" s="2678">
        <v>1</v>
      </c>
    </row>
    <row r="17" spans="1:29" ht="15">
      <c r="A17" s="428"/>
      <c r="B17" s="631" t="s">
        <v>2090</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2"/>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2"/>
      <c r="M18" s="1133"/>
      <c r="N18" s="1133"/>
      <c r="O18" s="1133"/>
      <c r="P18" s="3252"/>
      <c r="Q18" s="1810"/>
      <c r="R18" s="773"/>
      <c r="S18" s="774"/>
      <c r="T18" s="773"/>
      <c r="U18" s="774"/>
      <c r="V18" s="773"/>
      <c r="W18" s="774"/>
      <c r="X18" s="1813"/>
      <c r="Y18" s="3213"/>
      <c r="Z18" s="1814"/>
      <c r="AA18" s="1811">
        <v>1</v>
      </c>
      <c r="AB18" s="1811">
        <v>1</v>
      </c>
      <c r="AC18" s="2678">
        <v>1</v>
      </c>
    </row>
    <row r="19" spans="1:29" ht="15">
      <c r="A19" s="428"/>
      <c r="B19" s="631" t="s">
        <v>2679</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2"/>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2"/>
      <c r="M20" s="1133"/>
      <c r="N20" s="1133"/>
      <c r="O20" s="1133"/>
      <c r="P20" s="3252"/>
      <c r="Q20" s="1810"/>
      <c r="R20" s="773"/>
      <c r="S20" s="774"/>
      <c r="T20" s="773"/>
      <c r="U20" s="774"/>
      <c r="V20" s="773"/>
      <c r="W20" s="774"/>
      <c r="X20" s="1813"/>
      <c r="Y20" s="3213"/>
      <c r="Z20" s="1814"/>
      <c r="AA20" s="1811">
        <v>1</v>
      </c>
      <c r="AB20" s="1811">
        <v>1</v>
      </c>
      <c r="AC20" s="2678">
        <v>1</v>
      </c>
    </row>
    <row r="21" spans="1:29" ht="15">
      <c r="A21" s="428"/>
      <c r="B21" s="633" t="s">
        <v>2680</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2"/>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252"/>
      <c r="Q22" s="1810"/>
      <c r="R22" s="773"/>
      <c r="S22" s="774"/>
      <c r="T22" s="773"/>
      <c r="U22" s="774"/>
      <c r="V22" s="773"/>
      <c r="W22" s="774"/>
      <c r="X22" s="1813"/>
      <c r="Y22" s="3213"/>
      <c r="Z22" s="1814"/>
      <c r="AA22" s="1811">
        <v>1</v>
      </c>
      <c r="AB22" s="1811">
        <v>1</v>
      </c>
      <c r="AC22" s="2678">
        <v>1</v>
      </c>
    </row>
    <row r="23" spans="1:29" ht="15">
      <c r="A23" s="428"/>
      <c r="B23" s="631" t="s">
        <v>2681</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2"/>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2"/>
      <c r="M24" s="1133"/>
      <c r="N24" s="1133"/>
      <c r="O24" s="1133"/>
      <c r="P24" s="3252"/>
      <c r="Q24" s="1810"/>
      <c r="R24" s="773"/>
      <c r="S24" s="774"/>
      <c r="T24" s="773"/>
      <c r="U24" s="774"/>
      <c r="V24" s="773"/>
      <c r="W24" s="774"/>
      <c r="X24" s="1813"/>
      <c r="Y24" s="3213"/>
      <c r="Z24" s="1814"/>
      <c r="AA24" s="1811">
        <v>1</v>
      </c>
      <c r="AB24" s="1811">
        <v>1</v>
      </c>
      <c r="AC24" s="2678">
        <v>1</v>
      </c>
    </row>
    <row r="25" spans="1:29" ht="27">
      <c r="A25" s="404"/>
      <c r="B25" s="631" t="s">
        <v>2682</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52"/>
      <c r="Q25" s="1810" t="str">
        <f>B25</f>
        <v>毗邻道路的类型与等级</v>
      </c>
      <c r="R25" s="773" t="s">
        <v>17</v>
      </c>
      <c r="S25" s="774">
        <f>F25</f>
        <v>100</v>
      </c>
      <c r="T25" s="773" t="s">
        <v>17</v>
      </c>
      <c r="U25" s="774">
        <f>H25</f>
        <v>100</v>
      </c>
      <c r="V25" s="773" t="s">
        <v>17</v>
      </c>
      <c r="W25" s="774">
        <f>J25</f>
        <v>100</v>
      </c>
      <c r="X25" s="1813"/>
      <c r="Y25" s="3213"/>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2"/>
      <c r="M26" s="1133"/>
      <c r="N26" s="1133"/>
      <c r="O26" s="1133"/>
      <c r="P26" s="3252"/>
      <c r="Q26" s="1810"/>
      <c r="R26" s="773"/>
      <c r="S26" s="774"/>
      <c r="T26" s="773"/>
      <c r="U26" s="774"/>
      <c r="V26" s="773"/>
      <c r="W26" s="774"/>
      <c r="X26" s="1813"/>
      <c r="Y26" s="3213"/>
      <c r="Z26" s="1814"/>
      <c r="AA26" s="1811">
        <v>1</v>
      </c>
      <c r="AB26" s="1811">
        <v>1</v>
      </c>
      <c r="AC26" s="2678">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2"/>
      <c r="Q27" s="1810" t="str">
        <f t="shared" ref="Q27:Q47" si="11">B27</f>
        <v>楼层</v>
      </c>
      <c r="R27" s="773" t="s">
        <v>17</v>
      </c>
      <c r="S27" s="774">
        <f>F27</f>
        <v>100</v>
      </c>
      <c r="T27" s="773" t="s">
        <v>17</v>
      </c>
      <c r="U27" s="774">
        <f>H27</f>
        <v>100</v>
      </c>
      <c r="V27" s="773" t="s">
        <v>17</v>
      </c>
      <c r="W27" s="774">
        <f>J27</f>
        <v>100</v>
      </c>
      <c r="X27" s="1813"/>
      <c r="Y27" s="3213"/>
      <c r="Z27" s="1814" t="str">
        <f>Q27</f>
        <v>楼层</v>
      </c>
      <c r="AA27" s="1811">
        <f t="shared" si="3"/>
        <v>1</v>
      </c>
      <c r="AB27" s="1811">
        <f t="shared" si="4"/>
        <v>1</v>
      </c>
      <c r="AC27" s="2678">
        <f t="shared" si="5"/>
        <v>1</v>
      </c>
    </row>
    <row r="28" spans="1:29" s="117" customFormat="1" ht="15">
      <c r="A28" s="431"/>
      <c r="B28" s="631" t="s">
        <v>2683</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52"/>
      <c r="Q28" s="1795" t="str">
        <f t="shared" si="11"/>
        <v>朝向</v>
      </c>
      <c r="R28" s="769" t="s">
        <v>17</v>
      </c>
      <c r="S28" s="770">
        <f>F28</f>
        <v>100</v>
      </c>
      <c r="T28" s="769" t="s">
        <v>17</v>
      </c>
      <c r="U28" s="770">
        <f>H28</f>
        <v>100</v>
      </c>
      <c r="V28" s="769" t="s">
        <v>17</v>
      </c>
      <c r="W28" s="770">
        <f>J28</f>
        <v>100</v>
      </c>
      <c r="X28" s="771"/>
      <c r="Y28" s="3213"/>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52"/>
      <c r="Q29" s="1810">
        <f t="shared" si="11"/>
        <v>111</v>
      </c>
      <c r="R29" s="773" t="s">
        <v>17</v>
      </c>
      <c r="S29" s="774">
        <f t="shared" ref="S29:S47" si="12">F29</f>
        <v>100</v>
      </c>
      <c r="T29" s="773" t="s">
        <v>17</v>
      </c>
      <c r="U29" s="774">
        <f t="shared" ref="U29:U47" si="13">H29</f>
        <v>100</v>
      </c>
      <c r="V29" s="773" t="s">
        <v>17</v>
      </c>
      <c r="W29" s="774">
        <f t="shared" ref="W29:W47" si="14">J29</f>
        <v>100</v>
      </c>
      <c r="X29" s="1813"/>
      <c r="Y29" s="3213"/>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52"/>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52"/>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52"/>
      <c r="Q32" s="1810">
        <f t="shared" si="11"/>
        <v>111</v>
      </c>
      <c r="R32" s="773" t="s">
        <v>17</v>
      </c>
      <c r="S32" s="774">
        <f t="shared" si="12"/>
        <v>100</v>
      </c>
      <c r="T32" s="773" t="s">
        <v>17</v>
      </c>
      <c r="U32" s="774">
        <f t="shared" si="13"/>
        <v>100</v>
      </c>
      <c r="V32" s="773" t="s">
        <v>17</v>
      </c>
      <c r="W32" s="774">
        <f t="shared" si="14"/>
        <v>100</v>
      </c>
      <c r="X32" s="1813"/>
      <c r="Y32" s="3213"/>
      <c r="Z32" s="1814">
        <f t="shared" si="15"/>
        <v>111</v>
      </c>
      <c r="AA32" s="1811">
        <f t="shared" si="3"/>
        <v>1</v>
      </c>
      <c r="AB32" s="1811">
        <f t="shared" si="4"/>
        <v>1</v>
      </c>
      <c r="AC32" s="2678">
        <f t="shared" si="5"/>
        <v>1</v>
      </c>
    </row>
    <row r="33" spans="1:29" ht="15">
      <c r="A33" s="440" t="s">
        <v>2554</v>
      </c>
      <c r="B33" s="71" t="s">
        <v>2684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247" t="s">
        <v>2556</v>
      </c>
      <c r="Q33" s="1810" t="str">
        <f t="shared" si="11"/>
        <v>建筑类型</v>
      </c>
      <c r="R33" s="773" t="s">
        <v>17</v>
      </c>
      <c r="S33" s="774">
        <f t="shared" si="12"/>
        <v>100</v>
      </c>
      <c r="T33" s="773" t="s">
        <v>17</v>
      </c>
      <c r="U33" s="774">
        <f t="shared" si="13"/>
        <v>100</v>
      </c>
      <c r="V33" s="773" t="s">
        <v>17</v>
      </c>
      <c r="W33" s="774">
        <f t="shared" si="14"/>
        <v>100</v>
      </c>
      <c r="X33" s="1813"/>
      <c r="Y33" s="3215" t="s">
        <v>2556</v>
      </c>
      <c r="Z33" s="1814" t="str">
        <f t="shared" si="15"/>
        <v>建筑类型</v>
      </c>
      <c r="AA33" s="1811">
        <f t="shared" si="3"/>
        <v>1</v>
      </c>
      <c r="AB33" s="1811">
        <f t="shared" si="4"/>
        <v>1</v>
      </c>
      <c r="AC33" s="267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8"/>
      <c r="Q34" s="775" t="str">
        <f t="shared" si="11"/>
        <v>项目建筑规模</v>
      </c>
      <c r="R34" s="776" t="s">
        <v>17</v>
      </c>
      <c r="S34" s="777" t="e">
        <f t="shared" si="12"/>
        <v>#N/A</v>
      </c>
      <c r="T34" s="776" t="s">
        <v>17</v>
      </c>
      <c r="U34" s="777" t="e">
        <f t="shared" si="13"/>
        <v>#N/A</v>
      </c>
      <c r="V34" s="776" t="s">
        <v>17</v>
      </c>
      <c r="W34" s="777" t="e">
        <f t="shared" si="14"/>
        <v>#N/A</v>
      </c>
      <c r="X34" s="778"/>
      <c r="Y34" s="3215"/>
      <c r="Z34" s="779" t="str">
        <f t="shared" si="15"/>
        <v>项目建筑规模</v>
      </c>
      <c r="AA34" s="1811" t="e">
        <f t="shared" si="3"/>
        <v>#N/A</v>
      </c>
      <c r="AB34" s="1811" t="e">
        <f t="shared" si="4"/>
        <v>#N/A</v>
      </c>
      <c r="AC34" s="267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8"/>
      <c r="Q35" s="1810" t="str">
        <f t="shared" si="11"/>
        <v>建筑结构</v>
      </c>
      <c r="R35" s="773" t="s">
        <v>17</v>
      </c>
      <c r="S35" s="774">
        <f t="shared" si="12"/>
        <v>100</v>
      </c>
      <c r="T35" s="773" t="s">
        <v>17</v>
      </c>
      <c r="U35" s="774">
        <f t="shared" si="13"/>
        <v>100</v>
      </c>
      <c r="V35" s="773" t="s">
        <v>17</v>
      </c>
      <c r="W35" s="774">
        <f t="shared" si="14"/>
        <v>100</v>
      </c>
      <c r="X35" s="1813"/>
      <c r="Y35" s="3215"/>
      <c r="Z35" s="1814" t="str">
        <f t="shared" si="15"/>
        <v>建筑结构</v>
      </c>
      <c r="AA35" s="1811">
        <f t="shared" si="3"/>
        <v>1</v>
      </c>
      <c r="AB35" s="1811">
        <f t="shared" si="4"/>
        <v>1</v>
      </c>
      <c r="AC35" s="267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8"/>
      <c r="Q36" s="1810" t="str">
        <f t="shared" si="11"/>
        <v>公共部分装修</v>
      </c>
      <c r="R36" s="773" t="s">
        <v>17</v>
      </c>
      <c r="S36" s="774">
        <f t="shared" si="12"/>
        <v>100</v>
      </c>
      <c r="T36" s="773" t="s">
        <v>17</v>
      </c>
      <c r="U36" s="774">
        <f t="shared" si="13"/>
        <v>100</v>
      </c>
      <c r="V36" s="773" t="s">
        <v>17</v>
      </c>
      <c r="W36" s="774">
        <f t="shared" si="14"/>
        <v>100</v>
      </c>
      <c r="X36" s="1813"/>
      <c r="Y36" s="3215"/>
      <c r="Z36" s="1814" t="str">
        <f t="shared" si="15"/>
        <v>公共部分装修</v>
      </c>
      <c r="AA36" s="1811">
        <f t="shared" si="3"/>
        <v>1</v>
      </c>
      <c r="AB36" s="1811">
        <f t="shared" si="4"/>
        <v>1</v>
      </c>
      <c r="AC36" s="267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8"/>
      <c r="Q37" s="1810" t="str">
        <f t="shared" si="11"/>
        <v>成新度</v>
      </c>
      <c r="R37" s="773" t="s">
        <v>17</v>
      </c>
      <c r="S37" s="774" t="e">
        <f t="shared" si="12"/>
        <v>#N/A</v>
      </c>
      <c r="T37" s="773" t="s">
        <v>17</v>
      </c>
      <c r="U37" s="774" t="e">
        <f t="shared" si="13"/>
        <v>#N/A</v>
      </c>
      <c r="V37" s="773" t="s">
        <v>17</v>
      </c>
      <c r="W37" s="774" t="e">
        <f t="shared" si="14"/>
        <v>#N/A</v>
      </c>
      <c r="X37" s="1813"/>
      <c r="Y37" s="3215"/>
      <c r="Z37" s="1814" t="str">
        <f t="shared" si="15"/>
        <v>成新度</v>
      </c>
      <c r="AA37" s="1811" t="e">
        <f t="shared" si="3"/>
        <v>#N/A</v>
      </c>
      <c r="AB37" s="1811" t="e">
        <f t="shared" si="4"/>
        <v>#N/A</v>
      </c>
      <c r="AC37" s="267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8"/>
      <c r="Q38" s="1795" t="str">
        <f t="shared" si="11"/>
        <v>写字楼等级</v>
      </c>
      <c r="R38" s="769" t="s">
        <v>17</v>
      </c>
      <c r="S38" s="770">
        <f t="shared" si="12"/>
        <v>100</v>
      </c>
      <c r="T38" s="769" t="s">
        <v>17</v>
      </c>
      <c r="U38" s="770">
        <f t="shared" si="13"/>
        <v>100</v>
      </c>
      <c r="V38" s="769" t="s">
        <v>17</v>
      </c>
      <c r="W38" s="770">
        <f t="shared" si="14"/>
        <v>100</v>
      </c>
      <c r="X38" s="771"/>
      <c r="Y38" s="3215"/>
      <c r="Z38" s="55" t="str">
        <f t="shared" si="15"/>
        <v>写字楼等级</v>
      </c>
      <c r="AA38" s="772">
        <f t="shared" si="3"/>
        <v>1</v>
      </c>
      <c r="AB38" s="772">
        <f t="shared" si="4"/>
        <v>1</v>
      </c>
      <c r="AC38" s="267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8" t="s">
        <v>2556</v>
      </c>
      <c r="Q39" s="1810" t="str">
        <f t="shared" si="11"/>
        <v>物业管理</v>
      </c>
      <c r="R39" s="773" t="s">
        <v>17</v>
      </c>
      <c r="S39" s="774">
        <f t="shared" si="12"/>
        <v>100</v>
      </c>
      <c r="T39" s="773" t="s">
        <v>17</v>
      </c>
      <c r="U39" s="774">
        <f t="shared" si="13"/>
        <v>100</v>
      </c>
      <c r="V39" s="773" t="s">
        <v>17</v>
      </c>
      <c r="W39" s="774">
        <f t="shared" si="14"/>
        <v>100</v>
      </c>
      <c r="X39" s="1813"/>
      <c r="Y39" s="3215" t="s">
        <v>2556</v>
      </c>
      <c r="Z39" s="1814" t="str">
        <f t="shared" si="15"/>
        <v>物业管理</v>
      </c>
      <c r="AA39" s="1811">
        <f t="shared" si="3"/>
        <v>1</v>
      </c>
      <c r="AB39" s="1811">
        <f t="shared" si="4"/>
        <v>1</v>
      </c>
      <c r="AC39" s="267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8"/>
      <c r="Q40" s="1810" t="str">
        <f t="shared" si="11"/>
        <v>市政基础设施</v>
      </c>
      <c r="R40" s="773" t="s">
        <v>17</v>
      </c>
      <c r="S40" s="774">
        <f t="shared" si="12"/>
        <v>100</v>
      </c>
      <c r="T40" s="773" t="s">
        <v>17</v>
      </c>
      <c r="U40" s="774">
        <f t="shared" si="13"/>
        <v>100</v>
      </c>
      <c r="V40" s="773" t="s">
        <v>17</v>
      </c>
      <c r="W40" s="774">
        <f t="shared" si="14"/>
        <v>100</v>
      </c>
      <c r="X40" s="1813"/>
      <c r="Y40" s="3215"/>
      <c r="Z40" s="1814" t="str">
        <f t="shared" si="15"/>
        <v>市政基础设施</v>
      </c>
      <c r="AA40" s="1811">
        <f t="shared" si="3"/>
        <v>1</v>
      </c>
      <c r="AB40" s="1811">
        <f t="shared" si="4"/>
        <v>1</v>
      </c>
      <c r="AC40" s="267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8"/>
      <c r="Q41" s="1810" t="str">
        <f t="shared" si="11"/>
        <v>层高</v>
      </c>
      <c r="R41" s="773" t="s">
        <v>17</v>
      </c>
      <c r="S41" s="774">
        <f t="shared" si="12"/>
        <v>100</v>
      </c>
      <c r="T41" s="773" t="s">
        <v>17</v>
      </c>
      <c r="U41" s="774">
        <f t="shared" si="13"/>
        <v>100</v>
      </c>
      <c r="V41" s="773" t="s">
        <v>17</v>
      </c>
      <c r="W41" s="774">
        <f t="shared" si="14"/>
        <v>100</v>
      </c>
      <c r="X41" s="1813"/>
      <c r="Y41" s="3215"/>
      <c r="Z41" s="1814" t="str">
        <f t="shared" si="15"/>
        <v>层高</v>
      </c>
      <c r="AA41" s="1811">
        <f t="shared" si="3"/>
        <v>1</v>
      </c>
      <c r="AB41" s="1811">
        <f t="shared" si="4"/>
        <v>1</v>
      </c>
      <c r="AC41" s="2678">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8"/>
      <c r="Q42" s="775" t="str">
        <f t="shared" si="11"/>
        <v>单套建筑面积</v>
      </c>
      <c r="R42" s="776" t="s">
        <v>17</v>
      </c>
      <c r="S42" s="777">
        <f t="shared" si="12"/>
        <v>100</v>
      </c>
      <c r="T42" s="776" t="s">
        <v>17</v>
      </c>
      <c r="U42" s="777">
        <f t="shared" si="13"/>
        <v>100</v>
      </c>
      <c r="V42" s="776" t="s">
        <v>17</v>
      </c>
      <c r="W42" s="777">
        <f t="shared" si="14"/>
        <v>100</v>
      </c>
      <c r="X42" s="778"/>
      <c r="Y42" s="3215"/>
      <c r="Z42" s="779" t="str">
        <f t="shared" si="15"/>
        <v>单套建筑面积</v>
      </c>
      <c r="AA42" s="1811">
        <f t="shared" si="3"/>
        <v>1</v>
      </c>
      <c r="AB42" s="1811">
        <f t="shared" si="4"/>
        <v>1</v>
      </c>
      <c r="AC42" s="267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8"/>
      <c r="Q43" s="1810" t="str">
        <f t="shared" si="11"/>
        <v>内部装修</v>
      </c>
      <c r="R43" s="773" t="s">
        <v>17</v>
      </c>
      <c r="S43" s="774">
        <f t="shared" si="12"/>
        <v>100</v>
      </c>
      <c r="T43" s="773" t="s">
        <v>17</v>
      </c>
      <c r="U43" s="774">
        <f t="shared" si="13"/>
        <v>100</v>
      </c>
      <c r="V43" s="773" t="s">
        <v>17</v>
      </c>
      <c r="W43" s="774">
        <f t="shared" si="14"/>
        <v>100</v>
      </c>
      <c r="X43" s="1813"/>
      <c r="Y43" s="3215"/>
      <c r="Z43" s="1814" t="str">
        <f t="shared" si="15"/>
        <v>内部装修</v>
      </c>
      <c r="AA43" s="1811">
        <f t="shared" si="3"/>
        <v>1</v>
      </c>
      <c r="AB43" s="1811">
        <f t="shared" si="4"/>
        <v>1</v>
      </c>
      <c r="AC43" s="2678">
        <f t="shared" si="5"/>
        <v>1</v>
      </c>
    </row>
    <row r="44" spans="1:29" ht="15">
      <c r="A44" s="472"/>
      <c r="B44" s="422" t="s">
        <v>2567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248"/>
      <c r="Q44" s="1810" t="str">
        <f t="shared" si="11"/>
        <v>内部装修维护情况</v>
      </c>
      <c r="R44" s="773" t="s">
        <v>17</v>
      </c>
      <c r="S44" s="774">
        <f t="shared" si="12"/>
        <v>100</v>
      </c>
      <c r="T44" s="773" t="s">
        <v>17</v>
      </c>
      <c r="U44" s="774">
        <f t="shared" si="13"/>
        <v>100</v>
      </c>
      <c r="V44" s="773" t="s">
        <v>17</v>
      </c>
      <c r="W44" s="774">
        <f t="shared" si="14"/>
        <v>100</v>
      </c>
      <c r="X44" s="1813"/>
      <c r="Y44" s="3215"/>
      <c r="Z44" s="1814" t="str">
        <f t="shared" si="15"/>
        <v>内部装修维护情况</v>
      </c>
      <c r="AA44" s="1811">
        <f t="shared" si="3"/>
        <v>1</v>
      </c>
      <c r="AB44" s="1811">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8"/>
      <c r="Q45" s="1795">
        <f t="shared" si="11"/>
        <v>111</v>
      </c>
      <c r="R45" s="769" t="s">
        <v>17</v>
      </c>
      <c r="S45" s="770">
        <f t="shared" si="12"/>
        <v>100</v>
      </c>
      <c r="T45" s="769" t="s">
        <v>17</v>
      </c>
      <c r="U45" s="770">
        <f t="shared" si="13"/>
        <v>100</v>
      </c>
      <c r="V45" s="769" t="s">
        <v>17</v>
      </c>
      <c r="W45" s="770">
        <f t="shared" si="14"/>
        <v>100</v>
      </c>
      <c r="X45" s="771"/>
      <c r="Y45" s="3215"/>
      <c r="Z45" s="55">
        <f t="shared" si="15"/>
        <v>111</v>
      </c>
      <c r="AA45" s="772">
        <f t="shared" si="3"/>
        <v>1</v>
      </c>
      <c r="AB45" s="772">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8"/>
      <c r="Q46" s="1810">
        <f t="shared" si="11"/>
        <v>111</v>
      </c>
      <c r="R46" s="773" t="s">
        <v>17</v>
      </c>
      <c r="S46" s="774">
        <f t="shared" si="12"/>
        <v>100</v>
      </c>
      <c r="T46" s="773" t="s">
        <v>17</v>
      </c>
      <c r="U46" s="774">
        <f t="shared" si="13"/>
        <v>100</v>
      </c>
      <c r="V46" s="773" t="s">
        <v>17</v>
      </c>
      <c r="W46" s="774">
        <f t="shared" si="14"/>
        <v>100</v>
      </c>
      <c r="X46" s="1813"/>
      <c r="Y46" s="3215"/>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9"/>
      <c r="Q47" s="1810">
        <f t="shared" si="11"/>
        <v>111</v>
      </c>
      <c r="R47" s="773" t="s">
        <v>17</v>
      </c>
      <c r="S47" s="774">
        <f t="shared" si="12"/>
        <v>100</v>
      </c>
      <c r="T47" s="773" t="s">
        <v>17</v>
      </c>
      <c r="U47" s="774">
        <f t="shared" si="13"/>
        <v>100</v>
      </c>
      <c r="V47" s="773" t="s">
        <v>17</v>
      </c>
      <c r="W47" s="774">
        <f t="shared" si="14"/>
        <v>100</v>
      </c>
      <c r="X47" s="1813"/>
      <c r="Y47" s="3250"/>
      <c r="Z47" s="1814">
        <f t="shared" si="15"/>
        <v>111</v>
      </c>
      <c r="AA47" s="1811">
        <f t="shared" si="3"/>
        <v>1</v>
      </c>
      <c r="AB47" s="1811">
        <f t="shared" si="4"/>
        <v>1</v>
      </c>
      <c r="AC47" s="2678">
        <f t="shared" si="5"/>
        <v>1</v>
      </c>
    </row>
    <row r="48" spans="1:29" ht="15">
      <c r="A48" s="479" t="s">
        <v>2568</v>
      </c>
      <c r="B48" s="480"/>
      <c r="C48" s="1409" t="s">
        <v>1</v>
      </c>
      <c r="D48" s="1410"/>
      <c r="E48" s="1411"/>
      <c r="F48" s="1412"/>
      <c r="G48" s="1413"/>
      <c r="H48" s="1414"/>
      <c r="I48" s="1411"/>
      <c r="J48" s="485"/>
      <c r="K48" s="782"/>
      <c r="L48" s="1145"/>
      <c r="M48" s="1133"/>
      <c r="N48" s="1133"/>
      <c r="O48" s="1133"/>
      <c r="P48" s="3221" t="str">
        <f>A48</f>
        <v>成交单价（元/平方米）</v>
      </c>
      <c r="Q48" s="3197"/>
      <c r="R48" s="3246">
        <f>E48</f>
        <v>0</v>
      </c>
      <c r="S48" s="3246"/>
      <c r="T48" s="3246">
        <f>G48</f>
        <v>0</v>
      </c>
      <c r="U48" s="3246"/>
      <c r="V48" s="3246">
        <f>I48</f>
        <v>0</v>
      </c>
      <c r="W48" s="3246"/>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221" t="str">
        <f>A49</f>
        <v>比较价值（元/平方米）</v>
      </c>
      <c r="Q49" s="3197"/>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65" t="str">
        <f>A50</f>
        <v>估价对象XX用房的比较价值（楼面单价，元/平方米）</v>
      </c>
      <c r="Q50" s="3266"/>
      <c r="R50" s="3267" t="e">
        <f>IF(F1="售价",ROUND(AVERAGE(R49:V49),0),ROUND(AVERAGE(R49:V49),1))</f>
        <v>#DIV/0!</v>
      </c>
      <c r="S50" s="3267"/>
      <c r="T50" s="3267"/>
      <c r="U50" s="3267"/>
      <c r="V50" s="3267"/>
      <c r="W50" s="326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5"/>
      <c r="Q58" s="504"/>
    </row>
    <row r="59" spans="1:29" s="508" customFormat="1" ht="15">
      <c r="A59" s="505" t="s">
        <v>2539</v>
      </c>
      <c r="B59" s="506"/>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7" customFormat="1" ht="15">
      <c r="A60" s="509"/>
      <c r="B60" s="510"/>
      <c r="C60" s="1574">
        <v>100</v>
      </c>
      <c r="D60" s="512"/>
      <c r="E60" s="512"/>
      <c r="F60" s="512"/>
      <c r="G60" s="512"/>
      <c r="H60" s="512"/>
      <c r="I60" s="512"/>
      <c r="J60" s="512"/>
      <c r="K60" s="512"/>
      <c r="L60" s="512"/>
      <c r="M60" s="513"/>
      <c r="N60" s="512"/>
      <c r="O60" s="513"/>
      <c r="P60" s="2686"/>
    </row>
    <row r="61" spans="1:29" s="117" customFormat="1" ht="15.75" thickBot="1">
      <c r="A61" s="515" t="s">
        <v>2576</v>
      </c>
      <c r="B61" s="516"/>
      <c r="C61" s="517"/>
      <c r="D61" s="518"/>
      <c r="E61" s="518"/>
      <c r="F61" s="518"/>
      <c r="G61" s="518"/>
      <c r="H61" s="518"/>
      <c r="I61" s="518"/>
      <c r="J61" s="518"/>
      <c r="K61" s="518"/>
      <c r="L61" s="518"/>
      <c r="M61" s="519"/>
      <c r="N61" s="518"/>
      <c r="O61" s="519"/>
      <c r="P61" s="2686"/>
      <c r="Q61" s="504"/>
    </row>
    <row r="62" spans="1:29" s="117" customFormat="1" ht="15">
      <c r="A62" s="521" t="s">
        <v>2541</v>
      </c>
      <c r="B62" s="510"/>
      <c r="C62" s="522" t="s">
        <v>2643</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2579</v>
      </c>
      <c r="B64" s="528" t="s">
        <v>2545</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2690</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2554</v>
      </c>
      <c r="B101" s="528" t="s">
        <v>2603</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2605</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2607</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2608</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2609</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2692</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2611</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673" t="s">
        <v>2693</v>
      </c>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IF(C2="——",ROUND(C43*D3/10000,0),ROUND(C43*D3/10000,0)-D2)</f>
        <v>#DIV/0!</v>
      </c>
      <c r="C2" s="2590"/>
      <c r="D2" s="1126" t="e">
        <f ca="1">SUMIF(INDIRECT("'"&amp;F2&amp;"'"&amp;"!A:A"),"承租人权益价值",INDIRECT("'"&amp;F2&amp;"'"&amp;"!c:c"))</f>
        <v>#REF!</v>
      </c>
      <c r="E2" s="2591" t="s">
        <v>2319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34353.799999999996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181" t="s">
        <v>2639</v>
      </c>
      <c r="AC4" s="3180" t="s">
        <v>2640</v>
      </c>
    </row>
    <row r="5" spans="1:29" ht="15">
      <c r="A5" s="404"/>
      <c r="B5" s="405"/>
      <c r="C5" s="3191" t="s">
        <v>2533</v>
      </c>
      <c r="D5" s="3192"/>
      <c r="E5" s="3189" t="s">
        <v>2534</v>
      </c>
      <c r="F5" s="3190"/>
      <c r="G5" s="3191" t="s">
        <v>2535</v>
      </c>
      <c r="H5" s="3192"/>
      <c r="I5" s="3191" t="s">
        <v>2536</v>
      </c>
      <c r="J5" s="3192"/>
      <c r="K5" s="610"/>
      <c r="L5" s="1132"/>
      <c r="M5" s="1133"/>
      <c r="N5" s="1133"/>
      <c r="O5" s="1133"/>
      <c r="P5" s="3204"/>
      <c r="Q5" s="3205"/>
      <c r="R5" s="3187"/>
      <c r="S5" s="3188"/>
      <c r="T5" s="3187"/>
      <c r="U5" s="3188"/>
      <c r="V5" s="3210"/>
      <c r="W5" s="3210"/>
      <c r="X5" s="1813"/>
      <c r="Y5" s="3187"/>
      <c r="Z5" s="3188"/>
      <c r="AA5" s="3181"/>
      <c r="AB5" s="3181"/>
      <c r="AC5" s="3181"/>
    </row>
    <row r="6" spans="1:29" ht="15.75" thickBot="1">
      <c r="A6" s="406"/>
      <c r="B6" s="407"/>
      <c r="C6" s="3193" t="s">
        <v>2537</v>
      </c>
      <c r="D6" s="3194"/>
      <c r="E6" s="3195" t="s">
        <v>2537</v>
      </c>
      <c r="F6" s="3196"/>
      <c r="G6" s="3193" t="s">
        <v>2537</v>
      </c>
      <c r="H6" s="3194"/>
      <c r="I6" s="3193" t="s">
        <v>2537</v>
      </c>
      <c r="J6" s="3194"/>
      <c r="K6" s="610" t="s">
        <v>2538</v>
      </c>
      <c r="L6" s="1132"/>
      <c r="M6" s="1133"/>
      <c r="N6" s="1133"/>
      <c r="O6" s="1133"/>
      <c r="P6" s="3206"/>
      <c r="Q6" s="3207"/>
      <c r="R6" s="3187"/>
      <c r="S6" s="3188"/>
      <c r="T6" s="3208"/>
      <c r="U6" s="3209"/>
      <c r="V6" s="3210"/>
      <c r="W6" s="3210"/>
      <c r="X6" s="1813"/>
      <c r="Y6" s="3208"/>
      <c r="Z6" s="3209"/>
      <c r="AA6" s="3182"/>
      <c r="AB6" s="3182"/>
      <c r="AC6" s="3182"/>
    </row>
    <row r="7" spans="1:29" s="117" customFormat="1" ht="15.75" thickBot="1">
      <c r="A7" s="408" t="s">
        <v>2539</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3" t="s">
        <v>2540</v>
      </c>
      <c r="Q7" s="3211"/>
      <c r="R7" s="769" t="s">
        <v>17</v>
      </c>
      <c r="S7" s="770">
        <f t="shared" ref="S7:S15" si="0">F7</f>
        <v>0</v>
      </c>
      <c r="T7" s="769" t="s">
        <v>17</v>
      </c>
      <c r="U7" s="770">
        <f t="shared" ref="U7:U15" si="1">H7</f>
        <v>0</v>
      </c>
      <c r="V7" s="769" t="s">
        <v>17</v>
      </c>
      <c r="W7" s="770">
        <f t="shared" ref="W7:W15" si="2">J7</f>
        <v>0</v>
      </c>
      <c r="X7" s="771"/>
      <c r="Y7" s="3183" t="s">
        <v>2540</v>
      </c>
      <c r="Z7" s="318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3" t="s">
        <v>2543</v>
      </c>
      <c r="Q8" s="3184"/>
      <c r="R8" s="769" t="s">
        <v>17</v>
      </c>
      <c r="S8" s="770">
        <f t="shared" si="0"/>
        <v>0</v>
      </c>
      <c r="T8" s="769" t="s">
        <v>17</v>
      </c>
      <c r="U8" s="770">
        <f t="shared" si="1"/>
        <v>0</v>
      </c>
      <c r="V8" s="769" t="s">
        <v>17</v>
      </c>
      <c r="W8" s="770">
        <f t="shared" si="2"/>
        <v>0</v>
      </c>
      <c r="X8" s="771"/>
      <c r="Y8" s="3183" t="s">
        <v>2543</v>
      </c>
      <c r="Z8" s="318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7"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7"/>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7"/>
      <c r="Q11" s="1795"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5">
      <c r="A15" s="440" t="s">
        <v>2550</v>
      </c>
      <c r="B15" s="69" t="s">
        <v>2694</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2" t="s">
        <v>2551</v>
      </c>
      <c r="Q15" s="1810" t="str">
        <f t="shared" si="6"/>
        <v>产业集聚程度</v>
      </c>
      <c r="R15" s="773" t="s">
        <v>17</v>
      </c>
      <c r="S15" s="774">
        <f t="shared" si="0"/>
        <v>100</v>
      </c>
      <c r="T15" s="773" t="s">
        <v>17</v>
      </c>
      <c r="U15" s="774">
        <f t="shared" si="1"/>
        <v>100</v>
      </c>
      <c r="V15" s="773" t="s">
        <v>17</v>
      </c>
      <c r="W15" s="774">
        <f t="shared" si="2"/>
        <v>100</v>
      </c>
      <c r="X15" s="1813"/>
      <c r="Y15" s="3212"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213"/>
      <c r="Q16" s="1810"/>
      <c r="R16" s="773"/>
      <c r="S16" s="774"/>
      <c r="T16" s="773"/>
      <c r="U16" s="774"/>
      <c r="V16" s="773"/>
      <c r="W16" s="774"/>
      <c r="X16" s="1813"/>
      <c r="Y16" s="3213"/>
      <c r="Z16" s="1814"/>
      <c r="AA16" s="1811">
        <v>1</v>
      </c>
      <c r="AB16" s="1811">
        <v>1</v>
      </c>
      <c r="AC16" s="1811">
        <v>1</v>
      </c>
    </row>
    <row r="17" spans="1:29" ht="15">
      <c r="A17" s="428"/>
      <c r="B17" s="451" t="s">
        <v>2090</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41"/>
      <c r="P18" s="3213"/>
      <c r="Q18" s="1810"/>
      <c r="R18" s="773"/>
      <c r="S18" s="774"/>
      <c r="T18" s="773"/>
      <c r="U18" s="774"/>
      <c r="V18" s="773"/>
      <c r="W18" s="774"/>
      <c r="X18" s="1813"/>
      <c r="Y18" s="3213"/>
      <c r="Z18" s="1814"/>
      <c r="AA18" s="1811">
        <v>1</v>
      </c>
      <c r="AB18" s="1811">
        <v>1</v>
      </c>
      <c r="AC18" s="1811">
        <v>1</v>
      </c>
    </row>
    <row r="19" spans="1:29" ht="15">
      <c r="A19" s="428"/>
      <c r="B19" s="451" t="s">
        <v>2679</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3"/>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41"/>
      <c r="P20" s="3213"/>
      <c r="Q20" s="1810"/>
      <c r="R20" s="773"/>
      <c r="S20" s="774"/>
      <c r="T20" s="773"/>
      <c r="U20" s="774"/>
      <c r="V20" s="773"/>
      <c r="W20" s="774"/>
      <c r="X20" s="1813"/>
      <c r="Y20" s="3213"/>
      <c r="Z20" s="1814"/>
      <c r="AA20" s="1811">
        <v>1</v>
      </c>
      <c r="AB20" s="1811">
        <v>1</v>
      </c>
      <c r="AC20" s="1811">
        <v>1</v>
      </c>
    </row>
    <row r="21" spans="1:29" ht="15">
      <c r="A21" s="428"/>
      <c r="B21" s="1386" t="s">
        <v>2680</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3"/>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41"/>
      <c r="P22" s="3213"/>
      <c r="Q22" s="1810"/>
      <c r="R22" s="773"/>
      <c r="S22" s="774"/>
      <c r="T22" s="773"/>
      <c r="U22" s="774"/>
      <c r="V22" s="773"/>
      <c r="W22" s="774"/>
      <c r="X22" s="1813"/>
      <c r="Y22" s="3213"/>
      <c r="Z22" s="1814"/>
      <c r="AA22" s="1811">
        <v>1</v>
      </c>
      <c r="AB22" s="1811">
        <v>1</v>
      </c>
      <c r="AC22" s="1811">
        <v>1</v>
      </c>
    </row>
    <row r="23" spans="1:29" ht="15">
      <c r="A23" s="428"/>
      <c r="B23" s="451" t="s">
        <v>2681</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3"/>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1811">
        <f t="shared" si="5"/>
        <v>1</v>
      </c>
    </row>
    <row r="24" spans="1:29" ht="15">
      <c r="A24" s="428"/>
      <c r="B24" s="1386"/>
      <c r="C24" s="447"/>
      <c r="D24" s="448"/>
      <c r="E24" s="2609"/>
      <c r="F24" s="449"/>
      <c r="G24" s="2608"/>
      <c r="H24" s="448"/>
      <c r="I24" s="2609"/>
      <c r="J24" s="448"/>
      <c r="K24" s="615"/>
      <c r="L24" s="1142"/>
      <c r="M24" s="1133"/>
      <c r="N24" s="1133"/>
      <c r="O24" s="1141"/>
      <c r="P24" s="3213"/>
      <c r="Q24" s="1810"/>
      <c r="R24" s="773"/>
      <c r="S24" s="774"/>
      <c r="T24" s="773"/>
      <c r="U24" s="774"/>
      <c r="V24" s="773"/>
      <c r="W24" s="774"/>
      <c r="X24" s="1813"/>
      <c r="Y24" s="3213"/>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3"/>
      <c r="Q25" s="1810">
        <f>B25</f>
        <v>111</v>
      </c>
      <c r="R25" s="773" t="s">
        <v>17</v>
      </c>
      <c r="S25" s="774">
        <f>F25</f>
        <v>100</v>
      </c>
      <c r="T25" s="773" t="s">
        <v>17</v>
      </c>
      <c r="U25" s="774">
        <f>H25</f>
        <v>100</v>
      </c>
      <c r="V25" s="773" t="s">
        <v>17</v>
      </c>
      <c r="W25" s="774">
        <f>J25</f>
        <v>100</v>
      </c>
      <c r="X25" s="1813"/>
      <c r="Y25" s="3213"/>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3"/>
      <c r="Q26" s="1810">
        <f t="shared" ref="Q26:Q40" si="11">B26</f>
        <v>111</v>
      </c>
      <c r="R26" s="773" t="s">
        <v>17</v>
      </c>
      <c r="S26" s="774">
        <f>F26</f>
        <v>100</v>
      </c>
      <c r="T26" s="773" t="s">
        <v>17</v>
      </c>
      <c r="U26" s="774">
        <f>H26</f>
        <v>100</v>
      </c>
      <c r="V26" s="773" t="s">
        <v>17</v>
      </c>
      <c r="W26" s="774">
        <f>J26</f>
        <v>100</v>
      </c>
      <c r="X26" s="1813"/>
      <c r="Y26" s="3213"/>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3"/>
      <c r="Q27" s="1795">
        <f t="shared" si="11"/>
        <v>111</v>
      </c>
      <c r="R27" s="769" t="s">
        <v>17</v>
      </c>
      <c r="S27" s="770">
        <f>F27</f>
        <v>100</v>
      </c>
      <c r="T27" s="769" t="s">
        <v>17</v>
      </c>
      <c r="U27" s="770">
        <f>H27</f>
        <v>100</v>
      </c>
      <c r="V27" s="769" t="s">
        <v>17</v>
      </c>
      <c r="W27" s="770">
        <f>J27</f>
        <v>100</v>
      </c>
      <c r="X27" s="771"/>
      <c r="Y27" s="3213"/>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3"/>
      <c r="Q28" s="1810">
        <f t="shared" si="11"/>
        <v>111</v>
      </c>
      <c r="R28" s="773" t="s">
        <v>17</v>
      </c>
      <c r="S28" s="774">
        <f t="shared" ref="S28:S40" si="12">F28</f>
        <v>100</v>
      </c>
      <c r="T28" s="773" t="s">
        <v>17</v>
      </c>
      <c r="U28" s="774">
        <f t="shared" ref="U28:U40" si="13">H28</f>
        <v>100</v>
      </c>
      <c r="V28" s="773" t="s">
        <v>17</v>
      </c>
      <c r="W28" s="774">
        <f t="shared" ref="W28:W40" si="14">J28</f>
        <v>100</v>
      </c>
      <c r="X28" s="1813"/>
      <c r="Y28" s="3213"/>
      <c r="Z28" s="1814">
        <f t="shared" ref="Z28:Z40" si="15">Q28</f>
        <v>111</v>
      </c>
      <c r="AA28" s="1811">
        <f t="shared" si="3"/>
        <v>1</v>
      </c>
      <c r="AB28" s="1811">
        <f t="shared" si="4"/>
        <v>1</v>
      </c>
      <c r="AC28" s="1811">
        <f t="shared" si="5"/>
        <v>1</v>
      </c>
    </row>
    <row r="29" spans="1:29" ht="15">
      <c r="A29" s="466" t="s">
        <v>2554</v>
      </c>
      <c r="B29" s="71" t="s">
        <v>2684</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14" t="s">
        <v>2556</v>
      </c>
      <c r="Q29" s="1810" t="str">
        <f t="shared" si="11"/>
        <v>建筑类型</v>
      </c>
      <c r="R29" s="773" t="s">
        <v>17</v>
      </c>
      <c r="S29" s="774">
        <f t="shared" si="12"/>
        <v>100</v>
      </c>
      <c r="T29" s="773" t="s">
        <v>17</v>
      </c>
      <c r="U29" s="774">
        <f t="shared" si="13"/>
        <v>100</v>
      </c>
      <c r="V29" s="773" t="s">
        <v>17</v>
      </c>
      <c r="W29" s="774">
        <f t="shared" si="14"/>
        <v>100</v>
      </c>
      <c r="X29" s="1813"/>
      <c r="Y29" s="3215"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5"/>
      <c r="Q30" s="775" t="str">
        <f t="shared" si="11"/>
        <v>项目建筑规模</v>
      </c>
      <c r="R30" s="776" t="s">
        <v>17</v>
      </c>
      <c r="S30" s="777" t="e">
        <f t="shared" si="12"/>
        <v>#N/A</v>
      </c>
      <c r="T30" s="776" t="s">
        <v>17</v>
      </c>
      <c r="U30" s="777" t="e">
        <f t="shared" si="13"/>
        <v>#N/A</v>
      </c>
      <c r="V30" s="776" t="s">
        <v>17</v>
      </c>
      <c r="W30" s="777" t="e">
        <f t="shared" si="14"/>
        <v>#N/A</v>
      </c>
      <c r="X30" s="778"/>
      <c r="Y30" s="3215"/>
      <c r="Z30" s="779"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5"/>
      <c r="Q31" s="1810" t="str">
        <f t="shared" si="11"/>
        <v>建筑结构</v>
      </c>
      <c r="R31" s="773" t="s">
        <v>17</v>
      </c>
      <c r="S31" s="774">
        <f t="shared" si="12"/>
        <v>100</v>
      </c>
      <c r="T31" s="773" t="s">
        <v>17</v>
      </c>
      <c r="U31" s="774">
        <f t="shared" si="13"/>
        <v>100</v>
      </c>
      <c r="V31" s="773" t="s">
        <v>17</v>
      </c>
      <c r="W31" s="774">
        <f t="shared" si="14"/>
        <v>100</v>
      </c>
      <c r="X31" s="1813"/>
      <c r="Y31" s="3215"/>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5"/>
      <c r="Q32" s="1810" t="str">
        <f t="shared" si="11"/>
        <v>公共部分装修</v>
      </c>
      <c r="R32" s="773" t="s">
        <v>17</v>
      </c>
      <c r="S32" s="774">
        <f t="shared" si="12"/>
        <v>100</v>
      </c>
      <c r="T32" s="773" t="s">
        <v>17</v>
      </c>
      <c r="U32" s="774">
        <f t="shared" si="13"/>
        <v>100</v>
      </c>
      <c r="V32" s="773" t="s">
        <v>17</v>
      </c>
      <c r="W32" s="774">
        <f t="shared" si="14"/>
        <v>100</v>
      </c>
      <c r="X32" s="1813"/>
      <c r="Y32" s="3215"/>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5"/>
      <c r="Q33" s="1810" t="str">
        <f t="shared" si="11"/>
        <v>成新度</v>
      </c>
      <c r="R33" s="773" t="s">
        <v>17</v>
      </c>
      <c r="S33" s="774" t="e">
        <f t="shared" si="12"/>
        <v>#N/A</v>
      </c>
      <c r="T33" s="773" t="s">
        <v>17</v>
      </c>
      <c r="U33" s="774" t="e">
        <f t="shared" si="13"/>
        <v>#N/A</v>
      </c>
      <c r="V33" s="773" t="s">
        <v>17</v>
      </c>
      <c r="W33" s="774"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5"/>
      <c r="Q34" s="1795" t="str">
        <f t="shared" si="11"/>
        <v>物业管理</v>
      </c>
      <c r="R34" s="769" t="s">
        <v>17</v>
      </c>
      <c r="S34" s="770">
        <f t="shared" si="12"/>
        <v>100</v>
      </c>
      <c r="T34" s="769" t="s">
        <v>17</v>
      </c>
      <c r="U34" s="770">
        <f t="shared" si="13"/>
        <v>100</v>
      </c>
      <c r="V34" s="769" t="s">
        <v>17</v>
      </c>
      <c r="W34" s="770">
        <f t="shared" si="14"/>
        <v>100</v>
      </c>
      <c r="X34" s="771"/>
      <c r="Y34" s="3215"/>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5" t="s">
        <v>2556</v>
      </c>
      <c r="Q35" s="1810" t="str">
        <f t="shared" si="11"/>
        <v>市政基础设施</v>
      </c>
      <c r="R35" s="773" t="s">
        <v>17</v>
      </c>
      <c r="S35" s="774">
        <f t="shared" si="12"/>
        <v>100</v>
      </c>
      <c r="T35" s="773" t="s">
        <v>17</v>
      </c>
      <c r="U35" s="774">
        <f t="shared" si="13"/>
        <v>100</v>
      </c>
      <c r="V35" s="773" t="s">
        <v>17</v>
      </c>
      <c r="W35" s="774">
        <f t="shared" si="14"/>
        <v>100</v>
      </c>
      <c r="X35" s="1813"/>
      <c r="Y35" s="3215"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5"/>
      <c r="Q36" s="1810" t="str">
        <f t="shared" si="11"/>
        <v>内部装修</v>
      </c>
      <c r="R36" s="773" t="s">
        <v>17</v>
      </c>
      <c r="S36" s="774">
        <f t="shared" si="12"/>
        <v>100</v>
      </c>
      <c r="T36" s="773" t="s">
        <v>17</v>
      </c>
      <c r="U36" s="774">
        <f t="shared" si="13"/>
        <v>100</v>
      </c>
      <c r="V36" s="773" t="s">
        <v>17</v>
      </c>
      <c r="W36" s="774">
        <f t="shared" si="14"/>
        <v>100</v>
      </c>
      <c r="X36" s="1813"/>
      <c r="Y36" s="3215"/>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5"/>
      <c r="Q37" s="1810" t="str">
        <f t="shared" si="11"/>
        <v>内部装修状况</v>
      </c>
      <c r="R37" s="773" t="s">
        <v>17</v>
      </c>
      <c r="S37" s="774">
        <f t="shared" si="12"/>
        <v>100</v>
      </c>
      <c r="T37" s="773" t="s">
        <v>17</v>
      </c>
      <c r="U37" s="774">
        <f t="shared" si="13"/>
        <v>100</v>
      </c>
      <c r="V37" s="773" t="s">
        <v>17</v>
      </c>
      <c r="W37" s="774">
        <f t="shared" si="14"/>
        <v>100</v>
      </c>
      <c r="X37" s="1813"/>
      <c r="Y37" s="3215"/>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5"/>
      <c r="Q38" s="775">
        <f t="shared" si="11"/>
        <v>111</v>
      </c>
      <c r="R38" s="776" t="s">
        <v>17</v>
      </c>
      <c r="S38" s="777">
        <f t="shared" si="12"/>
        <v>100</v>
      </c>
      <c r="T38" s="776" t="s">
        <v>17</v>
      </c>
      <c r="U38" s="777">
        <f t="shared" si="13"/>
        <v>100</v>
      </c>
      <c r="V38" s="776" t="s">
        <v>17</v>
      </c>
      <c r="W38" s="777">
        <f t="shared" si="14"/>
        <v>100</v>
      </c>
      <c r="X38" s="778"/>
      <c r="Y38" s="3215"/>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5"/>
      <c r="Q39" s="1810">
        <f t="shared" si="11"/>
        <v>111</v>
      </c>
      <c r="R39" s="773" t="s">
        <v>17</v>
      </c>
      <c r="S39" s="774">
        <f t="shared" si="12"/>
        <v>100</v>
      </c>
      <c r="T39" s="773" t="s">
        <v>17</v>
      </c>
      <c r="U39" s="774">
        <f t="shared" si="13"/>
        <v>100</v>
      </c>
      <c r="V39" s="773" t="s">
        <v>17</v>
      </c>
      <c r="W39" s="774">
        <f t="shared" si="14"/>
        <v>100</v>
      </c>
      <c r="X39" s="1813"/>
      <c r="Y39" s="3215"/>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0"/>
      <c r="Q40" s="1810">
        <f t="shared" si="11"/>
        <v>111</v>
      </c>
      <c r="R40" s="773" t="s">
        <v>17</v>
      </c>
      <c r="S40" s="774">
        <f t="shared" si="12"/>
        <v>100</v>
      </c>
      <c r="T40" s="773" t="s">
        <v>17</v>
      </c>
      <c r="U40" s="774">
        <f t="shared" si="13"/>
        <v>100</v>
      </c>
      <c r="V40" s="773" t="s">
        <v>17</v>
      </c>
      <c r="W40" s="774">
        <f t="shared" si="14"/>
        <v>100</v>
      </c>
      <c r="X40" s="1813"/>
      <c r="Y40" s="3250"/>
      <c r="Z40" s="1814">
        <f t="shared" si="15"/>
        <v>111</v>
      </c>
      <c r="AA40" s="1811">
        <f t="shared" si="3"/>
        <v>1</v>
      </c>
      <c r="AB40" s="1811">
        <f t="shared" si="4"/>
        <v>1</v>
      </c>
      <c r="AC40" s="1811">
        <f t="shared" si="5"/>
        <v>1</v>
      </c>
    </row>
    <row r="41" spans="1:29" ht="15">
      <c r="A41" s="479" t="s">
        <v>2568</v>
      </c>
      <c r="B41" s="480"/>
      <c r="C41" s="1409" t="s">
        <v>1</v>
      </c>
      <c r="D41" s="1410"/>
      <c r="E41" s="1411"/>
      <c r="F41" s="1412"/>
      <c r="G41" s="1413"/>
      <c r="H41" s="1414"/>
      <c r="I41" s="1411"/>
      <c r="J41" s="1414"/>
      <c r="K41" s="782"/>
      <c r="L41" s="1145"/>
      <c r="M41" s="1146"/>
      <c r="N41" s="1133"/>
      <c r="O41" s="1146"/>
      <c r="P41" s="3197" t="str">
        <f>A41</f>
        <v>成交单价（元/平方米）</v>
      </c>
      <c r="Q41" s="3197"/>
      <c r="R41" s="3246">
        <f>E41</f>
        <v>0</v>
      </c>
      <c r="S41" s="3246"/>
      <c r="T41" s="3246">
        <f>G41</f>
        <v>0</v>
      </c>
      <c r="U41" s="3246"/>
      <c r="V41" s="3246">
        <f>I41</f>
        <v>0</v>
      </c>
      <c r="W41" s="3246"/>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197" t="str">
        <f>A42</f>
        <v>比较价值（元/平方米）</v>
      </c>
      <c r="Q42" s="3197"/>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217" t="str">
        <f>A43</f>
        <v>估价对象XX用房的比较价值（楼面单价，元/平方米）</v>
      </c>
      <c r="Q43" s="3218"/>
      <c r="R43" s="3245" t="e">
        <f>IF(F1="售价",ROUND(AVERAGE(R42:V42),0),ROUND(AVERAGE(R42:V42),1))</f>
        <v>#DIV/0!</v>
      </c>
      <c r="S43" s="3245"/>
      <c r="T43" s="3245"/>
      <c r="U43" s="3245"/>
      <c r="V43" s="3245"/>
      <c r="W43" s="324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2698</v>
      </c>
      <c r="B1" s="1620"/>
      <c r="C1" s="1621" t="s">
        <v>2521</v>
      </c>
      <c r="D1" s="1622"/>
      <c r="E1" s="1623"/>
      <c r="F1" s="2588"/>
      <c r="G1" s="1624" t="s">
        <v>2634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2318</v>
      </c>
      <c r="B2" s="1420" t="e">
        <f ca="1">IF(C2="——",IF(B37="元/平方米",ROUND(C39*D3/10000,0),ROUND(F3*C39/10000,0)),IF(B37="元/平方米",ROUND(C39*D3/10000,0),ROUND(F3*C39/10000,0))-D2)</f>
        <v>#DIV/0!</v>
      </c>
      <c r="C2" s="2590"/>
      <c r="D2" s="1126" t="e">
        <f ca="1">SUMIF(INDIRECT("'"&amp;F2&amp;"'"&amp;"!A:A"),"承租人权益价值",INDIRECT("'"&amp;F2&amp;"'"&amp;"!c:c"))</f>
        <v>#REF!</v>
      </c>
      <c r="E2" s="2591" t="s">
        <v>2319</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181" t="s">
        <v>2639</v>
      </c>
      <c r="AC4" s="3180" t="s">
        <v>2640</v>
      </c>
    </row>
    <row r="5" spans="1:29" ht="15">
      <c r="A5" s="404"/>
      <c r="B5" s="405"/>
      <c r="C5" s="3191" t="s">
        <v>2533</v>
      </c>
      <c r="D5" s="3192"/>
      <c r="E5" s="3189" t="s">
        <v>2534</v>
      </c>
      <c r="F5" s="3190"/>
      <c r="G5" s="3191" t="s">
        <v>2535</v>
      </c>
      <c r="H5" s="3192"/>
      <c r="I5" s="3191" t="s">
        <v>2536</v>
      </c>
      <c r="J5" s="3192"/>
      <c r="K5" s="610"/>
      <c r="L5" s="1132"/>
      <c r="M5" s="1133"/>
      <c r="N5" s="1133"/>
      <c r="O5" s="1133"/>
      <c r="P5" s="3204"/>
      <c r="Q5" s="3205"/>
      <c r="R5" s="3187"/>
      <c r="S5" s="3188"/>
      <c r="T5" s="3187"/>
      <c r="U5" s="3188"/>
      <c r="V5" s="3210"/>
      <c r="W5" s="3210"/>
      <c r="X5" s="1813"/>
      <c r="Y5" s="3187"/>
      <c r="Z5" s="3188"/>
      <c r="AA5" s="3181"/>
      <c r="AB5" s="3181"/>
      <c r="AC5" s="3181"/>
    </row>
    <row r="6" spans="1:29" ht="15.75" thickBot="1">
      <c r="A6" s="406"/>
      <c r="B6" s="407"/>
      <c r="C6" s="3193" t="s">
        <v>2537</v>
      </c>
      <c r="D6" s="3194"/>
      <c r="E6" s="3195" t="s">
        <v>2537</v>
      </c>
      <c r="F6" s="3196"/>
      <c r="G6" s="3193" t="s">
        <v>2537</v>
      </c>
      <c r="H6" s="3194"/>
      <c r="I6" s="3193" t="s">
        <v>2537</v>
      </c>
      <c r="J6" s="3194"/>
      <c r="K6" s="610" t="s">
        <v>2538</v>
      </c>
      <c r="L6" s="1132"/>
      <c r="M6" s="1133"/>
      <c r="N6" s="1133"/>
      <c r="O6" s="1133"/>
      <c r="P6" s="3206"/>
      <c r="Q6" s="3207"/>
      <c r="R6" s="3187"/>
      <c r="S6" s="3188"/>
      <c r="T6" s="3208"/>
      <c r="U6" s="3209"/>
      <c r="V6" s="3210"/>
      <c r="W6" s="3210"/>
      <c r="X6" s="1813"/>
      <c r="Y6" s="3208"/>
      <c r="Z6" s="3209"/>
      <c r="AA6" s="3182"/>
      <c r="AB6" s="3182"/>
      <c r="AC6" s="3182"/>
    </row>
    <row r="7" spans="1:29" s="117" customFormat="1" ht="15.75" thickBot="1">
      <c r="A7" s="408" t="s">
        <v>2539</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3" t="s">
        <v>2540</v>
      </c>
      <c r="Q7" s="3211"/>
      <c r="R7" s="769" t="s">
        <v>17</v>
      </c>
      <c r="S7" s="770">
        <f t="shared" ref="S7:S14" si="0">F7</f>
        <v>0</v>
      </c>
      <c r="T7" s="769" t="s">
        <v>17</v>
      </c>
      <c r="U7" s="770">
        <f t="shared" ref="U7:U14" si="1">H7</f>
        <v>0</v>
      </c>
      <c r="V7" s="769" t="s">
        <v>17</v>
      </c>
      <c r="W7" s="770">
        <f t="shared" ref="W7:W14" si="2">J7</f>
        <v>0</v>
      </c>
      <c r="X7" s="771"/>
      <c r="Y7" s="3183" t="s">
        <v>2540</v>
      </c>
      <c r="Z7" s="318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3" t="s">
        <v>2543</v>
      </c>
      <c r="Q8" s="3184"/>
      <c r="R8" s="769" t="s">
        <v>17</v>
      </c>
      <c r="S8" s="770">
        <f t="shared" si="0"/>
        <v>0</v>
      </c>
      <c r="T8" s="769" t="s">
        <v>17</v>
      </c>
      <c r="U8" s="770">
        <f t="shared" si="1"/>
        <v>0</v>
      </c>
      <c r="V8" s="769" t="s">
        <v>17</v>
      </c>
      <c r="W8" s="770">
        <f t="shared" si="2"/>
        <v>0</v>
      </c>
      <c r="X8" s="771"/>
      <c r="Y8" s="3183" t="s">
        <v>2543</v>
      </c>
      <c r="Z8" s="318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7" t="s">
        <v>2546</v>
      </c>
      <c r="Q9" s="1795"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7"/>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7"/>
      <c r="Q11" s="1795">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7"/>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7"/>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
      <c r="A14" s="401" t="s">
        <v>2550</v>
      </c>
      <c r="B14" s="629" t="s">
        <v>2700</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2" t="s">
        <v>2551</v>
      </c>
      <c r="Q14" s="1810" t="str">
        <f t="shared" si="6"/>
        <v>交通便捷度</v>
      </c>
      <c r="R14" s="773" t="s">
        <v>17</v>
      </c>
      <c r="S14" s="774">
        <f t="shared" si="0"/>
        <v>100</v>
      </c>
      <c r="T14" s="773" t="s">
        <v>17</v>
      </c>
      <c r="U14" s="774">
        <f t="shared" si="1"/>
        <v>100</v>
      </c>
      <c r="V14" s="773" t="s">
        <v>17</v>
      </c>
      <c r="W14" s="774">
        <f t="shared" si="2"/>
        <v>100</v>
      </c>
      <c r="X14" s="1813"/>
      <c r="Y14" s="3212"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2"/>
      <c r="M15" s="1133"/>
      <c r="N15" s="1133"/>
      <c r="O15" s="1133"/>
      <c r="P15" s="3213"/>
      <c r="Q15" s="1810"/>
      <c r="R15" s="773"/>
      <c r="S15" s="774"/>
      <c r="T15" s="773"/>
      <c r="U15" s="774"/>
      <c r="V15" s="773"/>
      <c r="W15" s="774"/>
      <c r="X15" s="1813"/>
      <c r="Y15" s="3213"/>
      <c r="Z15" s="1814"/>
      <c r="AA15" s="1811">
        <v>1</v>
      </c>
      <c r="AB15" s="1811">
        <v>1</v>
      </c>
      <c r="AC15" s="1811">
        <v>1</v>
      </c>
    </row>
    <row r="16" spans="1:29" ht="15">
      <c r="A16" s="404"/>
      <c r="B16" s="631" t="s">
        <v>2679</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2"/>
      <c r="M17" s="1133"/>
      <c r="N17" s="1133"/>
      <c r="O17" s="1133"/>
      <c r="P17" s="3213"/>
      <c r="Q17" s="1810"/>
      <c r="R17" s="773"/>
      <c r="S17" s="774"/>
      <c r="T17" s="773"/>
      <c r="U17" s="774"/>
      <c r="V17" s="773"/>
      <c r="W17" s="774"/>
      <c r="X17" s="1813"/>
      <c r="Y17" s="3213"/>
      <c r="Z17" s="1814"/>
      <c r="AA17" s="1811">
        <v>1</v>
      </c>
      <c r="AB17" s="1811">
        <v>1</v>
      </c>
      <c r="AC17" s="1811">
        <v>1</v>
      </c>
    </row>
    <row r="18" spans="1:29" ht="15">
      <c r="A18" s="404"/>
      <c r="B18" s="633" t="s">
        <v>2680</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5"/>
      <c r="L19" s="1142"/>
      <c r="M19" s="1133"/>
      <c r="N19" s="1133"/>
      <c r="O19" s="1133"/>
      <c r="P19" s="3213"/>
      <c r="Q19" s="1810"/>
      <c r="R19" s="773"/>
      <c r="S19" s="774"/>
      <c r="T19" s="773"/>
      <c r="U19" s="774"/>
      <c r="V19" s="773"/>
      <c r="W19" s="774"/>
      <c r="X19" s="1813"/>
      <c r="Y19" s="3213"/>
      <c r="Z19" s="1814"/>
      <c r="AA19" s="1811">
        <v>1</v>
      </c>
      <c r="AB19" s="1811">
        <v>1</v>
      </c>
      <c r="AC19" s="1811">
        <v>1</v>
      </c>
    </row>
    <row r="20" spans="1:29" ht="15">
      <c r="A20" s="404"/>
      <c r="B20" s="631" t="s">
        <v>2701</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2"/>
      <c r="M21" s="1133"/>
      <c r="N21" s="1133"/>
      <c r="O21" s="1133"/>
      <c r="P21" s="3213"/>
      <c r="Q21" s="1810"/>
      <c r="R21" s="773"/>
      <c r="S21" s="774"/>
      <c r="T21" s="773"/>
      <c r="U21" s="774"/>
      <c r="V21" s="773"/>
      <c r="W21" s="774"/>
      <c r="X21" s="1813"/>
      <c r="Y21" s="3213"/>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3"/>
      <c r="Q24" s="1810">
        <f t="shared" ref="Q24:Q36"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652" t="s">
        <v>2554</v>
      </c>
      <c r="B26" s="70" t="s">
        <v>2703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14" t="s">
        <v>2556</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5"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5"/>
      <c r="Q27" s="775" t="str">
        <f t="shared" si="11"/>
        <v>项目停车位配比</v>
      </c>
      <c r="R27" s="776" t="s">
        <v>17</v>
      </c>
      <c r="S27" s="777">
        <f t="shared" si="12"/>
        <v>100</v>
      </c>
      <c r="T27" s="776" t="s">
        <v>17</v>
      </c>
      <c r="U27" s="777">
        <f t="shared" si="13"/>
        <v>100</v>
      </c>
      <c r="V27" s="776" t="s">
        <v>17</v>
      </c>
      <c r="W27" s="777">
        <f t="shared" si="14"/>
        <v>100</v>
      </c>
      <c r="X27" s="778"/>
      <c r="Y27" s="3215"/>
      <c r="Z27" s="779"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5"/>
      <c r="Q28" s="1810" t="str">
        <f t="shared" si="11"/>
        <v>公共部分装修</v>
      </c>
      <c r="R28" s="773" t="s">
        <v>17</v>
      </c>
      <c r="S28" s="774">
        <f t="shared" si="12"/>
        <v>100</v>
      </c>
      <c r="T28" s="773" t="s">
        <v>17</v>
      </c>
      <c r="U28" s="774">
        <f t="shared" si="13"/>
        <v>100</v>
      </c>
      <c r="V28" s="773" t="s">
        <v>17</v>
      </c>
      <c r="W28" s="774">
        <f t="shared" si="14"/>
        <v>100</v>
      </c>
      <c r="X28" s="1813"/>
      <c r="Y28" s="3215"/>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5"/>
      <c r="Q29" s="1810" t="str">
        <f t="shared" si="11"/>
        <v>成新率</v>
      </c>
      <c r="R29" s="773" t="s">
        <v>17</v>
      </c>
      <c r="S29" s="774" t="e">
        <f t="shared" si="12"/>
        <v>#N/A</v>
      </c>
      <c r="T29" s="773" t="s">
        <v>17</v>
      </c>
      <c r="U29" s="774" t="e">
        <f t="shared" si="13"/>
        <v>#N/A</v>
      </c>
      <c r="V29" s="773" t="s">
        <v>17</v>
      </c>
      <c r="W29" s="774" t="e">
        <f t="shared" si="14"/>
        <v>#N/A</v>
      </c>
      <c r="X29" s="1813"/>
      <c r="Y29" s="3215"/>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5"/>
      <c r="Q30" s="1810" t="str">
        <f t="shared" si="11"/>
        <v>物业等级</v>
      </c>
      <c r="R30" s="773" t="s">
        <v>17</v>
      </c>
      <c r="S30" s="774">
        <f t="shared" si="12"/>
        <v>100</v>
      </c>
      <c r="T30" s="773" t="s">
        <v>17</v>
      </c>
      <c r="U30" s="774">
        <f t="shared" si="13"/>
        <v>100</v>
      </c>
      <c r="V30" s="773" t="s">
        <v>17</v>
      </c>
      <c r="W30" s="774">
        <f t="shared" si="14"/>
        <v>100</v>
      </c>
      <c r="X30" s="1813"/>
      <c r="Y30" s="3215"/>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5"/>
      <c r="Q31" s="1795" t="str">
        <f t="shared" si="11"/>
        <v>停车位面积</v>
      </c>
      <c r="R31" s="769" t="s">
        <v>17</v>
      </c>
      <c r="S31" s="770" t="e">
        <f t="shared" si="12"/>
        <v>#N/A</v>
      </c>
      <c r="T31" s="769" t="s">
        <v>17</v>
      </c>
      <c r="U31" s="770" t="e">
        <f t="shared" si="13"/>
        <v>#N/A</v>
      </c>
      <c r="V31" s="769" t="s">
        <v>17</v>
      </c>
      <c r="W31" s="770" t="e">
        <f t="shared" si="14"/>
        <v>#N/A</v>
      </c>
      <c r="X31" s="771"/>
      <c r="Y31" s="3215"/>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5" t="s">
        <v>2556</v>
      </c>
      <c r="Q32" s="1810" t="str">
        <f t="shared" si="11"/>
        <v>车位类型</v>
      </c>
      <c r="R32" s="773" t="s">
        <v>17</v>
      </c>
      <c r="S32" s="774">
        <f t="shared" si="12"/>
        <v>100</v>
      </c>
      <c r="T32" s="773" t="s">
        <v>17</v>
      </c>
      <c r="U32" s="774">
        <f t="shared" si="13"/>
        <v>100</v>
      </c>
      <c r="V32" s="773" t="s">
        <v>17</v>
      </c>
      <c r="W32" s="774">
        <f t="shared" si="14"/>
        <v>100</v>
      </c>
      <c r="X32" s="1813"/>
      <c r="Y32" s="3215"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5"/>
      <c r="Q33" s="1810" t="str">
        <f t="shared" si="11"/>
        <v>是否直接入户</v>
      </c>
      <c r="R33" s="773" t="s">
        <v>17</v>
      </c>
      <c r="S33" s="774">
        <f t="shared" si="12"/>
        <v>100</v>
      </c>
      <c r="T33" s="773" t="s">
        <v>17</v>
      </c>
      <c r="U33" s="774">
        <f t="shared" si="13"/>
        <v>100</v>
      </c>
      <c r="V33" s="773" t="s">
        <v>17</v>
      </c>
      <c r="W33" s="774">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5"/>
      <c r="Q34" s="1810">
        <f t="shared" si="11"/>
        <v>111</v>
      </c>
      <c r="R34" s="773" t="s">
        <v>17</v>
      </c>
      <c r="S34" s="774">
        <f t="shared" si="12"/>
        <v>100</v>
      </c>
      <c r="T34" s="773" t="s">
        <v>17</v>
      </c>
      <c r="U34" s="774">
        <f t="shared" si="13"/>
        <v>100</v>
      </c>
      <c r="V34" s="773" t="s">
        <v>17</v>
      </c>
      <c r="W34" s="774">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5"/>
      <c r="Q35" s="775">
        <f t="shared" si="11"/>
        <v>111</v>
      </c>
      <c r="R35" s="776" t="s">
        <v>17</v>
      </c>
      <c r="S35" s="777">
        <f t="shared" si="12"/>
        <v>100</v>
      </c>
      <c r="T35" s="776" t="s">
        <v>17</v>
      </c>
      <c r="U35" s="777">
        <f t="shared" si="13"/>
        <v>100</v>
      </c>
      <c r="V35" s="776" t="s">
        <v>17</v>
      </c>
      <c r="W35" s="777">
        <f t="shared" si="14"/>
        <v>100</v>
      </c>
      <c r="X35" s="778"/>
      <c r="Y35" s="3215"/>
      <c r="Z35" s="779">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5"/>
      <c r="Q36" s="1810">
        <f t="shared" si="11"/>
        <v>111</v>
      </c>
      <c r="R36" s="773" t="s">
        <v>17</v>
      </c>
      <c r="S36" s="774">
        <f t="shared" si="12"/>
        <v>100</v>
      </c>
      <c r="T36" s="773" t="s">
        <v>17</v>
      </c>
      <c r="U36" s="774">
        <f t="shared" si="13"/>
        <v>100</v>
      </c>
      <c r="V36" s="773" t="s">
        <v>17</v>
      </c>
      <c r="W36" s="774">
        <f t="shared" si="14"/>
        <v>100</v>
      </c>
      <c r="X36" s="1813"/>
      <c r="Y36" s="3215"/>
      <c r="Z36" s="1814">
        <f t="shared" si="15"/>
        <v>111</v>
      </c>
      <c r="AA36" s="1811">
        <f t="shared" si="3"/>
        <v>1</v>
      </c>
      <c r="AB36" s="1811">
        <f t="shared" si="4"/>
        <v>1</v>
      </c>
      <c r="AC36" s="1811">
        <f t="shared" si="5"/>
        <v>1</v>
      </c>
    </row>
    <row r="37" spans="1:29" ht="15">
      <c r="A37" s="479" t="s">
        <v>2711</v>
      </c>
      <c r="B37" s="2699" t="s">
        <v>2712</v>
      </c>
      <c r="C37" s="1409" t="s">
        <v>1</v>
      </c>
      <c r="D37" s="1410"/>
      <c r="E37" s="1411"/>
      <c r="F37" s="1412"/>
      <c r="G37" s="1413"/>
      <c r="H37" s="1414"/>
      <c r="I37" s="1411"/>
      <c r="J37" s="1414"/>
      <c r="K37" s="619"/>
      <c r="L37" s="1145"/>
      <c r="M37" s="1146"/>
      <c r="N37" s="1133"/>
      <c r="O37" s="1146"/>
      <c r="P37" s="3197" t="str">
        <f>A37</f>
        <v>成交单价</v>
      </c>
      <c r="Q37" s="3197"/>
      <c r="R37" s="3246">
        <f>E37</f>
        <v>0</v>
      </c>
      <c r="S37" s="3246"/>
      <c r="T37" s="3246">
        <f>G37</f>
        <v>0</v>
      </c>
      <c r="U37" s="3246"/>
      <c r="V37" s="3246">
        <f>I37</f>
        <v>0</v>
      </c>
      <c r="W37" s="3246"/>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7" t="str">
        <f>A38</f>
        <v>比较价值（元/平方米）</v>
      </c>
      <c r="Q38" s="3197"/>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217" t="str">
        <f>A39</f>
        <v>估价对象XX用房的比较价值（楼面单价，元/平方米）</v>
      </c>
      <c r="Q39" s="3218"/>
      <c r="R39" s="3245" t="e">
        <f>IF(F1="售价",ROUND(AVERAGE(R38:V38),0),ROUND(AVERAGE(R38:V38),1))</f>
        <v>#DIV/0!</v>
      </c>
      <c r="S39" s="3245"/>
      <c r="T39" s="3245"/>
      <c r="U39" s="3245"/>
      <c r="V39" s="3245"/>
      <c r="W39" s="324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2698</v>
      </c>
      <c r="B1" s="1620"/>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IF(C2="——",ROUND(C37*D3/10000,0),ROUND(C37*D3/10000,0)-D2)</f>
        <v>#DIV/0!</v>
      </c>
      <c r="C2" s="2590"/>
      <c r="D2" s="1126" t="e">
        <f ca="1">SUMIF(INDIRECT("'"&amp;F2&amp;"'"&amp;"!A:A"),"承租人权益价值",INDIRECT("'"&amp;F2&amp;"'"&amp;"!c:c"))</f>
        <v>#REF!</v>
      </c>
      <c r="E2" s="2591" t="s">
        <v>2319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181" t="s">
        <v>2639</v>
      </c>
      <c r="AC4" s="3180" t="s">
        <v>2640</v>
      </c>
    </row>
    <row r="5" spans="1:29" ht="15">
      <c r="A5" s="404"/>
      <c r="B5" s="405"/>
      <c r="C5" s="3191" t="s">
        <v>2533</v>
      </c>
      <c r="D5" s="3192"/>
      <c r="E5" s="3189" t="s">
        <v>2534</v>
      </c>
      <c r="F5" s="3190"/>
      <c r="G5" s="3191" t="s">
        <v>2535</v>
      </c>
      <c r="H5" s="3192"/>
      <c r="I5" s="3191" t="s">
        <v>2536</v>
      </c>
      <c r="J5" s="3192"/>
      <c r="K5" s="610"/>
      <c r="L5" s="1132"/>
      <c r="M5" s="1133"/>
      <c r="N5" s="1133"/>
      <c r="O5" s="1133"/>
      <c r="P5" s="3204"/>
      <c r="Q5" s="3205"/>
      <c r="R5" s="3187"/>
      <c r="S5" s="3188"/>
      <c r="T5" s="3187"/>
      <c r="U5" s="3188"/>
      <c r="V5" s="3210"/>
      <c r="W5" s="3210"/>
      <c r="X5" s="1813"/>
      <c r="Y5" s="3187"/>
      <c r="Z5" s="3188"/>
      <c r="AA5" s="3181"/>
      <c r="AB5" s="3181"/>
      <c r="AC5" s="3181"/>
    </row>
    <row r="6" spans="1:29" ht="15.75" thickBot="1">
      <c r="A6" s="406"/>
      <c r="B6" s="407"/>
      <c r="C6" s="3193" t="s">
        <v>2537</v>
      </c>
      <c r="D6" s="3194"/>
      <c r="E6" s="3195" t="s">
        <v>2537</v>
      </c>
      <c r="F6" s="3196"/>
      <c r="G6" s="3193" t="s">
        <v>2537</v>
      </c>
      <c r="H6" s="3194"/>
      <c r="I6" s="3193" t="s">
        <v>2537</v>
      </c>
      <c r="J6" s="3194"/>
      <c r="K6" s="610" t="s">
        <v>2538</v>
      </c>
      <c r="L6" s="1132"/>
      <c r="M6" s="1133"/>
      <c r="N6" s="1133"/>
      <c r="O6" s="1133"/>
      <c r="P6" s="3206"/>
      <c r="Q6" s="3207"/>
      <c r="R6" s="3187"/>
      <c r="S6" s="3188"/>
      <c r="T6" s="3208"/>
      <c r="U6" s="3209"/>
      <c r="V6" s="3210"/>
      <c r="W6" s="3210"/>
      <c r="X6" s="1813"/>
      <c r="Y6" s="3208"/>
      <c r="Z6" s="3209"/>
      <c r="AA6" s="3182"/>
      <c r="AB6" s="3182"/>
      <c r="AC6" s="3182"/>
    </row>
    <row r="7" spans="1:29" s="117" customFormat="1" ht="15.75" thickBot="1">
      <c r="A7" s="408" t="s">
        <v>2539</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83" t="s">
        <v>2540</v>
      </c>
      <c r="Q7" s="3211"/>
      <c r="R7" s="769" t="s">
        <v>17</v>
      </c>
      <c r="S7" s="770">
        <f t="shared" ref="S7:S14" si="0">F7</f>
        <v>0</v>
      </c>
      <c r="T7" s="769" t="s">
        <v>17</v>
      </c>
      <c r="U7" s="770">
        <f t="shared" ref="U7:U14" si="1">H7</f>
        <v>0</v>
      </c>
      <c r="V7" s="769" t="s">
        <v>17</v>
      </c>
      <c r="W7" s="770">
        <f t="shared" ref="W7:W14" si="2">J7</f>
        <v>0</v>
      </c>
      <c r="X7" s="771"/>
      <c r="Y7" s="3183" t="s">
        <v>2540</v>
      </c>
      <c r="Z7" s="318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3" t="s">
        <v>2543</v>
      </c>
      <c r="Q8" s="3184"/>
      <c r="R8" s="769" t="s">
        <v>17</v>
      </c>
      <c r="S8" s="770">
        <f t="shared" si="0"/>
        <v>0</v>
      </c>
      <c r="T8" s="769" t="s">
        <v>17</v>
      </c>
      <c r="U8" s="770">
        <f t="shared" si="1"/>
        <v>0</v>
      </c>
      <c r="V8" s="769" t="s">
        <v>17</v>
      </c>
      <c r="W8" s="770">
        <f t="shared" si="2"/>
        <v>0</v>
      </c>
      <c r="X8" s="771"/>
      <c r="Y8" s="3183" t="s">
        <v>2543</v>
      </c>
      <c r="Z8" s="318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7" t="s">
        <v>2546</v>
      </c>
      <c r="Q9" s="1795"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7"/>
      <c r="Q10" s="1795"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7"/>
      <c r="Q11" s="1795">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
      <c r="A14" s="440" t="s">
        <v>2550</v>
      </c>
      <c r="B14" s="69" t="s">
        <v>2700</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2" t="s">
        <v>2551</v>
      </c>
      <c r="Q14" s="1810" t="str">
        <f t="shared" si="6"/>
        <v>交通便捷度</v>
      </c>
      <c r="R14" s="773" t="s">
        <v>17</v>
      </c>
      <c r="S14" s="774">
        <f t="shared" si="0"/>
        <v>100</v>
      </c>
      <c r="T14" s="773" t="s">
        <v>17</v>
      </c>
      <c r="U14" s="774">
        <f t="shared" si="1"/>
        <v>100</v>
      </c>
      <c r="V14" s="773" t="s">
        <v>17</v>
      </c>
      <c r="W14" s="774">
        <f t="shared" si="2"/>
        <v>100</v>
      </c>
      <c r="X14" s="1813"/>
      <c r="Y14" s="3212"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213"/>
      <c r="Q15" s="1810"/>
      <c r="R15" s="773"/>
      <c r="S15" s="774"/>
      <c r="T15" s="773"/>
      <c r="U15" s="774"/>
      <c r="V15" s="773"/>
      <c r="W15" s="774"/>
      <c r="X15" s="1813"/>
      <c r="Y15" s="3213"/>
      <c r="Z15" s="1814"/>
      <c r="AA15" s="1811">
        <v>1</v>
      </c>
      <c r="AB15" s="1811">
        <v>1</v>
      </c>
      <c r="AC15" s="1811">
        <v>1</v>
      </c>
    </row>
    <row r="16" spans="1:29" ht="15">
      <c r="A16" s="428"/>
      <c r="B16" s="451" t="s">
        <v>2679</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2"/>
      <c r="M17" s="1133"/>
      <c r="N17" s="1133"/>
      <c r="O17" s="1141"/>
      <c r="P17" s="3213"/>
      <c r="Q17" s="1810"/>
      <c r="R17" s="773"/>
      <c r="S17" s="774"/>
      <c r="T17" s="773"/>
      <c r="U17" s="774"/>
      <c r="V17" s="773"/>
      <c r="W17" s="774"/>
      <c r="X17" s="1813"/>
      <c r="Y17" s="3213"/>
      <c r="Z17" s="1814"/>
      <c r="AA17" s="1811">
        <v>1</v>
      </c>
      <c r="AB17" s="1811">
        <v>1</v>
      </c>
      <c r="AC17" s="1811">
        <v>1</v>
      </c>
    </row>
    <row r="18" spans="1:29" ht="15">
      <c r="A18" s="428"/>
      <c r="B18" s="1386" t="s">
        <v>2680</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6"/>
      <c r="C19" s="2612"/>
      <c r="D19" s="450"/>
      <c r="E19" s="2612"/>
      <c r="F19" s="453"/>
      <c r="G19" s="2612"/>
      <c r="H19" s="448"/>
      <c r="I19" s="447"/>
      <c r="J19" s="448"/>
      <c r="K19" s="1385"/>
      <c r="L19" s="1142"/>
      <c r="M19" s="1133"/>
      <c r="N19" s="1133"/>
      <c r="O19" s="1141"/>
      <c r="P19" s="3213"/>
      <c r="Q19" s="1810"/>
      <c r="R19" s="773"/>
      <c r="S19" s="774"/>
      <c r="T19" s="773"/>
      <c r="U19" s="774"/>
      <c r="V19" s="773"/>
      <c r="W19" s="774"/>
      <c r="X19" s="1813"/>
      <c r="Y19" s="3213"/>
      <c r="Z19" s="1814"/>
      <c r="AA19" s="1811">
        <v>1</v>
      </c>
      <c r="AB19" s="1811">
        <v>1</v>
      </c>
      <c r="AC19" s="1811">
        <v>1</v>
      </c>
    </row>
    <row r="20" spans="1:29" ht="15">
      <c r="A20" s="428"/>
      <c r="B20" s="451" t="s">
        <v>2701</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213"/>
      <c r="Q21" s="1810"/>
      <c r="R21" s="773"/>
      <c r="S21" s="774"/>
      <c r="T21" s="773"/>
      <c r="U21" s="774"/>
      <c r="V21" s="773"/>
      <c r="W21" s="774"/>
      <c r="X21" s="1813"/>
      <c r="Y21" s="3213"/>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3"/>
      <c r="Q24" s="1810">
        <f t="shared" ref="Q24:Q34"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466" t="s">
        <v>2554</v>
      </c>
      <c r="B26" s="71" t="s">
        <v>2705</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214" t="s">
        <v>2556</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5"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5"/>
      <c r="Q27" s="775" t="str">
        <f t="shared" si="11"/>
        <v>成新率</v>
      </c>
      <c r="R27" s="776" t="s">
        <v>17</v>
      </c>
      <c r="S27" s="777" t="e">
        <f t="shared" si="12"/>
        <v>#N/A</v>
      </c>
      <c r="T27" s="776" t="s">
        <v>17</v>
      </c>
      <c r="U27" s="777" t="e">
        <f t="shared" si="13"/>
        <v>#N/A</v>
      </c>
      <c r="V27" s="776" t="s">
        <v>17</v>
      </c>
      <c r="W27" s="777" t="e">
        <f t="shared" si="14"/>
        <v>#N/A</v>
      </c>
      <c r="X27" s="778"/>
      <c r="Y27" s="3215"/>
      <c r="Z27" s="779"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5"/>
      <c r="Q28" s="1810" t="str">
        <f t="shared" si="11"/>
        <v>物业等级</v>
      </c>
      <c r="R28" s="773" t="s">
        <v>17</v>
      </c>
      <c r="S28" s="774">
        <f t="shared" si="12"/>
        <v>100</v>
      </c>
      <c r="T28" s="773" t="s">
        <v>17</v>
      </c>
      <c r="U28" s="774">
        <f t="shared" si="13"/>
        <v>100</v>
      </c>
      <c r="V28" s="773" t="s">
        <v>17</v>
      </c>
      <c r="W28" s="774">
        <f t="shared" si="14"/>
        <v>100</v>
      </c>
      <c r="X28" s="1813"/>
      <c r="Y28" s="3215"/>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5"/>
      <c r="Q29" s="1810" t="str">
        <f t="shared" si="11"/>
        <v>有无电梯</v>
      </c>
      <c r="R29" s="773" t="s">
        <v>17</v>
      </c>
      <c r="S29" s="774">
        <f t="shared" si="12"/>
        <v>100</v>
      </c>
      <c r="T29" s="773" t="s">
        <v>17</v>
      </c>
      <c r="U29" s="774">
        <f t="shared" si="13"/>
        <v>100</v>
      </c>
      <c r="V29" s="773" t="s">
        <v>17</v>
      </c>
      <c r="W29" s="774">
        <f t="shared" si="14"/>
        <v>100</v>
      </c>
      <c r="X29" s="1813"/>
      <c r="Y29" s="3215"/>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5"/>
      <c r="Q30" s="1810" t="str">
        <f t="shared" si="11"/>
        <v>建筑面积</v>
      </c>
      <c r="R30" s="773" t="s">
        <v>17</v>
      </c>
      <c r="S30" s="774" t="e">
        <f t="shared" si="12"/>
        <v>#N/A</v>
      </c>
      <c r="T30" s="773" t="s">
        <v>17</v>
      </c>
      <c r="U30" s="774" t="e">
        <f t="shared" si="13"/>
        <v>#N/A</v>
      </c>
      <c r="V30" s="773" t="s">
        <v>17</v>
      </c>
      <c r="W30" s="774"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5"/>
      <c r="Q31" s="1795" t="str">
        <f t="shared" si="11"/>
        <v>是否封闭</v>
      </c>
      <c r="R31" s="769" t="s">
        <v>17</v>
      </c>
      <c r="S31" s="770">
        <f t="shared" si="12"/>
        <v>100</v>
      </c>
      <c r="T31" s="769" t="s">
        <v>17</v>
      </c>
      <c r="U31" s="770">
        <f t="shared" si="13"/>
        <v>100</v>
      </c>
      <c r="V31" s="769" t="s">
        <v>17</v>
      </c>
      <c r="W31" s="770">
        <f t="shared" si="14"/>
        <v>100</v>
      </c>
      <c r="X31" s="771"/>
      <c r="Y31" s="3215"/>
      <c r="Z31" s="55" t="str">
        <f t="shared" si="15"/>
        <v>是否封闭</v>
      </c>
      <c r="AA31" s="772">
        <f t="shared" si="3"/>
        <v>1</v>
      </c>
      <c r="AB31" s="772">
        <f t="shared" si="4"/>
        <v>1</v>
      </c>
      <c r="AC31" s="772">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5" t="s">
        <v>2556</v>
      </c>
      <c r="Q32" s="1810">
        <f t="shared" si="11"/>
        <v>111</v>
      </c>
      <c r="R32" s="773" t="s">
        <v>17</v>
      </c>
      <c r="S32" s="774">
        <f t="shared" si="12"/>
        <v>100</v>
      </c>
      <c r="T32" s="773" t="s">
        <v>17</v>
      </c>
      <c r="U32" s="774">
        <f t="shared" si="13"/>
        <v>100</v>
      </c>
      <c r="V32" s="773" t="s">
        <v>17</v>
      </c>
      <c r="W32" s="774">
        <f t="shared" si="14"/>
        <v>100</v>
      </c>
      <c r="X32" s="1813"/>
      <c r="Y32" s="3215" t="s">
        <v>2556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5"/>
      <c r="Q33" s="1810">
        <f t="shared" si="11"/>
        <v>111</v>
      </c>
      <c r="R33" s="773" t="s">
        <v>17</v>
      </c>
      <c r="S33" s="774">
        <f t="shared" si="12"/>
        <v>100</v>
      </c>
      <c r="T33" s="773" t="s">
        <v>17</v>
      </c>
      <c r="U33" s="774">
        <f t="shared" si="13"/>
        <v>100</v>
      </c>
      <c r="V33" s="773" t="s">
        <v>17</v>
      </c>
      <c r="W33" s="774">
        <f t="shared" si="14"/>
        <v>100</v>
      </c>
      <c r="X33" s="1813"/>
      <c r="Y33" s="3215"/>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215"/>
      <c r="Q34" s="1810">
        <f t="shared" si="11"/>
        <v>111</v>
      </c>
      <c r="R34" s="773" t="s">
        <v>17</v>
      </c>
      <c r="S34" s="774">
        <f t="shared" si="12"/>
        <v>100</v>
      </c>
      <c r="T34" s="773" t="s">
        <v>17</v>
      </c>
      <c r="U34" s="774">
        <f t="shared" si="13"/>
        <v>100</v>
      </c>
      <c r="V34" s="773" t="s">
        <v>17</v>
      </c>
      <c r="W34" s="774">
        <f t="shared" si="14"/>
        <v>100</v>
      </c>
      <c r="X34" s="1813"/>
      <c r="Y34" s="3215"/>
      <c r="Z34" s="1814">
        <f t="shared" si="15"/>
        <v>111</v>
      </c>
      <c r="AA34" s="1811">
        <f t="shared" si="3"/>
        <v>1</v>
      </c>
      <c r="AB34" s="1811">
        <f t="shared" si="4"/>
        <v>1</v>
      </c>
      <c r="AC34" s="1811">
        <f t="shared" si="5"/>
        <v>1</v>
      </c>
    </row>
    <row r="35" spans="1:29" ht="15">
      <c r="A35" s="479" t="s">
        <v>2568</v>
      </c>
      <c r="B35" s="480"/>
      <c r="C35" s="1409" t="s">
        <v>1</v>
      </c>
      <c r="D35" s="1410"/>
      <c r="E35" s="1411"/>
      <c r="F35" s="1412"/>
      <c r="G35" s="1413"/>
      <c r="H35" s="1414"/>
      <c r="I35" s="1411"/>
      <c r="J35" s="1414"/>
      <c r="K35" s="782"/>
      <c r="L35" s="1145"/>
      <c r="M35" s="1146"/>
      <c r="N35" s="1133"/>
      <c r="O35" s="1146"/>
      <c r="P35" s="3197" t="str">
        <f>A35</f>
        <v>成交单价（元/平方米）</v>
      </c>
      <c r="Q35" s="3197"/>
      <c r="R35" s="3246">
        <f>E35</f>
        <v>0</v>
      </c>
      <c r="S35" s="3246"/>
      <c r="T35" s="3246">
        <f>G35</f>
        <v>0</v>
      </c>
      <c r="U35" s="3246"/>
      <c r="V35" s="3246">
        <f>I35</f>
        <v>0</v>
      </c>
      <c r="W35" s="3246"/>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197" t="str">
        <f>A36</f>
        <v>比较价值（元/平方米）</v>
      </c>
      <c r="Q36" s="3197"/>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217" t="str">
        <f>A37</f>
        <v>估价对象XX用房的比较价值（楼面单价，元/平方米）</v>
      </c>
      <c r="Q37" s="3218"/>
      <c r="R37" s="3245" t="e">
        <f>IF(F1="售价",ROUND(AVERAGE(R36:V36),0),ROUND(AVERAGE(R36:V36),1))</f>
        <v>#DIV/0!</v>
      </c>
      <c r="S37" s="3245"/>
      <c r="T37" s="3245"/>
      <c r="U37" s="3245"/>
      <c r="V37" s="3245"/>
      <c r="W37" s="324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98" t="s">
        <v>2637</v>
      </c>
      <c r="D4" s="3199"/>
      <c r="E4" s="3200" t="s">
        <v>2638</v>
      </c>
      <c r="F4" s="3201"/>
      <c r="G4" s="3198" t="s">
        <v>2639</v>
      </c>
      <c r="H4" s="3199"/>
      <c r="I4" s="3198" t="s">
        <v>2640</v>
      </c>
      <c r="J4" s="3199"/>
      <c r="K4" s="610" t="s">
        <v>2641</v>
      </c>
      <c r="L4" s="1132"/>
      <c r="M4" s="1133"/>
      <c r="N4" s="1133"/>
      <c r="O4" s="1133"/>
      <c r="P4" s="3202" t="s">
        <v>2642</v>
      </c>
      <c r="Q4" s="3203"/>
      <c r="R4" s="3185" t="s">
        <v>2638</v>
      </c>
      <c r="S4" s="3186"/>
      <c r="T4" s="3185" t="s">
        <v>2639</v>
      </c>
      <c r="U4" s="3186"/>
      <c r="V4" s="3210" t="s">
        <v>2640</v>
      </c>
      <c r="W4" s="3210"/>
      <c r="X4" s="1813"/>
      <c r="Y4" s="3185" t="s">
        <v>2642</v>
      </c>
      <c r="Z4" s="3186"/>
      <c r="AA4" s="3180" t="s">
        <v>2638</v>
      </c>
      <c r="AB4" s="3181" t="s">
        <v>2639</v>
      </c>
      <c r="AC4" s="3180" t="s">
        <v>2640</v>
      </c>
    </row>
    <row r="5" spans="1:29" ht="15">
      <c r="A5" s="404"/>
      <c r="B5" s="405"/>
      <c r="C5" s="3191" t="s">
        <v>2533</v>
      </c>
      <c r="D5" s="3192"/>
      <c r="E5" s="3189" t="s">
        <v>2534</v>
      </c>
      <c r="F5" s="3190"/>
      <c r="G5" s="3191" t="s">
        <v>2535</v>
      </c>
      <c r="H5" s="3192"/>
      <c r="I5" s="3191" t="s">
        <v>2536</v>
      </c>
      <c r="J5" s="3192"/>
      <c r="K5" s="610"/>
      <c r="L5" s="1132"/>
      <c r="M5" s="1133"/>
      <c r="N5" s="1133"/>
      <c r="O5" s="1133"/>
      <c r="P5" s="3204"/>
      <c r="Q5" s="3205"/>
      <c r="R5" s="3187"/>
      <c r="S5" s="3188"/>
      <c r="T5" s="3187"/>
      <c r="U5" s="3188"/>
      <c r="V5" s="3210"/>
      <c r="W5" s="3210"/>
      <c r="X5" s="1813"/>
      <c r="Y5" s="3187"/>
      <c r="Z5" s="3188"/>
      <c r="AA5" s="3181"/>
      <c r="AB5" s="3181"/>
      <c r="AC5" s="3181"/>
    </row>
    <row r="6" spans="1:29" ht="15.75" thickBot="1">
      <c r="A6" s="406"/>
      <c r="B6" s="407"/>
      <c r="C6" s="3268" t="s">
        <v>2788</v>
      </c>
      <c r="D6" s="3269"/>
      <c r="E6" s="3270" t="s">
        <v>2788</v>
      </c>
      <c r="F6" s="3271"/>
      <c r="G6" s="3268" t="s">
        <v>2788</v>
      </c>
      <c r="H6" s="3269"/>
      <c r="I6" s="3268" t="s">
        <v>2788</v>
      </c>
      <c r="J6" s="3269"/>
      <c r="K6" s="610" t="s">
        <v>2538</v>
      </c>
      <c r="L6" s="1132"/>
      <c r="M6" s="1133"/>
      <c r="N6" s="1133"/>
      <c r="O6" s="1133"/>
      <c r="P6" s="3206"/>
      <c r="Q6" s="3207"/>
      <c r="R6" s="3187"/>
      <c r="S6" s="3188"/>
      <c r="T6" s="3208"/>
      <c r="U6" s="3209"/>
      <c r="V6" s="3210"/>
      <c r="W6" s="3210"/>
      <c r="X6" s="1813"/>
      <c r="Y6" s="3208"/>
      <c r="Z6" s="3209"/>
      <c r="AA6" s="3182"/>
      <c r="AB6" s="3182"/>
      <c r="AC6" s="3182"/>
    </row>
    <row r="7" spans="1:29" s="117" customFormat="1" ht="15.75" thickBot="1">
      <c r="A7" s="408" t="s">
        <v>2539</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83" t="s">
        <v>2540</v>
      </c>
      <c r="Q7" s="3211"/>
      <c r="R7" s="769" t="s">
        <v>17</v>
      </c>
      <c r="S7" s="770">
        <f t="shared" ref="S7:S15" si="0">F7</f>
        <v>0</v>
      </c>
      <c r="T7" s="769" t="s">
        <v>17</v>
      </c>
      <c r="U7" s="770">
        <f t="shared" ref="U7:U15" si="1">H7</f>
        <v>0</v>
      </c>
      <c r="V7" s="769" t="s">
        <v>17</v>
      </c>
      <c r="W7" s="770">
        <f t="shared" ref="W7:W15" si="2">J7</f>
        <v>0</v>
      </c>
      <c r="X7" s="771"/>
      <c r="Y7" s="3183" t="s">
        <v>2540</v>
      </c>
      <c r="Z7" s="318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3" t="s">
        <v>2543</v>
      </c>
      <c r="Q8" s="3184"/>
      <c r="R8" s="769" t="s">
        <v>17</v>
      </c>
      <c r="S8" s="770">
        <f t="shared" si="0"/>
        <v>0</v>
      </c>
      <c r="T8" s="769" t="s">
        <v>17</v>
      </c>
      <c r="U8" s="770">
        <f t="shared" si="1"/>
        <v>0</v>
      </c>
      <c r="V8" s="769" t="s">
        <v>17</v>
      </c>
      <c r="W8" s="770">
        <f t="shared" si="2"/>
        <v>0</v>
      </c>
      <c r="X8" s="771"/>
      <c r="Y8" s="3183" t="s">
        <v>2543</v>
      </c>
      <c r="Z8" s="3184"/>
      <c r="AA8" s="772" t="e">
        <f t="shared" ref="AA8:AA40" si="3">D8/F8</f>
        <v>#DIV/0!</v>
      </c>
      <c r="AB8" s="772" t="e">
        <f t="shared" ref="AB8:AB40" si="4">D8/H8</f>
        <v>#DIV/0!</v>
      </c>
      <c r="AC8" s="772" t="e">
        <f t="shared" ref="AC8:AC40" si="5">D8/J8</f>
        <v>#DIV/0!</v>
      </c>
    </row>
    <row r="9" spans="1:29" s="117" customFormat="1">
      <c r="A9" s="415" t="s">
        <v>2544</v>
      </c>
      <c r="B9" s="71" t="s">
        <v>2545</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97" t="s">
        <v>2546</v>
      </c>
      <c r="Q9" s="1795"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197"/>
      <c r="Q10" s="1795" t="str">
        <f t="shared" si="6"/>
        <v>土地使用年限（年）</v>
      </c>
      <c r="R10" s="769" t="s">
        <v>17</v>
      </c>
      <c r="S10" s="770">
        <f t="shared" si="0"/>
        <v>103</v>
      </c>
      <c r="T10" s="769" t="s">
        <v>17</v>
      </c>
      <c r="U10" s="770">
        <f t="shared" si="1"/>
        <v>103</v>
      </c>
      <c r="V10" s="769" t="s">
        <v>17</v>
      </c>
      <c r="W10" s="770">
        <f t="shared" si="2"/>
        <v>103</v>
      </c>
      <c r="X10" s="771"/>
      <c r="Y10" s="3048"/>
      <c r="Z10" s="55" t="str">
        <f t="shared" si="7"/>
        <v>土地使用年限（年）</v>
      </c>
      <c r="AA10" s="772">
        <f t="shared" si="3"/>
        <v>0.970873786407767</v>
      </c>
      <c r="AB10" s="772">
        <f t="shared" si="4"/>
        <v>0.970873786407767</v>
      </c>
      <c r="AC10" s="772">
        <f t="shared" si="5"/>
        <v>0.970873786407767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7"/>
      <c r="Q11" s="1795"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5">
      <c r="A15" s="440" t="s">
        <v>2550</v>
      </c>
      <c r="B15" s="629" t="s">
        <v>2789</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2" t="s">
        <v>2551</v>
      </c>
      <c r="Q15" s="1810" t="str">
        <f t="shared" si="6"/>
        <v>产业集聚程度</v>
      </c>
      <c r="R15" s="773" t="s">
        <v>17</v>
      </c>
      <c r="S15" s="774">
        <f t="shared" si="0"/>
        <v>100</v>
      </c>
      <c r="T15" s="773" t="s">
        <v>17</v>
      </c>
      <c r="U15" s="774">
        <f t="shared" si="1"/>
        <v>100</v>
      </c>
      <c r="V15" s="773" t="s">
        <v>17</v>
      </c>
      <c r="W15" s="774">
        <f t="shared" si="2"/>
        <v>100</v>
      </c>
      <c r="X15" s="1813"/>
      <c r="Y15" s="3212" t="s">
        <v>2551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2"/>
      <c r="M16" s="1133"/>
      <c r="N16" s="1133"/>
      <c r="O16" s="1141"/>
      <c r="P16" s="3213"/>
      <c r="Q16" s="1810"/>
      <c r="R16" s="773"/>
      <c r="S16" s="774"/>
      <c r="T16" s="773"/>
      <c r="U16" s="774"/>
      <c r="V16" s="773"/>
      <c r="W16" s="774"/>
      <c r="X16" s="1813"/>
      <c r="Y16" s="3213"/>
      <c r="Z16" s="1814"/>
      <c r="AA16" s="1811">
        <v>1</v>
      </c>
      <c r="AB16" s="1811">
        <v>1</v>
      </c>
      <c r="AC16" s="1811">
        <v>1</v>
      </c>
    </row>
    <row r="17" spans="1:29" ht="15">
      <c r="A17" s="428"/>
      <c r="B17" s="631" t="s">
        <v>2700</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2"/>
      <c r="M18" s="1133"/>
      <c r="N18" s="1133"/>
      <c r="O18" s="1141"/>
      <c r="P18" s="3213"/>
      <c r="Q18" s="1810"/>
      <c r="R18" s="773"/>
      <c r="S18" s="774"/>
      <c r="T18" s="773"/>
      <c r="U18" s="774"/>
      <c r="V18" s="773"/>
      <c r="W18" s="774"/>
      <c r="X18" s="1813"/>
      <c r="Y18" s="3213"/>
      <c r="Z18" s="1814"/>
      <c r="AA18" s="1811">
        <v>1</v>
      </c>
      <c r="AB18" s="1811">
        <v>1</v>
      </c>
      <c r="AC18" s="1811">
        <v>1</v>
      </c>
    </row>
    <row r="19" spans="1:29" ht="15">
      <c r="A19" s="428"/>
      <c r="B19" s="631" t="s">
        <v>2739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3"/>
      <c r="Q19" s="1810" t="str">
        <f t="shared" ref="Q19:Q33" si="8">B19</f>
        <v>区域土地利用方向</v>
      </c>
      <c r="R19" s="773" t="s">
        <v>17</v>
      </c>
      <c r="S19" s="774">
        <f>F19</f>
        <v>100</v>
      </c>
      <c r="T19" s="773" t="s">
        <v>17</v>
      </c>
      <c r="U19" s="774">
        <f>H19</f>
        <v>100</v>
      </c>
      <c r="V19" s="773" t="s">
        <v>17</v>
      </c>
      <c r="W19" s="774">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1"/>
      <c r="L20" s="1142"/>
      <c r="M20" s="1133"/>
      <c r="N20" s="1133"/>
      <c r="O20" s="1141"/>
      <c r="P20" s="3213"/>
      <c r="Q20" s="1810"/>
      <c r="R20" s="773"/>
      <c r="S20" s="774"/>
      <c r="T20" s="773"/>
      <c r="U20" s="774"/>
      <c r="V20" s="773"/>
      <c r="W20" s="774"/>
      <c r="X20" s="1813"/>
      <c r="Y20" s="3213"/>
      <c r="Z20" s="1814"/>
      <c r="AA20" s="1811"/>
      <c r="AB20" s="1811"/>
      <c r="AC20" s="1811"/>
    </row>
    <row r="21" spans="1:29" ht="15">
      <c r="A21" s="404"/>
      <c r="B21" s="631" t="s">
        <v>2790</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3"/>
      <c r="Q21" s="1810" t="str">
        <f t="shared" si="8"/>
        <v>环境状况</v>
      </c>
      <c r="R21" s="773" t="s">
        <v>17</v>
      </c>
      <c r="S21" s="774">
        <f>F21</f>
        <v>100</v>
      </c>
      <c r="T21" s="773" t="s">
        <v>17</v>
      </c>
      <c r="U21" s="774">
        <f>H21</f>
        <v>100</v>
      </c>
      <c r="V21" s="773" t="s">
        <v>17</v>
      </c>
      <c r="W21" s="774">
        <f>J21</f>
        <v>100</v>
      </c>
      <c r="X21" s="1813"/>
      <c r="Y21" s="3213"/>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2"/>
      <c r="M22" s="1133"/>
      <c r="N22" s="1133"/>
      <c r="O22" s="1141"/>
      <c r="P22" s="3213"/>
      <c r="Q22" s="1810"/>
      <c r="R22" s="773"/>
      <c r="S22" s="774"/>
      <c r="T22" s="773"/>
      <c r="U22" s="774"/>
      <c r="V22" s="773"/>
      <c r="W22" s="774"/>
      <c r="X22" s="1813"/>
      <c r="Y22" s="3213"/>
      <c r="Z22" s="1814"/>
      <c r="AA22" s="1811">
        <v>1</v>
      </c>
      <c r="AB22" s="1811">
        <v>1</v>
      </c>
      <c r="AC22" s="1811">
        <v>1</v>
      </c>
    </row>
    <row r="23" spans="1:29" s="117" customFormat="1" ht="15">
      <c r="A23" s="649"/>
      <c r="B23" s="633" t="s">
        <v>2645</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3"/>
      <c r="Q23" s="1795" t="str">
        <f t="shared" si="8"/>
        <v>公共配套设施</v>
      </c>
      <c r="R23" s="769" t="s">
        <v>17</v>
      </c>
      <c r="S23" s="770">
        <f>F23</f>
        <v>100</v>
      </c>
      <c r="T23" s="769" t="s">
        <v>17</v>
      </c>
      <c r="U23" s="770">
        <f>H23</f>
        <v>100</v>
      </c>
      <c r="V23" s="769" t="s">
        <v>17</v>
      </c>
      <c r="W23" s="770">
        <f>J23</f>
        <v>100</v>
      </c>
      <c r="X23" s="771"/>
      <c r="Y23" s="3213"/>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4"/>
      <c r="M24" s="1135"/>
      <c r="N24" s="1135"/>
      <c r="O24" s="1136"/>
      <c r="P24" s="3213"/>
      <c r="Q24" s="1795"/>
      <c r="R24" s="769"/>
      <c r="S24" s="770"/>
      <c r="T24" s="769"/>
      <c r="U24" s="770"/>
      <c r="V24" s="769"/>
      <c r="W24" s="770"/>
      <c r="X24" s="771"/>
      <c r="Y24" s="3213"/>
      <c r="Z24" s="55"/>
      <c r="AA24" s="772">
        <v>1</v>
      </c>
      <c r="AB24" s="772">
        <v>1</v>
      </c>
      <c r="AC24" s="772">
        <v>1</v>
      </c>
    </row>
    <row r="25" spans="1:29" s="117" customFormat="1" ht="15">
      <c r="A25" s="649"/>
      <c r="B25" s="633" t="s">
        <v>2646</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3"/>
      <c r="Q25" s="1795"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4"/>
      <c r="M26" s="1135"/>
      <c r="N26" s="1135"/>
      <c r="O26" s="1136"/>
      <c r="P26" s="3213"/>
      <c r="Q26" s="1795"/>
      <c r="R26" s="769"/>
      <c r="S26" s="770"/>
      <c r="T26" s="769"/>
      <c r="U26" s="770"/>
      <c r="V26" s="769"/>
      <c r="W26" s="770"/>
      <c r="X26" s="771"/>
      <c r="Y26" s="3213"/>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3"/>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2682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3"/>
      <c r="Q28" s="1810" t="str">
        <f t="shared" si="8"/>
        <v>毗邻道路的类型与等级</v>
      </c>
      <c r="R28" s="773" t="s">
        <v>17</v>
      </c>
      <c r="S28" s="774">
        <f t="shared" si="10"/>
        <v>100</v>
      </c>
      <c r="T28" s="773" t="s">
        <v>17</v>
      </c>
      <c r="U28" s="774">
        <f t="shared" si="11"/>
        <v>100</v>
      </c>
      <c r="V28" s="773" t="s">
        <v>17</v>
      </c>
      <c r="W28" s="774">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2"/>
      <c r="M29" s="1133"/>
      <c r="N29" s="1133"/>
      <c r="O29" s="1141"/>
      <c r="P29" s="3213"/>
      <c r="Q29" s="1810"/>
      <c r="R29" s="773"/>
      <c r="S29" s="774"/>
      <c r="T29" s="773"/>
      <c r="U29" s="774"/>
      <c r="V29" s="773"/>
      <c r="W29" s="774"/>
      <c r="X29" s="1813"/>
      <c r="Y29" s="3213"/>
      <c r="Z29" s="1814"/>
      <c r="AA29" s="1811">
        <v>1</v>
      </c>
      <c r="AB29" s="1811">
        <v>1</v>
      </c>
      <c r="AC29" s="1811">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3"/>
      <c r="Q30" s="1810" t="str">
        <f t="shared" si="8"/>
        <v>土地级别</v>
      </c>
      <c r="R30" s="773" t="s">
        <v>17</v>
      </c>
      <c r="S30" s="774">
        <f t="shared" si="10"/>
        <v>100</v>
      </c>
      <c r="T30" s="773" t="s">
        <v>17</v>
      </c>
      <c r="U30" s="774">
        <f t="shared" si="11"/>
        <v>100</v>
      </c>
      <c r="V30" s="773" t="s">
        <v>17</v>
      </c>
      <c r="W30" s="774">
        <f t="shared" si="12"/>
        <v>100</v>
      </c>
      <c r="X30" s="1813"/>
      <c r="Y30" s="3213"/>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3"/>
      <c r="Q31" s="1810">
        <f t="shared" si="8"/>
        <v>111</v>
      </c>
      <c r="R31" s="773" t="s">
        <v>17</v>
      </c>
      <c r="S31" s="774">
        <f t="shared" si="10"/>
        <v>100</v>
      </c>
      <c r="T31" s="773" t="s">
        <v>17</v>
      </c>
      <c r="U31" s="774">
        <f t="shared" si="11"/>
        <v>100</v>
      </c>
      <c r="V31" s="773" t="s">
        <v>17</v>
      </c>
      <c r="W31" s="774">
        <f t="shared" si="12"/>
        <v>100</v>
      </c>
      <c r="X31" s="1813"/>
      <c r="Y31" s="3213"/>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14" t="s">
        <v>2556</v>
      </c>
      <c r="Q32" s="1810">
        <f t="shared" si="8"/>
        <v>111</v>
      </c>
      <c r="R32" s="773" t="s">
        <v>17</v>
      </c>
      <c r="S32" s="774">
        <f t="shared" si="10"/>
        <v>100</v>
      </c>
      <c r="T32" s="773" t="s">
        <v>17</v>
      </c>
      <c r="U32" s="774">
        <f t="shared" si="11"/>
        <v>100</v>
      </c>
      <c r="V32" s="773" t="s">
        <v>17</v>
      </c>
      <c r="W32" s="774">
        <f t="shared" si="12"/>
        <v>100</v>
      </c>
      <c r="X32" s="1813"/>
      <c r="Y32" s="3215" t="s">
        <v>2556</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5"/>
      <c r="Q33" s="1810">
        <f t="shared" si="8"/>
        <v>111</v>
      </c>
      <c r="R33" s="776" t="s">
        <v>17</v>
      </c>
      <c r="S33" s="777">
        <f t="shared" si="10"/>
        <v>100</v>
      </c>
      <c r="T33" s="776" t="s">
        <v>17</v>
      </c>
      <c r="U33" s="777">
        <f t="shared" si="11"/>
        <v>100</v>
      </c>
      <c r="V33" s="776" t="s">
        <v>17</v>
      </c>
      <c r="W33" s="777">
        <f t="shared" si="12"/>
        <v>100</v>
      </c>
      <c r="X33" s="778"/>
      <c r="Y33" s="3215"/>
      <c r="Z33" s="779">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5"/>
      <c r="Q34" s="1810" t="str">
        <f>B34</f>
        <v>宗地面积</v>
      </c>
      <c r="R34" s="773" t="s">
        <v>17</v>
      </c>
      <c r="S34" s="774" t="e">
        <f t="shared" si="10"/>
        <v>#N/A</v>
      </c>
      <c r="T34" s="773" t="s">
        <v>17</v>
      </c>
      <c r="U34" s="774" t="e">
        <f t="shared" si="11"/>
        <v>#N/A</v>
      </c>
      <c r="V34" s="773" t="s">
        <v>17</v>
      </c>
      <c r="W34" s="774" t="e">
        <f t="shared" si="12"/>
        <v>#N/A</v>
      </c>
      <c r="X34" s="1813"/>
      <c r="Y34" s="3215"/>
      <c r="Z34" s="1814" t="str">
        <f t="shared" si="13"/>
        <v>宗地面积</v>
      </c>
      <c r="AA34" s="1811" t="e">
        <f t="shared" si="3"/>
        <v>#N/A</v>
      </c>
      <c r="AB34" s="1811" t="e">
        <f t="shared" si="4"/>
        <v>#N/A</v>
      </c>
      <c r="AC34" s="1811" t="e">
        <f t="shared" si="5"/>
        <v>#N/A</v>
      </c>
    </row>
    <row r="35" spans="1:29" ht="15">
      <c r="A35" s="472"/>
      <c r="B35" s="422" t="s">
        <v>2743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215"/>
      <c r="Q35" s="1810" t="str">
        <f t="shared" ref="Q35:Q40" si="14">B35</f>
        <v>宗地形状</v>
      </c>
      <c r="R35" s="773" t="s">
        <v>17</v>
      </c>
      <c r="S35" s="774">
        <f t="shared" si="10"/>
        <v>100</v>
      </c>
      <c r="T35" s="773" t="s">
        <v>17</v>
      </c>
      <c r="U35" s="774">
        <f t="shared" si="11"/>
        <v>100</v>
      </c>
      <c r="V35" s="773" t="s">
        <v>17</v>
      </c>
      <c r="W35" s="774">
        <f t="shared" si="12"/>
        <v>100</v>
      </c>
      <c r="X35" s="1813"/>
      <c r="Y35" s="3215"/>
      <c r="Z35" s="1814" t="str">
        <f t="shared" si="13"/>
        <v>宗地形状</v>
      </c>
      <c r="AA35" s="1811">
        <f t="shared" si="3"/>
        <v>1</v>
      </c>
      <c r="AB35" s="1811">
        <f t="shared" si="4"/>
        <v>1</v>
      </c>
      <c r="AC35" s="1811">
        <f t="shared" si="5"/>
        <v>1</v>
      </c>
    </row>
    <row r="36" spans="1:29" s="117" customFormat="1" ht="15">
      <c r="A36" s="473"/>
      <c r="B36" s="422" t="s">
        <v>2745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215"/>
      <c r="Q36" s="1810" t="str">
        <f t="shared" si="14"/>
        <v>宗地开发程度</v>
      </c>
      <c r="R36" s="769" t="s">
        <v>17</v>
      </c>
      <c r="S36" s="770">
        <f t="shared" si="10"/>
        <v>100</v>
      </c>
      <c r="T36" s="769" t="s">
        <v>17</v>
      </c>
      <c r="U36" s="770">
        <f t="shared" si="11"/>
        <v>100</v>
      </c>
      <c r="V36" s="769" t="s">
        <v>17</v>
      </c>
      <c r="W36" s="770">
        <f t="shared" si="12"/>
        <v>100</v>
      </c>
      <c r="X36" s="771"/>
      <c r="Y36" s="3215"/>
      <c r="Z36" s="55" t="str">
        <f t="shared" si="13"/>
        <v>宗地开发程度</v>
      </c>
      <c r="AA36" s="772">
        <f t="shared" si="3"/>
        <v>1</v>
      </c>
      <c r="AB36" s="772">
        <f t="shared" si="4"/>
        <v>1</v>
      </c>
      <c r="AC36" s="772">
        <f t="shared" si="5"/>
        <v>1</v>
      </c>
    </row>
    <row r="37" spans="1:29" ht="15">
      <c r="A37" s="472"/>
      <c r="B37" s="422" t="s">
        <v>2746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215" t="s">
        <v>2556</v>
      </c>
      <c r="Q37" s="1810" t="str">
        <f t="shared" si="14"/>
        <v>工程地质条件</v>
      </c>
      <c r="R37" s="773" t="s">
        <v>17</v>
      </c>
      <c r="S37" s="774">
        <f t="shared" si="10"/>
        <v>100</v>
      </c>
      <c r="T37" s="773" t="s">
        <v>17</v>
      </c>
      <c r="U37" s="774">
        <f t="shared" si="11"/>
        <v>100</v>
      </c>
      <c r="V37" s="773" t="s">
        <v>17</v>
      </c>
      <c r="W37" s="774">
        <f t="shared" si="12"/>
        <v>100</v>
      </c>
      <c r="X37" s="1813"/>
      <c r="Y37" s="3215" t="s">
        <v>2556</v>
      </c>
      <c r="Z37" s="1814" t="str">
        <f t="shared" si="13"/>
        <v>工程地质条件</v>
      </c>
      <c r="AA37" s="1811">
        <f t="shared" si="3"/>
        <v>1</v>
      </c>
      <c r="AB37" s="1811">
        <f t="shared" si="4"/>
        <v>1</v>
      </c>
      <c r="AC37" s="1811">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5"/>
      <c r="Q38" s="1810">
        <f t="shared" si="14"/>
        <v>111</v>
      </c>
      <c r="R38" s="773" t="s">
        <v>17</v>
      </c>
      <c r="S38" s="774">
        <f t="shared" si="10"/>
        <v>100</v>
      </c>
      <c r="T38" s="773" t="s">
        <v>17</v>
      </c>
      <c r="U38" s="774">
        <f t="shared" si="11"/>
        <v>100</v>
      </c>
      <c r="V38" s="773" t="s">
        <v>17</v>
      </c>
      <c r="W38" s="774">
        <f t="shared" si="12"/>
        <v>100</v>
      </c>
      <c r="X38" s="1813"/>
      <c r="Y38" s="3215"/>
      <c r="Z38" s="1814">
        <f t="shared" si="13"/>
        <v>111</v>
      </c>
      <c r="AA38" s="1811">
        <f t="shared" si="3"/>
        <v>1</v>
      </c>
      <c r="AB38" s="1811">
        <f t="shared" si="4"/>
        <v>1</v>
      </c>
      <c r="AC38" s="1811">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5"/>
      <c r="Q39" s="1810">
        <f t="shared" si="14"/>
        <v>111</v>
      </c>
      <c r="R39" s="773" t="s">
        <v>17</v>
      </c>
      <c r="S39" s="774">
        <f t="shared" si="10"/>
        <v>100</v>
      </c>
      <c r="T39" s="773" t="s">
        <v>17</v>
      </c>
      <c r="U39" s="774">
        <f t="shared" si="11"/>
        <v>100</v>
      </c>
      <c r="V39" s="773" t="s">
        <v>17</v>
      </c>
      <c r="W39" s="774">
        <f t="shared" si="12"/>
        <v>100</v>
      </c>
      <c r="X39" s="1813"/>
      <c r="Y39" s="3215"/>
      <c r="Z39" s="1814">
        <f t="shared" si="13"/>
        <v>111</v>
      </c>
      <c r="AA39" s="1811">
        <f t="shared" si="3"/>
        <v>1</v>
      </c>
      <c r="AB39" s="1811">
        <f t="shared" si="4"/>
        <v>1</v>
      </c>
      <c r="AC39" s="1811">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5"/>
      <c r="Q40" s="1810">
        <f t="shared" si="14"/>
        <v>111</v>
      </c>
      <c r="R40" s="776" t="s">
        <v>17</v>
      </c>
      <c r="S40" s="777">
        <f t="shared" si="10"/>
        <v>100</v>
      </c>
      <c r="T40" s="776" t="s">
        <v>17</v>
      </c>
      <c r="U40" s="777">
        <f t="shared" si="11"/>
        <v>100</v>
      </c>
      <c r="V40" s="776" t="s">
        <v>17</v>
      </c>
      <c r="W40" s="777">
        <f t="shared" si="12"/>
        <v>100</v>
      </c>
      <c r="X40" s="778"/>
      <c r="Y40" s="3215"/>
      <c r="Z40" s="779">
        <f t="shared" si="13"/>
        <v>111</v>
      </c>
      <c r="AA40" s="1811">
        <f t="shared" si="3"/>
        <v>1</v>
      </c>
      <c r="AB40" s="1811">
        <f t="shared" si="4"/>
        <v>1</v>
      </c>
      <c r="AC40" s="1811">
        <f t="shared" si="5"/>
        <v>1</v>
      </c>
    </row>
    <row r="41" spans="1:29" ht="15">
      <c r="A41" s="479" t="s">
        <v>2711</v>
      </c>
      <c r="B41" s="2708" t="s">
        <v>2791</v>
      </c>
      <c r="C41" s="682" t="s">
        <v>1</v>
      </c>
      <c r="D41" s="481"/>
      <c r="E41" s="482"/>
      <c r="F41" s="483"/>
      <c r="G41" s="484"/>
      <c r="H41" s="485"/>
      <c r="I41" s="482"/>
      <c r="J41" s="485"/>
      <c r="K41" s="782"/>
      <c r="L41" s="1145"/>
      <c r="M41" s="1133"/>
      <c r="N41" s="1133"/>
      <c r="O41" s="1146"/>
      <c r="P41" s="3197" t="str">
        <f>A41</f>
        <v>成交单价</v>
      </c>
      <c r="Q41" s="3197"/>
      <c r="R41" s="3210">
        <f>E41</f>
        <v>0</v>
      </c>
      <c r="S41" s="3210"/>
      <c r="T41" s="3210">
        <f>G41</f>
        <v>0</v>
      </c>
      <c r="U41" s="3210"/>
      <c r="V41" s="3210">
        <f>I41</f>
        <v>0</v>
      </c>
      <c r="W41" s="3210"/>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197" t="str">
        <f>A42</f>
        <v>比较价值（元/平方米）</v>
      </c>
      <c r="Q42" s="3197"/>
      <c r="R42" s="3216" t="e">
        <f>ROUND(PRODUCT(R41,AA7:AA40),0)</f>
        <v>#DIV/0!</v>
      </c>
      <c r="S42" s="3216"/>
      <c r="T42" s="3216" t="e">
        <f>ROUND(PRODUCT(T41,AB7:AB40),0)</f>
        <v>#DIV/0!</v>
      </c>
      <c r="U42" s="3216"/>
      <c r="V42" s="3216" t="e">
        <f>ROUND(PRODUCT(V41,AC7:AC40),0)</f>
        <v>#DIV/0!</v>
      </c>
      <c r="W42" s="3216"/>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217" t="str">
        <f>A43</f>
        <v>估价对象XX用房的比较价值（楼面单价，元/平方米）</v>
      </c>
      <c r="Q43" s="3218"/>
      <c r="R43" s="3219" t="e">
        <f>ROUND(AVERAGE(R42:V42),0)</f>
        <v>#DIV/0!</v>
      </c>
      <c r="S43" s="3219"/>
      <c r="T43" s="3219"/>
      <c r="U43" s="3219"/>
      <c r="V43" s="3219"/>
      <c r="W43" s="321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9" t="s">
        <v>2751</v>
      </c>
      <c r="D50" s="2710" t="s">
        <v>2752</v>
      </c>
      <c r="E50" s="686" t="s">
        <v>2753</v>
      </c>
      <c r="F50" s="687" t="s">
        <v>2754</v>
      </c>
      <c r="G50" s="3198" t="s">
        <v>2755</v>
      </c>
      <c r="H50" s="3220"/>
      <c r="I50" s="1814" t="s">
        <v>2792</v>
      </c>
      <c r="J50" s="1814">
        <f>项目基本情况!F35</f>
        <v>0</v>
      </c>
      <c r="K50" s="2712" t="s">
        <v>2757</v>
      </c>
      <c r="L50" s="1108"/>
      <c r="M50" s="1146"/>
      <c r="N50" s="1146"/>
      <c r="O50" s="1146"/>
    </row>
    <row r="51" spans="1:17" s="692" customFormat="1">
      <c r="A51" s="688" t="s">
        <v>2758</v>
      </c>
      <c r="B51" s="689" t="e">
        <f>C43</f>
        <v>#DIV/0!</v>
      </c>
      <c r="C51" s="690">
        <v>1</v>
      </c>
      <c r="D51" s="1165">
        <v>1</v>
      </c>
      <c r="E51" s="690">
        <f>'数据-汇总表'!E8+'数据-汇总表'!E9</f>
        <v>34353.799999999996</v>
      </c>
      <c r="F51" s="691" t="e">
        <f t="shared" ref="F51:F60" si="15">ROUND(B51*E51/10000,0)</f>
        <v>#DIV/0!</v>
      </c>
      <c r="G51" s="3221"/>
      <c r="H51" s="3197"/>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22"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22"/>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22"/>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22"/>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13"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13"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14"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10335.5</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15" t="s">
        <v>2773</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20" t="s">
        <v>2793</v>
      </c>
      <c r="B66" s="332" t="str">
        <f>"北京市平均增长率"&amp;TEXT(基准地价修正!P24,"0.00%")</f>
        <v>北京市平均增长率1.42%</v>
      </c>
      <c r="C66" s="603">
        <v>100</v>
      </c>
      <c r="D66" s="595"/>
      <c r="E66" s="595"/>
      <c r="F66" s="595"/>
      <c r="G66" s="595"/>
      <c r="H66" s="595"/>
      <c r="I66" s="595"/>
      <c r="J66" s="595"/>
      <c r="K66" s="595"/>
      <c r="L66" s="595"/>
      <c r="M66" s="1569"/>
      <c r="N66" s="1569"/>
      <c r="O66" s="1570"/>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2795</v>
      </c>
      <c r="B1" s="241"/>
      <c r="C1" s="245" t="s">
        <v>2796</v>
      </c>
      <c r="D1" s="388">
        <f>SUM(D29:D30,D33:D39)</f>
        <v>0</v>
      </c>
      <c r="E1" s="2721"/>
      <c r="F1" s="2721"/>
      <c r="G1" s="2721"/>
      <c r="H1" s="2721"/>
      <c r="I1" s="2721"/>
      <c r="J1" s="2721"/>
      <c r="K1" s="1372"/>
      <c r="L1" s="2722" t="s">
        <v>2797</v>
      </c>
      <c r="M1" s="1082">
        <f>SUMPRODUCT((区片价!B5:B9=I2)*(区片价!C3:F3=E2)*(区片价!C5:F9))</f>
        <v>0</v>
      </c>
      <c r="N1" s="1085">
        <f>SUMPRODUCT((因素修正幅度!B5:B9=I2)*(因素修正幅度!C3:F3=E2)*(因素修正幅度!C5:F9))</f>
        <v>0</v>
      </c>
      <c r="O1" s="2723"/>
      <c r="P1" s="2723"/>
      <c r="Q1" s="1372"/>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5" t="s">
        <v>2803</v>
      </c>
      <c r="B2" s="248" t="e">
        <f>C26</f>
        <v>#DIV/0!</v>
      </c>
      <c r="C2" s="2725" t="s">
        <v>2804</v>
      </c>
      <c r="D2" s="2726" t="s">
        <v>2805</v>
      </c>
      <c r="E2" s="2727"/>
      <c r="F2" s="2726" t="s">
        <v>2806</v>
      </c>
      <c r="G2" s="2728">
        <f>IF(E2="商业",项目基本情况!B37,IF(E2="办公",项目基本情况!C37,IF(E2="住宅",项目基本情况!D37,项目基本情况!E37)))</f>
        <v>0</v>
      </c>
      <c r="H2" s="2726" t="s">
        <v>2807</v>
      </c>
      <c r="I2" s="2728">
        <f>IF(E2="商业",项目基本情况!B38,IF(E2="办公",项目基本情况!C38,IF(E2="住宅",项目基本情况!D38,项目基本情况!E38)))</f>
        <v>0</v>
      </c>
      <c r="J2" s="2729"/>
      <c r="K2" s="1372"/>
      <c r="L2" s="2730" t="s">
        <v>2808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2809</v>
      </c>
      <c r="B3" s="248" t="e">
        <f>ROUND(B2*10000/D1,0)</f>
        <v>#DIV/0!</v>
      </c>
      <c r="C3" s="2725" t="s">
        <v>2810</v>
      </c>
      <c r="D3" s="2726" t="s">
        <v>2811</v>
      </c>
      <c r="E3" s="2731"/>
      <c r="F3" s="2732" t="s">
        <v>2812</v>
      </c>
      <c r="G3" s="915">
        <f>IF(F3="宗地容积率",'数据-汇总表'!I4,IF(F3="估价对象容积率",'数据-汇总表'!I6,'数据-汇总表'!I7))</f>
        <v>3.32</v>
      </c>
      <c r="H3" s="198" t="s">
        <v>2813</v>
      </c>
      <c r="I3" s="946"/>
      <c r="J3" s="2729" t="s">
        <v>2814</v>
      </c>
      <c r="K3" s="1372"/>
      <c r="L3" s="2730" t="s">
        <v>2815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6"/>
      <c r="B4" s="3287"/>
      <c r="C4" s="3287"/>
      <c r="D4" s="3288"/>
      <c r="E4" s="3288"/>
      <c r="F4" s="3288"/>
      <c r="G4" s="3288"/>
      <c r="H4" s="3288"/>
      <c r="I4" s="3288"/>
      <c r="J4" s="3289"/>
      <c r="K4" s="1372"/>
      <c r="L4" s="2730" t="s">
        <v>2816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2817</v>
      </c>
      <c r="C5" s="916" t="e">
        <f>ROUND(IF(E2="商业",IF(F16="增加",C6*C7+C16,C6*C7-C16),IF(E2="住宅",IF(F16="增加",C6*C12+C16,C6*C12-C16),IF(F16="增加",C6+C16,C6-C16))),0)</f>
        <v>#DIV/0!</v>
      </c>
      <c r="D5" s="1787">
        <f>ROUND(IF(E2="商业",IF(F16="增加",C6+C16,C6-C16)),0)</f>
        <v>0</v>
      </c>
      <c r="E5" s="2735"/>
      <c r="F5" s="2735"/>
      <c r="G5" s="2736"/>
      <c r="H5" s="2736"/>
      <c r="I5" s="2736"/>
      <c r="J5" s="2737"/>
      <c r="K5" s="2738"/>
      <c r="L5" s="2730" t="s">
        <v>2818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2819</v>
      </c>
      <c r="B6" s="2744" t="s">
        <v>2820</v>
      </c>
      <c r="C6" s="917">
        <f>SUMIF(L1:L12,G2,M1:M12)</f>
        <v>0</v>
      </c>
      <c r="D6" s="2745" t="s">
        <v>2821</v>
      </c>
      <c r="E6" s="2746"/>
      <c r="F6" s="2746"/>
      <c r="G6" s="2747"/>
      <c r="H6" s="2747"/>
      <c r="I6" s="2747"/>
      <c r="J6" s="2748"/>
      <c r="K6" s="1842"/>
      <c r="L6" s="2730" t="s">
        <v>2822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72" t="str">
        <f>IF(E2="商业",IF(C8="不临58条商业街","",2),"")</f>
        <v/>
      </c>
      <c r="B7" s="2749" t="s">
        <v>2823</v>
      </c>
      <c r="C7" s="918" t="e">
        <f>IF(C8="不临58条商业街",1,ROUND(1+(1.6*E8+1.2*E9+0.8*E10+0.4*E11)*C9,4))</f>
        <v>#DIV/0!</v>
      </c>
      <c r="D7" s="2750" t="s">
        <v>2824</v>
      </c>
      <c r="E7" s="947"/>
      <c r="F7" s="2751"/>
      <c r="G7" s="2752"/>
      <c r="H7" s="2752"/>
      <c r="I7" s="2752"/>
      <c r="J7" s="2753"/>
      <c r="K7" s="1842"/>
      <c r="L7" s="2730" t="s">
        <v>2825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2826</v>
      </c>
      <c r="X7" s="1605">
        <f>G2</f>
        <v>0</v>
      </c>
      <c r="Y7" s="1605" t="s">
        <v>2827</v>
      </c>
      <c r="Z7" s="1606">
        <f>G3</f>
        <v>3.32</v>
      </c>
      <c r="AA7" s="1607"/>
      <c r="AB7" s="1607"/>
      <c r="AC7" s="1608"/>
      <c r="AD7" s="1609"/>
      <c r="AE7" s="1609"/>
      <c r="AF7" s="1609"/>
      <c r="AG7" s="1609"/>
      <c r="AH7" s="1609"/>
      <c r="AI7" s="1609"/>
      <c r="AJ7" s="1610"/>
    </row>
    <row r="8" spans="1:36" ht="15">
      <c r="A8" s="3273"/>
      <c r="B8" s="198" t="s">
        <v>2828</v>
      </c>
      <c r="C8" s="2754"/>
      <c r="D8" s="919" t="s">
        <v>139</v>
      </c>
      <c r="E8" s="920" t="e">
        <f>ROUND(C11/E7,4)</f>
        <v>#DIV/0!</v>
      </c>
      <c r="F8" s="2755" t="s">
        <v>2829</v>
      </c>
      <c r="G8" s="2756"/>
      <c r="H8" s="2756"/>
      <c r="I8" s="2756"/>
      <c r="J8" s="2757"/>
      <c r="K8" s="1372"/>
      <c r="L8" s="2730" t="s">
        <v>2830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83" t="s">
        <v>2831</v>
      </c>
      <c r="X8" s="3284"/>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273"/>
      <c r="B9" s="198" t="s">
        <v>2844</v>
      </c>
      <c r="C9" s="921">
        <f>SUMIF(修正!C59:C119,C8,修正!E59:E119)</f>
        <v>0</v>
      </c>
      <c r="D9" s="200" t="s">
        <v>140</v>
      </c>
      <c r="E9" s="200" t="e">
        <f>ROUND(C11/E7,4)</f>
        <v>#DIV/0!</v>
      </c>
      <c r="F9" s="2755" t="s">
        <v>2845</v>
      </c>
      <c r="G9" s="2756"/>
      <c r="H9" s="2756"/>
      <c r="I9" s="2756"/>
      <c r="J9" s="2757"/>
      <c r="K9" s="1372"/>
      <c r="L9" s="2730" t="s">
        <v>2846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85" t="s">
        <v>2847</v>
      </c>
      <c r="X9" s="1612" t="s">
        <v>2848</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3"/>
      <c r="B10" s="198" t="s">
        <v>2849</v>
      </c>
      <c r="C10" s="200">
        <f>SUMIF(修正!C59:C119,C8,修正!F59:F119)</f>
        <v>0</v>
      </c>
      <c r="D10" s="200" t="s">
        <v>141</v>
      </c>
      <c r="E10" s="200" t="e">
        <f>ROUND(C11/E7,4)</f>
        <v>#DIV/0!</v>
      </c>
      <c r="F10" s="2755" t="s">
        <v>2850</v>
      </c>
      <c r="G10" s="2756"/>
      <c r="H10" s="2756"/>
      <c r="I10" s="2756"/>
      <c r="J10" s="2757"/>
      <c r="K10" s="1372"/>
      <c r="L10" s="2730" t="s">
        <v>2851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8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3"/>
      <c r="B11" s="2758" t="s">
        <v>2852</v>
      </c>
      <c r="C11" s="922">
        <f>C10/4</f>
        <v>0</v>
      </c>
      <c r="D11" s="922" t="s">
        <v>142</v>
      </c>
      <c r="E11" s="922" t="e">
        <f>ROUND(C11/E7,4)</f>
        <v>#DIV/0!</v>
      </c>
      <c r="F11" s="2759" t="s">
        <v>2853</v>
      </c>
      <c r="G11" s="2760"/>
      <c r="H11" s="2760"/>
      <c r="I11" s="2760"/>
      <c r="J11" s="2761"/>
      <c r="K11" s="1372"/>
      <c r="L11" s="2730" t="s">
        <v>2854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85" t="s">
        <v>2855</v>
      </c>
      <c r="X11" s="1615" t="s">
        <v>2856</v>
      </c>
      <c r="Y11" s="1616">
        <f>$G$3</f>
        <v>3.32</v>
      </c>
      <c r="Z11" s="1616">
        <f t="shared" ref="Z11:AJ11" si="3">$G$3</f>
        <v>3.32</v>
      </c>
      <c r="AA11" s="1616">
        <f t="shared" si="3"/>
        <v>3.32</v>
      </c>
      <c r="AB11" s="1616">
        <f t="shared" si="3"/>
        <v>3.32</v>
      </c>
      <c r="AC11" s="1616">
        <f t="shared" si="3"/>
        <v>3.32</v>
      </c>
      <c r="AD11" s="1616">
        <f t="shared" si="3"/>
        <v>3.32</v>
      </c>
      <c r="AE11" s="1616">
        <f t="shared" si="3"/>
        <v>3.32</v>
      </c>
      <c r="AF11" s="1616">
        <f t="shared" si="3"/>
        <v>3.32</v>
      </c>
      <c r="AG11" s="1616">
        <f t="shared" si="3"/>
        <v>3.32</v>
      </c>
      <c r="AH11" s="1616">
        <f t="shared" si="3"/>
        <v>3.32</v>
      </c>
      <c r="AI11" s="1616">
        <f t="shared" si="3"/>
        <v>3.32</v>
      </c>
      <c r="AJ11" s="1616">
        <f t="shared" si="3"/>
        <v>3.32</v>
      </c>
    </row>
    <row r="12" spans="1:36" ht="25.5" thickBot="1">
      <c r="A12" s="3272" t="s">
        <v>2857</v>
      </c>
      <c r="B12" s="2762" t="s">
        <v>2858</v>
      </c>
      <c r="C12" s="918">
        <f>ROUND(C15*D15*E15*F15*G15*H15*I15*J15,4)</f>
        <v>1</v>
      </c>
      <c r="D12" s="2763" t="s">
        <v>2859</v>
      </c>
      <c r="E12" s="2764"/>
      <c r="F12" s="2764"/>
      <c r="G12" s="2765"/>
      <c r="H12" s="2765"/>
      <c r="I12" s="2765"/>
      <c r="J12" s="2766"/>
      <c r="K12" s="1372"/>
      <c r="L12" s="2767" t="s">
        <v>2860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85"/>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0"/>
      <c r="B13" s="2768" t="s">
        <v>2862</v>
      </c>
      <c r="C13" s="2769" t="s">
        <v>2863</v>
      </c>
      <c r="D13" s="1808" t="s">
        <v>2864</v>
      </c>
      <c r="E13" s="1808" t="s">
        <v>2865</v>
      </c>
      <c r="F13" s="30" t="s">
        <v>2866</v>
      </c>
      <c r="G13" s="2770" t="s">
        <v>2867</v>
      </c>
      <c r="H13" s="2770" t="s">
        <v>2867</v>
      </c>
      <c r="I13" s="2770" t="s">
        <v>2867</v>
      </c>
      <c r="J13" s="2771" t="s">
        <v>2867</v>
      </c>
      <c r="K13" s="1372"/>
      <c r="L13" s="1372"/>
      <c r="M13" s="1372"/>
      <c r="N13" s="1372"/>
      <c r="O13" s="1372"/>
      <c r="P13" s="1372"/>
      <c r="Q13" s="1372"/>
      <c r="R13" s="1603">
        <v>12</v>
      </c>
      <c r="S13" s="1604"/>
      <c r="T13" s="1603" t="e">
        <f t="shared" si="0"/>
        <v>#DIV/0!</v>
      </c>
      <c r="U13" s="1604"/>
      <c r="V13" s="1603" t="e">
        <f t="shared" si="1"/>
        <v>#DIV/0!</v>
      </c>
      <c r="W13" s="3285"/>
      <c r="X13" s="1617"/>
      <c r="Y13" s="1614">
        <f>(-0.163*(Y12^2)-0.59*Y12+7617)*(10^(-4))/Y11</f>
        <v>0.22942771084337352</v>
      </c>
      <c r="Z13" s="1614">
        <f t="shared" ref="Z13:AJ13" si="5">(-0.163*(Z12^2)-0.59*Z12+7617)*(10^(-4))/Z11</f>
        <v>0.22942771084337352</v>
      </c>
      <c r="AA13" s="1614">
        <f t="shared" si="5"/>
        <v>0.22942771084337352</v>
      </c>
      <c r="AB13" s="1614">
        <f t="shared" si="5"/>
        <v>0.22942771084337352</v>
      </c>
      <c r="AC13" s="1614">
        <f t="shared" si="5"/>
        <v>0.22942771084337352</v>
      </c>
      <c r="AD13" s="1614">
        <f t="shared" si="5"/>
        <v>0.22942771084337352</v>
      </c>
      <c r="AE13" s="1614">
        <f t="shared" si="5"/>
        <v>0.22942771084337352</v>
      </c>
      <c r="AF13" s="1614">
        <f t="shared" si="5"/>
        <v>0.22942771084337352</v>
      </c>
      <c r="AG13" s="1614">
        <f t="shared" si="5"/>
        <v>0.22942771084337352</v>
      </c>
      <c r="AH13" s="1614">
        <f t="shared" si="5"/>
        <v>0.22942771084337352</v>
      </c>
      <c r="AI13" s="1614">
        <f t="shared" si="5"/>
        <v>0.22942771084337352</v>
      </c>
      <c r="AJ13" s="1614">
        <f t="shared" si="5"/>
        <v>0.22942771084337352</v>
      </c>
    </row>
    <row r="14" spans="1:36" ht="15">
      <c r="A14" s="3290"/>
      <c r="B14" s="2772"/>
      <c r="C14" s="2773"/>
      <c r="D14" s="2774"/>
      <c r="E14" s="2774"/>
      <c r="F14" s="2775"/>
      <c r="G14" s="2776" t="s">
        <v>2868</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1"/>
      <c r="B15" s="2780" t="s">
        <v>2869</v>
      </c>
      <c r="C15" s="229">
        <f>IF(C14="有",1.1,1)</f>
        <v>1</v>
      </c>
      <c r="D15" s="229">
        <f>IF(D14="有",1.1,1)</f>
        <v>1</v>
      </c>
      <c r="E15" s="229">
        <f>IF(E14="有",1.1,1)</f>
        <v>1</v>
      </c>
      <c r="F15" s="229">
        <f>IF(F14="500米范围内",1.2,IF(F14="500-1000米",1.1,1))</f>
        <v>1</v>
      </c>
      <c r="G15" s="948">
        <v>1</v>
      </c>
      <c r="H15" s="948">
        <v>1</v>
      </c>
      <c r="I15" s="948">
        <v>1</v>
      </c>
      <c r="J15" s="949">
        <v>1</v>
      </c>
      <c r="K15" s="1372"/>
      <c r="L15" s="2781" t="s">
        <v>2805</v>
      </c>
      <c r="M15" s="919" t="s">
        <v>2870</v>
      </c>
      <c r="N15" s="919" t="s">
        <v>2871</v>
      </c>
      <c r="O15" s="919" t="s">
        <v>2872</v>
      </c>
      <c r="P15" s="2782" t="s">
        <v>2873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2" t="s">
        <v>2874</v>
      </c>
      <c r="B16" s="2749" t="s">
        <v>2875</v>
      </c>
      <c r="C16" s="1801" t="e">
        <f>ROUND(SUM(G17:J17)/C17,0)</f>
        <v>#DIV/0!</v>
      </c>
      <c r="D16" s="2783" t="s">
        <v>2876</v>
      </c>
      <c r="E16" s="2784"/>
      <c r="F16" s="2785"/>
      <c r="G16" s="2786"/>
      <c r="H16" s="2786"/>
      <c r="I16" s="2786"/>
      <c r="J16" s="2787"/>
      <c r="K16" s="1372"/>
      <c r="L16" s="2788" t="s">
        <v>2877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3"/>
      <c r="B17" s="2789" t="s">
        <v>2878</v>
      </c>
      <c r="C17" s="923">
        <f>SUMPRODUCT((修正!A2:A5=E2)*(修正!B1:M1=G2)*(修正!B2:M5))</f>
        <v>0</v>
      </c>
      <c r="D17" s="2790"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2882</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2883</v>
      </c>
      <c r="C19" s="926" t="e">
        <f>ROUND(IF(H19="按公示增长率计算",SUMPRODUCT((地价!A3:A24=YEAR(G19)&amp;"-"&amp;ROUNDUP(MONTH(G19)/3,0))*(地价!X2:AB2=E2)*(地价!X3:AB24)),IF(H19="地价指数",M20/M19,(1+I19)^O19)),4)</f>
        <v>#DIV/0!</v>
      </c>
      <c r="D19" s="2801" t="s">
        <v>2884</v>
      </c>
      <c r="E19" s="927">
        <v>41640</v>
      </c>
      <c r="F19" s="2801" t="s">
        <v>2885</v>
      </c>
      <c r="G19" s="928">
        <f>'数据-取费表'!B2</f>
        <v>43405</v>
      </c>
      <c r="H19" s="2802" t="s">
        <v>2886</v>
      </c>
      <c r="I19" s="929" t="str">
        <f>IF(H19="季度增幅（自定义）",SUMIF(N21:N24,E2,O21:O24),"")</f>
        <v/>
      </c>
      <c r="J19" s="2799"/>
      <c r="K19" s="1379"/>
      <c r="L19" s="2803" t="s">
        <v>2887</v>
      </c>
      <c r="M19" s="1734">
        <f>ROUND(SUMIF(地价!B2:F2,E2,地价!B24:F24),0)</f>
        <v>0</v>
      </c>
      <c r="N19" s="2804" t="s">
        <v>2888</v>
      </c>
      <c r="O19" s="930">
        <f>ROUNDDOWN(DATEDIF(E19,G19,"M")/3,0)</f>
        <v>19</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2889</v>
      </c>
      <c r="C20" s="931" t="e">
        <f>ROUND(POWER(1+G20,J20-I20)*(POWER(1+G20,I20)-1)/(POWER(1+G20,J20)-1),4)</f>
        <v>#DIV/0!</v>
      </c>
      <c r="D20" s="2810" t="s">
        <v>2890</v>
      </c>
      <c r="E20" s="1768">
        <f ca="1">存贷款利率!D4/100</f>
        <v>4.3499999999999997E-2</v>
      </c>
      <c r="F20" s="2810" t="s">
        <v>2881</v>
      </c>
      <c r="G20" s="936">
        <f>SUMIF(M15:P15,E2,M17:P17)</f>
        <v>0</v>
      </c>
      <c r="H20" s="2810" t="s">
        <v>2891</v>
      </c>
      <c r="I20" s="937" t="e">
        <f>SUMIF('数据-取费表'!C6:C15,E2,'数据-取费表'!F6:F15)/COUNTIF('数据-取费表'!C6:C15,E2)</f>
        <v>#DIV/0!</v>
      </c>
      <c r="J20" s="938">
        <f>IF(E2="住宅",70,IF(E2="商业",40,50))</f>
        <v>50</v>
      </c>
      <c r="K20" s="1379"/>
      <c r="L20" s="2811" t="s">
        <v>2892</v>
      </c>
      <c r="M20" s="1735">
        <f>ROUND(SUMPRODUCT((地价!A4:A24=YEAR(G19)&amp;"-"&amp;ROUNDUP(MONTH(G19)/3,0))*(地价!B2:F2=E2)*(地价!B4:F24)),0)</f>
        <v>0</v>
      </c>
      <c r="N20" s="2812" t="s">
        <v>2893</v>
      </c>
      <c r="O20" s="2813" t="s">
        <v>2894</v>
      </c>
      <c r="P20" s="2814" t="s">
        <v>2895</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2896</v>
      </c>
      <c r="C21" s="939">
        <f>IF(B21="容积率修正",IF(G3&lt;=10,D22,J22),C23)</f>
        <v>0</v>
      </c>
      <c r="D21" s="2817"/>
      <c r="E21" s="2817"/>
      <c r="F21" s="2817"/>
      <c r="G21" s="2817"/>
      <c r="H21" s="2817"/>
      <c r="I21" s="2817"/>
      <c r="J21" s="2818"/>
      <c r="K21" s="1379"/>
      <c r="N21" s="2819" t="s">
        <v>2897</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2" customFormat="1" ht="14.25">
      <c r="A22" s="2668" t="s">
        <v>2898</v>
      </c>
      <c r="B22" s="2820" t="s">
        <v>2899</v>
      </c>
      <c r="C22" s="1810" t="s">
        <v>2900</v>
      </c>
      <c r="D22" s="1810">
        <f>IF(E22=G22,F22,IF(G3&lt;=10,ROUND(F22+(H22-F22)*(G3-E22)/(G22-E22),4),"——"))</f>
        <v>0</v>
      </c>
      <c r="E22" s="915">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9" t="s">
        <v>2901</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8" t="s">
        <v>2902</v>
      </c>
      <c r="B23" s="2821" t="s">
        <v>2903</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2904</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2905</v>
      </c>
      <c r="C24" s="926">
        <f>SUMIF(A45:A88,E2,B45:B88)</f>
        <v>0</v>
      </c>
      <c r="D24" s="2797"/>
      <c r="E24" s="2827"/>
      <c r="F24" s="2827"/>
      <c r="G24" s="2827"/>
      <c r="H24" s="2827"/>
      <c r="I24" s="2827"/>
      <c r="J24" s="2828"/>
      <c r="K24" s="1379"/>
      <c r="N24" s="2829" t="s">
        <v>2906</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2907</v>
      </c>
      <c r="C25" s="932"/>
      <c r="D25" s="2752"/>
      <c r="E25" s="2752"/>
      <c r="F25" s="2831"/>
      <c r="G25" s="2752"/>
      <c r="H25" s="2752"/>
      <c r="I25" s="2752"/>
      <c r="J25" s="2753"/>
      <c r="K25" s="1372"/>
      <c r="N25" s="2832" t="s">
        <v>2908</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3"/>
      <c r="B26" s="2820" t="s">
        <v>2909</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2910</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2911</v>
      </c>
      <c r="C28" s="2844" t="s">
        <v>2912</v>
      </c>
      <c r="D28" s="2844" t="s">
        <v>2913</v>
      </c>
      <c r="E28" s="2845" t="s">
        <v>2914</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2915</v>
      </c>
      <c r="C29" s="206" t="e">
        <f>ROUND(C5*C18*C19*C20*C21*C24,0)</f>
        <v>#DIV/0!</v>
      </c>
      <c r="D29" s="2849"/>
      <c r="E29" s="944" t="e">
        <f>ROUND(C29*D29/10000,0)</f>
        <v>#DIV/0!</v>
      </c>
      <c r="F29" s="2850" t="s">
        <v>2916</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2917</v>
      </c>
      <c r="C30" s="229" t="e">
        <f>ROUND(IF(E2="工业",C29*M39,C29*M38),0)</f>
        <v>#DIV/0!</v>
      </c>
      <c r="D30" s="2855"/>
      <c r="E30" s="944" t="e">
        <f>ROUND(C30*D30/10000,0)</f>
        <v>#DIV/0!</v>
      </c>
      <c r="F30" s="2856" t="s">
        <v>2918</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2919</v>
      </c>
      <c r="C31" s="2861" t="s">
        <v>2920</v>
      </c>
      <c r="D31" s="2765"/>
      <c r="E31" s="2861"/>
      <c r="F31" s="2861"/>
      <c r="G31" s="2763" t="s">
        <v>2921</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2912</v>
      </c>
      <c r="D32" s="498" t="s">
        <v>2913</v>
      </c>
      <c r="E32" s="498" t="s">
        <v>2914</v>
      </c>
      <c r="F32" s="388" t="s">
        <v>2922</v>
      </c>
      <c r="G32" s="2864" t="s">
        <v>2912</v>
      </c>
      <c r="H32" s="2864" t="s">
        <v>2913</v>
      </c>
      <c r="I32" s="2864"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80" t="s">
        <v>2923</v>
      </c>
      <c r="B33" s="2865" t="s">
        <v>2924</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1"/>
      <c r="B34" s="2769" t="s">
        <v>2925</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1"/>
      <c r="B35" s="2769" t="s">
        <v>2926</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2"/>
      <c r="B36" s="2769" t="s">
        <v>2927</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2928</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2"/>
      <c r="L37" s="2868" t="s">
        <v>2929</v>
      </c>
      <c r="M37" s="2869"/>
      <c r="N37" s="1372"/>
      <c r="O37" s="1372"/>
      <c r="P37" s="1372"/>
      <c r="Q37" s="1372"/>
      <c r="R37" s="1372"/>
      <c r="S37" s="1372"/>
      <c r="T37" s="1372"/>
      <c r="U37" s="1372"/>
      <c r="V37" s="1372"/>
      <c r="W37" s="1372"/>
      <c r="X37" s="1372"/>
      <c r="Y37" s="1372"/>
      <c r="Z37" s="1373"/>
    </row>
    <row r="38" spans="1:37">
      <c r="A38" s="2867"/>
      <c r="B38" s="2769" t="s">
        <v>2930</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2"/>
      <c r="L38" s="1887" t="s">
        <v>2931</v>
      </c>
      <c r="M38" s="2870">
        <v>0.25</v>
      </c>
      <c r="N38" s="1372"/>
      <c r="O38" s="1372"/>
      <c r="P38" s="1372"/>
      <c r="Q38" s="1372"/>
      <c r="R38" s="1372"/>
      <c r="S38" s="1372"/>
      <c r="T38" s="1372"/>
      <c r="U38" s="1372"/>
      <c r="V38" s="1372"/>
      <c r="W38" s="1372"/>
      <c r="X38" s="1372"/>
      <c r="Y38" s="1372"/>
      <c r="Z38" s="1373"/>
    </row>
    <row r="39" spans="1:37" ht="13.5" thickBot="1">
      <c r="A39" s="2853"/>
      <c r="B39" s="2871" t="s">
        <v>2932</v>
      </c>
      <c r="C39" s="229" t="e">
        <f>ROUND(C5*C19*C20*C24*F39,0)</f>
        <v>#DIV/0!</v>
      </c>
      <c r="D39" s="2855"/>
      <c r="E39" s="229" t="e">
        <f t="shared" si="7"/>
        <v>#DIV/0!</v>
      </c>
      <c r="F39" s="934">
        <f>SUMIF(修正!A45:A56,G2,修正!H45:H56)</f>
        <v>0</v>
      </c>
      <c r="G39" s="229" t="e">
        <f>ROUND(IF(E2="工业",C39*$M$39,C39*$M$38),0)</f>
        <v>#DIV/0!</v>
      </c>
      <c r="H39" s="229">
        <f t="shared" si="8"/>
        <v>0</v>
      </c>
      <c r="I39" s="229" t="e">
        <f t="shared" si="9"/>
        <v>#DIV/0!</v>
      </c>
      <c r="J39" s="2872"/>
      <c r="K39" s="1372"/>
      <c r="L39" s="2873" t="s">
        <v>2873</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2933</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2934</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2935</v>
      </c>
      <c r="B47" s="1809" t="s">
        <v>2936</v>
      </c>
      <c r="C47" s="1809" t="s">
        <v>2937</v>
      </c>
      <c r="D47" s="1809" t="s">
        <v>2938</v>
      </c>
      <c r="E47" s="818" t="s">
        <v>2939</v>
      </c>
      <c r="F47" s="2883" t="s">
        <v>2940</v>
      </c>
      <c r="G47" s="1809" t="s">
        <v>754</v>
      </c>
      <c r="H47" s="2884" t="s">
        <v>2941</v>
      </c>
      <c r="I47" s="1809"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82" t="s">
        <v>2943</v>
      </c>
      <c r="B48" s="2885">
        <f>估价对象房地状况!C4</f>
        <v>0</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2" t="s">
        <v>2944</v>
      </c>
      <c r="B49" s="2886">
        <f>估价对象房地状况!C18</f>
        <v>0</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2945</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2946</v>
      </c>
      <c r="B51" s="2887" t="s">
        <v>2947</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2948</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2949</v>
      </c>
      <c r="B53" s="2888" t="s">
        <v>2950</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9" t="s">
        <v>2951</v>
      </c>
      <c r="B54" s="1725">
        <f>估价对象房地状况!C21</f>
        <v>0</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9" t="s">
        <v>2952</v>
      </c>
      <c r="B55" s="2886">
        <f>估价对象房地状况!C22</f>
        <v>0</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0" t="s">
        <v>2953</v>
      </c>
      <c r="B56" s="2891">
        <f>估价对象房地状况!C20</f>
        <v>0</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2954</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2935</v>
      </c>
      <c r="B58" s="1809"/>
      <c r="C58" s="1809" t="s">
        <v>2937</v>
      </c>
      <c r="D58" s="1809" t="s">
        <v>2938</v>
      </c>
      <c r="E58" s="818" t="s">
        <v>2939</v>
      </c>
      <c r="F58" s="2883" t="s">
        <v>2955</v>
      </c>
      <c r="G58" s="1809" t="s">
        <v>754</v>
      </c>
      <c r="H58" s="2884" t="s">
        <v>2941</v>
      </c>
      <c r="I58" s="1809"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82" t="s">
        <v>2956</v>
      </c>
      <c r="B59" s="2885">
        <f>估价对象房地状况!C17</f>
        <v>0</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2" t="s">
        <v>2944</v>
      </c>
      <c r="B60" s="2886">
        <f>估价对象房地状况!C18</f>
        <v>0</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2945</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2946</v>
      </c>
      <c r="B62" s="2887" t="s">
        <v>2947</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2948</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2949</v>
      </c>
      <c r="B64" s="2888" t="s">
        <v>2950</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2" t="s">
        <v>2951</v>
      </c>
      <c r="B65" s="1725">
        <f>估价对象房地状况!C21</f>
        <v>0</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2" t="s">
        <v>2952</v>
      </c>
      <c r="B66" s="1725">
        <f>估价对象房地状况!C22</f>
        <v>0</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0" t="s">
        <v>2953</v>
      </c>
      <c r="B67" s="2892">
        <f>估价对象房地状况!C20</f>
        <v>0</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2957</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2935</v>
      </c>
      <c r="B69" s="1809"/>
      <c r="C69" s="1809" t="s">
        <v>2937</v>
      </c>
      <c r="D69" s="1809" t="s">
        <v>2938</v>
      </c>
      <c r="E69" s="818" t="s">
        <v>2939</v>
      </c>
      <c r="F69" s="2883" t="s">
        <v>2955</v>
      </c>
      <c r="G69" s="1809" t="s">
        <v>754</v>
      </c>
      <c r="H69" s="2884" t="s">
        <v>2941</v>
      </c>
      <c r="I69" s="1809"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82" t="s">
        <v>2958</v>
      </c>
      <c r="B70" s="2885">
        <f>估价对象房地状况!C15</f>
        <v>0</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2" t="s">
        <v>2944</v>
      </c>
      <c r="B71" s="2886">
        <f>估价对象房地状况!C18</f>
        <v>0</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2945</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2959</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2" t="s">
        <v>2951</v>
      </c>
      <c r="B74" s="1725">
        <f>估价对象房地状况!C21</f>
        <v>0</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2" t="s">
        <v>2952</v>
      </c>
      <c r="B75" s="1725">
        <f>估价对象房地状况!C22</f>
        <v>0</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2949</v>
      </c>
      <c r="B76" s="2888" t="s">
        <v>2950</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24">
      <c r="A77" s="2882" t="s">
        <v>2953</v>
      </c>
      <c r="B77" s="2885">
        <f>估价对象房地状况!C20</f>
        <v>0</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2960</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2961</v>
      </c>
      <c r="B79" s="2879">
        <f>1+E81</f>
        <v>1</v>
      </c>
      <c r="C79" s="813"/>
      <c r="D79" s="813"/>
      <c r="E79" s="814"/>
      <c r="F79" s="2881"/>
      <c r="G79" s="6"/>
      <c r="H79" s="6"/>
      <c r="I79" s="6"/>
      <c r="J79" s="7"/>
      <c r="K79" s="7"/>
      <c r="L79" s="7"/>
      <c r="M79" s="7"/>
      <c r="N79" s="7"/>
      <c r="Z79" s="2724"/>
      <c r="AA79" s="2800"/>
      <c r="AG79" s="1374"/>
      <c r="AK79" s="2800"/>
    </row>
    <row r="80" spans="1:37" ht="24.75">
      <c r="A80" s="2882" t="s">
        <v>2935</v>
      </c>
      <c r="B80" s="1809"/>
      <c r="C80" s="1809" t="s">
        <v>2937</v>
      </c>
      <c r="D80" s="1809" t="s">
        <v>2938</v>
      </c>
      <c r="E80" s="818" t="s">
        <v>2939</v>
      </c>
      <c r="F80" s="2883" t="s">
        <v>2955</v>
      </c>
      <c r="G80" s="1809" t="s">
        <v>754</v>
      </c>
      <c r="H80" s="2884" t="s">
        <v>2941</v>
      </c>
      <c r="I80" s="1809" t="s">
        <v>2942</v>
      </c>
      <c r="J80" s="603" t="s">
        <v>2588</v>
      </c>
      <c r="K80" s="603" t="s">
        <v>2589</v>
      </c>
      <c r="L80" s="603" t="s">
        <v>2590</v>
      </c>
      <c r="M80" s="603" t="s">
        <v>2591</v>
      </c>
      <c r="N80" s="603" t="s">
        <v>2592</v>
      </c>
      <c r="Z80" s="2724"/>
      <c r="AA80" s="2800"/>
      <c r="AG80" s="1374"/>
      <c r="AK80" s="2800"/>
    </row>
    <row r="81" spans="1:37" ht="24">
      <c r="A81" s="2882" t="s">
        <v>2962</v>
      </c>
      <c r="B81" s="2886">
        <f>估价对象房地状况!G15</f>
        <v>0</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14.25">
      <c r="A82" s="2882" t="s">
        <v>2944</v>
      </c>
      <c r="B82" s="2886">
        <f>估价对象房地状况!G16</f>
        <v>0</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2945</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2959</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4">
      <c r="A85" s="2882" t="s">
        <v>2951</v>
      </c>
      <c r="B85" s="1725">
        <f>估价对象房地状况!G19</f>
        <v>0</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4">
      <c r="A86" s="2882" t="s">
        <v>2952</v>
      </c>
      <c r="B86" s="1725">
        <f>估价对象房地状况!G20</f>
        <v>0</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2949</v>
      </c>
      <c r="B87" s="2888" t="s">
        <v>2963</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15" thickBot="1">
      <c r="A88" s="2890" t="s">
        <v>2964</v>
      </c>
      <c r="B88" s="2895">
        <f>估价对象房地状况!G18</f>
        <v>0</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4" t="s">
        <v>2965</v>
      </c>
      <c r="B90" s="3274"/>
      <c r="C90" s="3274"/>
      <c r="D90" s="3274"/>
      <c r="E90" s="3274"/>
      <c r="F90" s="3274"/>
      <c r="G90" s="3274"/>
      <c r="H90" s="3274"/>
      <c r="I90" s="3274"/>
      <c r="J90" s="3274"/>
      <c r="K90" s="2896"/>
      <c r="L90" s="2896"/>
      <c r="M90" s="2896"/>
      <c r="N90" s="2896"/>
    </row>
    <row r="91" spans="1:37">
      <c r="A91" s="3276" t="s">
        <v>2966</v>
      </c>
      <c r="B91" s="3276" t="s">
        <v>2967</v>
      </c>
      <c r="C91" s="2850" t="s">
        <v>2968</v>
      </c>
      <c r="D91" s="2851"/>
      <c r="E91" s="2851"/>
      <c r="F91" s="2851"/>
      <c r="G91" s="2851"/>
      <c r="H91" s="2851"/>
      <c r="I91" s="2851"/>
      <c r="J91" s="2897"/>
      <c r="K91" s="2898"/>
      <c r="L91" s="2898"/>
      <c r="M91" s="2898"/>
      <c r="N91" s="2898"/>
    </row>
    <row r="92" spans="1:37">
      <c r="A92" s="3276"/>
      <c r="B92" s="3276"/>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77" t="s">
        <v>2969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8"/>
      <c r="B99" s="2899" t="s">
        <v>2848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7" t="s">
        <v>2970</v>
      </c>
      <c r="B101" s="2903" t="s">
        <v>2971</v>
      </c>
      <c r="C101" s="2904">
        <f>$G$3</f>
        <v>3.32</v>
      </c>
      <c r="D101" s="2904">
        <f t="shared" ref="D101:N101" si="31">$G$3</f>
        <v>3.32</v>
      </c>
      <c r="E101" s="2904">
        <f t="shared" si="31"/>
        <v>3.32</v>
      </c>
      <c r="F101" s="2904">
        <f t="shared" si="31"/>
        <v>3.32</v>
      </c>
      <c r="G101" s="2904">
        <f t="shared" si="31"/>
        <v>3.32</v>
      </c>
      <c r="H101" s="2904">
        <f t="shared" si="31"/>
        <v>3.32</v>
      </c>
      <c r="I101" s="2904">
        <f t="shared" si="31"/>
        <v>3.32</v>
      </c>
      <c r="J101" s="2904">
        <f t="shared" si="31"/>
        <v>3.32</v>
      </c>
      <c r="K101" s="2904">
        <f t="shared" si="31"/>
        <v>3.32</v>
      </c>
      <c r="L101" s="2904">
        <f t="shared" si="31"/>
        <v>3.32</v>
      </c>
      <c r="M101" s="2904">
        <f t="shared" si="31"/>
        <v>3.32</v>
      </c>
      <c r="N101" s="2904">
        <f t="shared" si="31"/>
        <v>3.32</v>
      </c>
    </row>
    <row r="102" spans="1:14">
      <c r="A102" s="3278"/>
      <c r="B102" s="2899">
        <v>1</v>
      </c>
      <c r="C102" s="2900">
        <f>1.9362/C101</f>
        <v>0.58319277108433731</v>
      </c>
      <c r="D102" s="2900">
        <f>1.9362/D101</f>
        <v>0.58319277108433731</v>
      </c>
      <c r="E102" s="2900">
        <f>1.8629/E101</f>
        <v>0.5611144578313253</v>
      </c>
      <c r="F102" s="2900">
        <f>1.8629/F101</f>
        <v>0.5611144578313253</v>
      </c>
      <c r="G102" s="2900">
        <f>1.8629/G101</f>
        <v>0.5611144578313253</v>
      </c>
      <c r="H102" s="2900">
        <f>1.8629/H101</f>
        <v>0.5611144578313253</v>
      </c>
      <c r="I102" s="2900">
        <f>1.8629/I101</f>
        <v>0.5611144578313253</v>
      </c>
      <c r="J102" s="2900">
        <f>1.942/J101</f>
        <v>0.58493975903614459</v>
      </c>
      <c r="K102" s="2900">
        <f>1.942/K101</f>
        <v>0.58493975903614459</v>
      </c>
      <c r="L102" s="2900">
        <f>1.942/L101</f>
        <v>0.58493975903614459</v>
      </c>
      <c r="M102" s="2900">
        <f>1.942/M101</f>
        <v>0.58493975903614459</v>
      </c>
      <c r="N102" s="2900">
        <f>1.942/N101</f>
        <v>0.58493975903614459</v>
      </c>
    </row>
    <row r="103" spans="1:14">
      <c r="A103" s="3278"/>
      <c r="B103" s="2899">
        <v>2</v>
      </c>
      <c r="C103" s="2900">
        <f>1.4198/C101</f>
        <v>0.42765060240963854</v>
      </c>
      <c r="D103" s="2900">
        <f>1.4198/D101</f>
        <v>0.42765060240963854</v>
      </c>
      <c r="E103" s="2900">
        <f>1.3372/E101</f>
        <v>0.40277108433734943</v>
      </c>
      <c r="F103" s="2900">
        <f>1.3372/F101</f>
        <v>0.40277108433734943</v>
      </c>
      <c r="G103" s="2900">
        <f>1.3372/G101</f>
        <v>0.40277108433734943</v>
      </c>
      <c r="H103" s="2900">
        <f>1.3372/H101</f>
        <v>0.40277108433734943</v>
      </c>
      <c r="I103" s="2900">
        <f>1.3372/I101</f>
        <v>0.40277108433734943</v>
      </c>
      <c r="J103" s="2900">
        <f>1.2799/J101</f>
        <v>0.38551204819277113</v>
      </c>
      <c r="K103" s="2900">
        <f>1.2799/K101</f>
        <v>0.38551204819277113</v>
      </c>
      <c r="L103" s="2900">
        <f>1.2799/L101</f>
        <v>0.38551204819277113</v>
      </c>
      <c r="M103" s="2900">
        <f>1.2799/M101</f>
        <v>0.38551204819277113</v>
      </c>
      <c r="N103" s="2900">
        <f>1.2799/N101</f>
        <v>0.38551204819277113</v>
      </c>
    </row>
    <row r="104" spans="1:14">
      <c r="A104" s="3278"/>
      <c r="B104" s="2899">
        <v>3</v>
      </c>
      <c r="C104" s="2900">
        <f>1.1594/C101</f>
        <v>0.34921686746987951</v>
      </c>
      <c r="D104" s="2900">
        <f>1.1594/D101</f>
        <v>0.34921686746987951</v>
      </c>
      <c r="E104" s="2900">
        <f>1.0788/E101</f>
        <v>0.32493975903614458</v>
      </c>
      <c r="F104" s="2900">
        <f>1.0788/F101</f>
        <v>0.32493975903614458</v>
      </c>
      <c r="G104" s="2900">
        <f>1.0788/G101</f>
        <v>0.32493975903614458</v>
      </c>
      <c r="H104" s="2900">
        <f>1.0788/H101</f>
        <v>0.32493975903614458</v>
      </c>
      <c r="I104" s="2900">
        <f>1.0788/I101</f>
        <v>0.32493975903614458</v>
      </c>
      <c r="J104" s="2900">
        <f>1.0072/J101</f>
        <v>0.30337349397590369</v>
      </c>
      <c r="K104" s="2900">
        <f>1.0072/K101</f>
        <v>0.30337349397590369</v>
      </c>
      <c r="L104" s="2900">
        <f>1.0072/L101</f>
        <v>0.30337349397590369</v>
      </c>
      <c r="M104" s="2900">
        <f>1.0072/M101</f>
        <v>0.30337349397590369</v>
      </c>
      <c r="N104" s="2900">
        <f>1.0072/N101</f>
        <v>0.30337349397590369</v>
      </c>
    </row>
    <row r="105" spans="1:14">
      <c r="A105" s="3278"/>
      <c r="B105" s="2899">
        <v>4</v>
      </c>
      <c r="C105" s="2900">
        <f>0.9622/C101</f>
        <v>0.28981927710843375</v>
      </c>
      <c r="D105" s="2900">
        <f>0.9622/D101</f>
        <v>0.28981927710843375</v>
      </c>
      <c r="E105" s="2900">
        <f>0.8656/E101</f>
        <v>0.2607228915662651</v>
      </c>
      <c r="F105" s="2900">
        <f>0.8656/F101</f>
        <v>0.2607228915662651</v>
      </c>
      <c r="G105" s="2900">
        <f>0.8656/G101</f>
        <v>0.2607228915662651</v>
      </c>
      <c r="H105" s="2900">
        <f>0.8656/H101</f>
        <v>0.2607228915662651</v>
      </c>
      <c r="I105" s="2900">
        <f>0.8656/I101</f>
        <v>0.2607228915662651</v>
      </c>
      <c r="J105" s="2900">
        <f>0.7525/J101</f>
        <v>0.22665662650602408</v>
      </c>
      <c r="K105" s="2900">
        <f>0.7525/K101</f>
        <v>0.22665662650602408</v>
      </c>
      <c r="L105" s="2900">
        <f>0.7525/L101</f>
        <v>0.22665662650602408</v>
      </c>
      <c r="M105" s="2900">
        <f>0.7525/M101</f>
        <v>0.22665662650602408</v>
      </c>
      <c r="N105" s="2900">
        <f>0.7525/N101</f>
        <v>0.22665662650602408</v>
      </c>
    </row>
    <row r="106" spans="1:14">
      <c r="A106" s="3278"/>
      <c r="B106" s="2899">
        <v>5</v>
      </c>
      <c r="C106" s="2900">
        <f>0.8417/C101</f>
        <v>0.25352409638554219</v>
      </c>
      <c r="D106" s="2900">
        <f>0.8417/D101</f>
        <v>0.25352409638554219</v>
      </c>
      <c r="E106" s="2900">
        <f>0.7371/E101</f>
        <v>0.22201807228915663</v>
      </c>
      <c r="F106" s="2900">
        <f>0.7371/F101</f>
        <v>0.22201807228915663</v>
      </c>
      <c r="G106" s="2900">
        <f>0.7371/G101</f>
        <v>0.22201807228915663</v>
      </c>
      <c r="H106" s="2900">
        <f>0.7371/H101</f>
        <v>0.22201807228915663</v>
      </c>
      <c r="I106" s="2900">
        <f>0.7371/I101</f>
        <v>0.22201807228915663</v>
      </c>
      <c r="J106" s="2900">
        <f>0.5659/J101</f>
        <v>0.17045180722891565</v>
      </c>
      <c r="K106" s="2900">
        <f>0.5659/K101</f>
        <v>0.17045180722891565</v>
      </c>
      <c r="L106" s="2900">
        <f>0.5659/L101</f>
        <v>0.17045180722891565</v>
      </c>
      <c r="M106" s="2900">
        <f>0.5659/M101</f>
        <v>0.17045180722891565</v>
      </c>
      <c r="N106" s="2900">
        <f>0.5659/N101</f>
        <v>0.17045180722891565</v>
      </c>
    </row>
    <row r="107" spans="1:14">
      <c r="A107" s="3278"/>
      <c r="B107" s="2899">
        <v>6</v>
      </c>
      <c r="C107" s="2900">
        <f>0.7608/C101</f>
        <v>0.22915662650602411</v>
      </c>
      <c r="D107" s="2900">
        <f>0.7608/D101</f>
        <v>0.22915662650602411</v>
      </c>
      <c r="E107" s="2900">
        <f>0.6482/E101</f>
        <v>0.1952409638554217</v>
      </c>
      <c r="F107" s="2900">
        <f>0.6482/F101</f>
        <v>0.1952409638554217</v>
      </c>
      <c r="G107" s="2900">
        <f>0.6482/G101</f>
        <v>0.1952409638554217</v>
      </c>
      <c r="H107" s="2900">
        <f>0.6482/H101</f>
        <v>0.1952409638554217</v>
      </c>
      <c r="I107" s="2900">
        <f>0.6482/I101</f>
        <v>0.1952409638554217</v>
      </c>
      <c r="J107" s="2900">
        <f>0.4525/J101</f>
        <v>0.13629518072289157</v>
      </c>
      <c r="K107" s="2900">
        <f>0.4525/K101</f>
        <v>0.13629518072289157</v>
      </c>
      <c r="L107" s="2900">
        <f>0.4525/L101</f>
        <v>0.13629518072289157</v>
      </c>
      <c r="M107" s="2900">
        <f>0.4525/M101</f>
        <v>0.13629518072289157</v>
      </c>
      <c r="N107" s="2900">
        <f>0.4525/N101</f>
        <v>0.13629518072289157</v>
      </c>
    </row>
    <row r="108" spans="1:14">
      <c r="A108" s="3278"/>
      <c r="B108" s="3106" t="s">
        <v>2972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9"/>
      <c r="B109" s="3107"/>
      <c r="C109" s="2902">
        <f>(-0.163*(C108^2)-0.59*C108+7617)*(10^(-4))/C101</f>
        <v>0.22942771084337352</v>
      </c>
      <c r="D109" s="2902">
        <f>(-0.163*(D108^2)-0.59*D108+7617)*(10^(-4))/D101</f>
        <v>0.22942771084337352</v>
      </c>
      <c r="E109" s="2902">
        <f>(-0.161*(E108^2)-7.509*E108+6533)*(10^(-4))/E101</f>
        <v>0.19677710843373494</v>
      </c>
      <c r="F109" s="2902">
        <f>(-0.161*(F108^2)-7.509*F108+6533)*(10^(-4))/F101</f>
        <v>0.19677710843373494</v>
      </c>
      <c r="G109" s="2902">
        <f>(-0.161*(G108^2)-7.509*G108+6533)*(10^(-4))/G101</f>
        <v>0.19677710843373494</v>
      </c>
      <c r="H109" s="2902">
        <f>(-0.161*(H108^2)-7.509*H108+6533)*(10^(-4))/H101</f>
        <v>0.19677710843373494</v>
      </c>
      <c r="I109" s="2902">
        <f>(-0.161*(I108^2)-7.509*I108+6533)*(10^(-4))/I101</f>
        <v>0.19677710843373494</v>
      </c>
      <c r="J109" s="2902">
        <f>(-0.214*(J108^2)-21.991*J108+4665)*(10^(-4))/J101</f>
        <v>0.14051204819277111</v>
      </c>
      <c r="K109" s="2902">
        <f>(-0.214*(K108^2)-21.991*K108+4665)*(10^(-4))/K101</f>
        <v>0.14051204819277111</v>
      </c>
      <c r="L109" s="2902">
        <f>(-0.214*(L108^2)-21.991*L108+4665)*(10^(-4))/L101</f>
        <v>0.14051204819277111</v>
      </c>
      <c r="M109" s="2902">
        <f>(-0.214*(M108^2)-21.991*M108+4665)*(10^(-4))/M101</f>
        <v>0.14051204819277111</v>
      </c>
      <c r="N109" s="2902">
        <f>(-0.214*(N108^2)-21.991*N108+4665)*(10^(-4))/N101</f>
        <v>0.14051204819277111</v>
      </c>
    </row>
    <row r="110" spans="1:14">
      <c r="A110" s="3275" t="s">
        <v>2973</v>
      </c>
      <c r="B110" s="3275"/>
      <c r="C110" s="3275"/>
      <c r="D110" s="3275"/>
      <c r="E110" s="3275"/>
      <c r="F110" s="3275"/>
      <c r="G110" s="3275"/>
      <c r="H110" s="3275"/>
      <c r="I110" s="3275"/>
      <c r="J110" s="3275"/>
      <c r="K110" s="2905"/>
      <c r="L110" s="2905"/>
      <c r="M110" s="2905"/>
      <c r="N110" s="2905"/>
    </row>
    <row r="112" spans="1:14" ht="13.5" thickBot="1"/>
    <row r="113" spans="1:13" ht="25.5" thickBot="1">
      <c r="A113" s="902" t="s">
        <v>2974</v>
      </c>
      <c r="B113" s="1289">
        <f>G3</f>
        <v>3.32</v>
      </c>
      <c r="C113" s="903" t="s">
        <v>2975</v>
      </c>
      <c r="D113" s="904">
        <f>SUMPRODUCT((A115:A118=F113)*(B114:M114=H113)*B115:M118)</f>
        <v>0</v>
      </c>
      <c r="E113" s="2728" t="s">
        <v>2805</v>
      </c>
      <c r="F113" s="2907">
        <f>E2</f>
        <v>0</v>
      </c>
      <c r="G113" s="2728" t="s">
        <v>2806</v>
      </c>
      <c r="H113" s="2907">
        <f>G2</f>
        <v>0</v>
      </c>
      <c r="I113" s="2728"/>
      <c r="J113" s="2908"/>
      <c r="K113" s="2908"/>
      <c r="L113" s="2908"/>
      <c r="M113" s="2908"/>
    </row>
    <row r="114" spans="1:13">
      <c r="A114" s="907"/>
      <c r="B114" s="2909" t="s">
        <v>2976</v>
      </c>
      <c r="C114" s="2909" t="s">
        <v>2977</v>
      </c>
      <c r="D114" s="2909" t="s">
        <v>2978</v>
      </c>
      <c r="E114" s="2910" t="s">
        <v>2979</v>
      </c>
      <c r="F114" s="2910" t="s">
        <v>2980</v>
      </c>
      <c r="G114" s="2910" t="s">
        <v>2981</v>
      </c>
      <c r="H114" s="2911" t="s">
        <v>2982</v>
      </c>
      <c r="I114" s="2911" t="s">
        <v>2983</v>
      </c>
      <c r="J114" s="2912" t="s">
        <v>2984</v>
      </c>
      <c r="K114" s="2912" t="s">
        <v>2985</v>
      </c>
      <c r="L114" s="2912" t="s">
        <v>2986</v>
      </c>
      <c r="M114" s="2913" t="s">
        <v>2987</v>
      </c>
    </row>
    <row r="115" spans="1:13">
      <c r="A115" s="908" t="s">
        <v>2870</v>
      </c>
      <c r="B115" s="909">
        <f>ROUND(0.9335-0.0094*B113,4)</f>
        <v>0.90229999999999999</v>
      </c>
      <c r="C115" s="909">
        <f>B115</f>
        <v>0.90229999999999999</v>
      </c>
      <c r="D115" s="909">
        <f>ROUND(0.8331-0.0109*B113,4)</f>
        <v>0.79690000000000005</v>
      </c>
      <c r="E115" s="909">
        <f>D115</f>
        <v>0.79690000000000005</v>
      </c>
      <c r="F115" s="909">
        <f>E115</f>
        <v>0.79690000000000005</v>
      </c>
      <c r="G115" s="909">
        <f>F115</f>
        <v>0.79690000000000005</v>
      </c>
      <c r="H115" s="909">
        <f>G115</f>
        <v>0.79690000000000005</v>
      </c>
      <c r="I115" s="909">
        <f>ROUND(0.689-0.0155*B113,4)</f>
        <v>0.63749999999999996</v>
      </c>
      <c r="J115" s="909">
        <f t="shared" ref="J115:M118" si="33">I115</f>
        <v>0.63749999999999996</v>
      </c>
      <c r="K115" s="909">
        <f t="shared" si="33"/>
        <v>0.63749999999999996</v>
      </c>
      <c r="L115" s="909">
        <f t="shared" si="33"/>
        <v>0.63749999999999996</v>
      </c>
      <c r="M115" s="910">
        <f t="shared" si="33"/>
        <v>0.63749999999999996</v>
      </c>
    </row>
    <row r="116" spans="1:13">
      <c r="A116" s="908" t="s">
        <v>2871</v>
      </c>
      <c r="B116" s="909">
        <f>ROUND(0.949-0.012*B113,4)</f>
        <v>0.90920000000000001</v>
      </c>
      <c r="C116" s="909">
        <f>B116</f>
        <v>0.90920000000000001</v>
      </c>
      <c r="D116" s="909">
        <f>ROUND(0.8567-0.013*B113,4)</f>
        <v>0.8135</v>
      </c>
      <c r="E116" s="909">
        <f t="shared" ref="E116:H117" si="34">D116</f>
        <v>0.8135</v>
      </c>
      <c r="F116" s="909">
        <f t="shared" si="34"/>
        <v>0.8135</v>
      </c>
      <c r="G116" s="909">
        <f t="shared" si="34"/>
        <v>0.8135</v>
      </c>
      <c r="H116" s="909">
        <f t="shared" si="34"/>
        <v>0.8135</v>
      </c>
      <c r="I116" s="909">
        <f>ROUND(0.7694-0.014*B113,4)</f>
        <v>0.72289999999999999</v>
      </c>
      <c r="J116" s="909">
        <f t="shared" si="33"/>
        <v>0.72289999999999999</v>
      </c>
      <c r="K116" s="909">
        <f t="shared" si="33"/>
        <v>0.72289999999999999</v>
      </c>
      <c r="L116" s="909">
        <f t="shared" si="33"/>
        <v>0.72289999999999999</v>
      </c>
      <c r="M116" s="910">
        <f t="shared" si="33"/>
        <v>0.72289999999999999</v>
      </c>
    </row>
    <row r="117" spans="1:13">
      <c r="A117" s="908" t="s">
        <v>2872</v>
      </c>
      <c r="B117" s="909">
        <f>ROUND(0.8808-0.006*B113,4)</f>
        <v>0.8609</v>
      </c>
      <c r="C117" s="909">
        <f>B117</f>
        <v>0.8609</v>
      </c>
      <c r="D117" s="909">
        <f>ROUND(0.8748-0.008*B113,4)</f>
        <v>0.84819999999999995</v>
      </c>
      <c r="E117" s="909">
        <f t="shared" si="34"/>
        <v>0.84819999999999995</v>
      </c>
      <c r="F117" s="909">
        <f t="shared" si="34"/>
        <v>0.84819999999999995</v>
      </c>
      <c r="G117" s="909">
        <f t="shared" si="34"/>
        <v>0.84819999999999995</v>
      </c>
      <c r="H117" s="909">
        <f t="shared" si="34"/>
        <v>0.84819999999999995</v>
      </c>
      <c r="I117" s="909">
        <f>ROUND(0.7412-0.0095*B113,4)</f>
        <v>0.7097</v>
      </c>
      <c r="J117" s="909">
        <f t="shared" si="33"/>
        <v>0.7097</v>
      </c>
      <c r="K117" s="909">
        <f t="shared" si="33"/>
        <v>0.7097</v>
      </c>
      <c r="L117" s="909">
        <f t="shared" si="33"/>
        <v>0.7097</v>
      </c>
      <c r="M117" s="910">
        <f t="shared" si="33"/>
        <v>0.7097</v>
      </c>
    </row>
    <row r="118" spans="1:13" ht="13.5" thickBot="1">
      <c r="A118" s="713" t="s">
        <v>2873</v>
      </c>
      <c r="B118" s="911">
        <f>ROUND(0.7275-0.01*B113,4)</f>
        <v>0.69430000000000003</v>
      </c>
      <c r="C118" s="911">
        <f>B118</f>
        <v>0.69430000000000003</v>
      </c>
      <c r="D118" s="911">
        <f>ROUND(0.7043-0.012*B113,4)</f>
        <v>0.66449999999999998</v>
      </c>
      <c r="E118" s="911">
        <f>D118</f>
        <v>0.66449999999999998</v>
      </c>
      <c r="F118" s="911">
        <f>E118</f>
        <v>0.66449999999999998</v>
      </c>
      <c r="G118" s="911">
        <f>ROUND(0.6299-0.0122*B113,4)</f>
        <v>0.58940000000000003</v>
      </c>
      <c r="H118" s="911">
        <f>G118</f>
        <v>0.58940000000000003</v>
      </c>
      <c r="I118" s="911">
        <f>ROUND(0.5667-0.0136*B113,4)</f>
        <v>0.52149999999999996</v>
      </c>
      <c r="J118" s="911">
        <f t="shared" si="33"/>
        <v>0.52149999999999996</v>
      </c>
      <c r="K118" s="911">
        <f t="shared" si="33"/>
        <v>0.52149999999999996</v>
      </c>
      <c r="L118" s="911">
        <f t="shared" si="33"/>
        <v>0.52149999999999996</v>
      </c>
      <c r="M118" s="912">
        <f t="shared" si="33"/>
        <v>0.52149999999999996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2" t="s">
        <v>183</v>
      </c>
      <c r="B18" s="881" t="s">
        <v>560</v>
      </c>
      <c r="C18" s="882" t="s">
        <v>561</v>
      </c>
      <c r="D18" s="883"/>
      <c r="E18" s="881">
        <v>1</v>
      </c>
      <c r="F18" s="884" t="s">
        <v>562</v>
      </c>
      <c r="G18" s="885"/>
      <c r="H18" s="877"/>
      <c r="I18" s="877"/>
    </row>
    <row r="19" spans="1:9" s="886" customFormat="1" ht="19.5" customHeight="1">
      <c r="A19" s="3292"/>
      <c r="B19" s="3292" t="s">
        <v>563</v>
      </c>
      <c r="C19" s="882" t="s">
        <v>564</v>
      </c>
      <c r="D19" s="883"/>
      <c r="E19" s="881">
        <v>0.9</v>
      </c>
      <c r="F19" s="884" t="s">
        <v>565</v>
      </c>
      <c r="G19" s="885"/>
      <c r="H19" s="877"/>
      <c r="I19" s="877"/>
    </row>
    <row r="20" spans="1:9" s="886" customFormat="1" ht="19.5" customHeight="1">
      <c r="A20" s="3292"/>
      <c r="B20" s="3292"/>
      <c r="C20" s="882" t="s">
        <v>566</v>
      </c>
      <c r="D20" s="883"/>
      <c r="E20" s="881">
        <v>1.1000000000000001</v>
      </c>
      <c r="F20" s="884" t="s">
        <v>567</v>
      </c>
      <c r="G20" s="885"/>
      <c r="H20" s="877"/>
      <c r="I20" s="877"/>
    </row>
    <row r="21" spans="1:9" s="886" customFormat="1" ht="19.5" customHeight="1">
      <c r="A21" s="3292"/>
      <c r="B21" s="3292"/>
      <c r="C21" s="882" t="s">
        <v>568</v>
      </c>
      <c r="D21" s="883"/>
      <c r="E21" s="881">
        <v>0.8</v>
      </c>
      <c r="F21" s="884" t="s">
        <v>569</v>
      </c>
      <c r="G21" s="885"/>
      <c r="H21" s="877"/>
      <c r="I21" s="877"/>
    </row>
    <row r="22" spans="1:9" s="886" customFormat="1" ht="19.5" customHeight="1">
      <c r="A22" s="3292"/>
      <c r="B22" s="3292"/>
      <c r="C22" s="882" t="s">
        <v>570</v>
      </c>
      <c r="D22" s="883"/>
      <c r="E22" s="881">
        <v>0.5</v>
      </c>
      <c r="F22" s="884"/>
      <c r="G22" s="885"/>
      <c r="H22" s="877"/>
      <c r="I22" s="877"/>
    </row>
    <row r="23" spans="1:9" s="886" customFormat="1" ht="19.5" customHeight="1">
      <c r="A23" s="3292" t="s">
        <v>184</v>
      </c>
      <c r="B23" s="881" t="s">
        <v>560</v>
      </c>
      <c r="C23" s="882" t="s">
        <v>571</v>
      </c>
      <c r="D23" s="883"/>
      <c r="E23" s="881">
        <v>1</v>
      </c>
      <c r="F23" s="884" t="s">
        <v>572</v>
      </c>
      <c r="G23" s="885"/>
      <c r="H23" s="877"/>
      <c r="I23" s="877"/>
    </row>
    <row r="24" spans="1:9" s="886" customFormat="1" ht="19.5" customHeight="1">
      <c r="A24" s="3292"/>
      <c r="B24" s="3292" t="s">
        <v>563</v>
      </c>
      <c r="C24" s="882" t="s">
        <v>573</v>
      </c>
      <c r="D24" s="883"/>
      <c r="E24" s="881">
        <v>0.5</v>
      </c>
      <c r="F24" s="884"/>
      <c r="G24" s="885"/>
      <c r="H24" s="877"/>
      <c r="I24" s="877"/>
    </row>
    <row r="25" spans="1:9" s="886" customFormat="1" ht="19.5" customHeight="1">
      <c r="A25" s="3292"/>
      <c r="B25" s="3292"/>
      <c r="C25" s="882" t="s">
        <v>574</v>
      </c>
      <c r="D25" s="883"/>
      <c r="E25" s="881">
        <v>1.1000000000000001</v>
      </c>
      <c r="F25" s="884"/>
      <c r="G25" s="885"/>
      <c r="H25" s="877"/>
      <c r="I25" s="877"/>
    </row>
    <row r="26" spans="1:9" s="886" customFormat="1" ht="19.5" customHeight="1">
      <c r="A26" s="3292"/>
      <c r="B26" s="3292"/>
      <c r="C26" s="882" t="s">
        <v>575</v>
      </c>
      <c r="D26" s="883"/>
      <c r="E26" s="881">
        <v>1.1000000000000001</v>
      </c>
      <c r="F26" s="884"/>
      <c r="G26" s="885"/>
      <c r="H26" s="877"/>
      <c r="I26" s="877"/>
    </row>
    <row r="27" spans="1:9" s="886" customFormat="1" ht="19.5" customHeight="1">
      <c r="A27" s="3292"/>
      <c r="B27" s="3292"/>
      <c r="C27" s="882" t="s">
        <v>576</v>
      </c>
      <c r="D27" s="883"/>
      <c r="E27" s="881">
        <v>0.9</v>
      </c>
      <c r="F27" s="884" t="s">
        <v>577</v>
      </c>
      <c r="G27" s="885"/>
      <c r="H27" s="877"/>
      <c r="I27" s="877"/>
    </row>
    <row r="28" spans="1:9" s="886" customFormat="1" ht="19.5" customHeight="1">
      <c r="A28" s="3292"/>
      <c r="B28" s="3292"/>
      <c r="C28" s="882" t="s">
        <v>578</v>
      </c>
      <c r="D28" s="883"/>
      <c r="E28" s="881">
        <v>0.9</v>
      </c>
      <c r="F28" s="884" t="s">
        <v>579</v>
      </c>
      <c r="G28" s="885"/>
      <c r="H28" s="877"/>
      <c r="I28" s="877"/>
    </row>
    <row r="29" spans="1:9" s="886" customFormat="1" ht="19.5" customHeight="1">
      <c r="A29" s="3292"/>
      <c r="B29" s="3292"/>
      <c r="C29" s="882" t="s">
        <v>580</v>
      </c>
      <c r="D29" s="883"/>
      <c r="E29" s="881">
        <v>0.9</v>
      </c>
      <c r="F29" s="884" t="s">
        <v>581</v>
      </c>
      <c r="G29" s="885"/>
      <c r="H29" s="877"/>
      <c r="I29" s="877"/>
    </row>
    <row r="30" spans="1:9" s="886" customFormat="1" ht="19.5" customHeight="1">
      <c r="A30" s="3292"/>
      <c r="B30" s="3292"/>
      <c r="C30" s="882" t="s">
        <v>582</v>
      </c>
      <c r="D30" s="883"/>
      <c r="E30" s="881">
        <v>0.9</v>
      </c>
      <c r="F30" s="884" t="s">
        <v>583</v>
      </c>
      <c r="G30" s="885"/>
      <c r="H30" s="877"/>
      <c r="I30" s="877"/>
    </row>
    <row r="31" spans="1:9" s="886" customFormat="1" ht="19.5" customHeight="1">
      <c r="A31" s="3292"/>
      <c r="B31" s="3292"/>
      <c r="C31" s="882" t="s">
        <v>584</v>
      </c>
      <c r="D31" s="883"/>
      <c r="E31" s="881">
        <v>0.8</v>
      </c>
      <c r="F31" s="884" t="s">
        <v>585</v>
      </c>
      <c r="G31" s="885"/>
      <c r="H31" s="877"/>
      <c r="I31" s="877"/>
    </row>
    <row r="32" spans="1:9" s="886" customFormat="1" ht="19.5" customHeight="1">
      <c r="A32" s="3292"/>
      <c r="B32" s="3292"/>
      <c r="C32" s="882" t="s">
        <v>586</v>
      </c>
      <c r="D32" s="883"/>
      <c r="E32" s="881">
        <v>0.8</v>
      </c>
      <c r="F32" s="884" t="s">
        <v>587</v>
      </c>
      <c r="G32" s="885"/>
      <c r="H32" s="877"/>
      <c r="I32" s="877"/>
    </row>
    <row r="33" spans="1:9" s="886" customFormat="1" ht="19.5" customHeight="1">
      <c r="A33" s="3292" t="s">
        <v>185</v>
      </c>
      <c r="B33" s="881" t="s">
        <v>560</v>
      </c>
      <c r="C33" s="882" t="s">
        <v>588</v>
      </c>
      <c r="D33" s="883"/>
      <c r="E33" s="881">
        <v>1</v>
      </c>
      <c r="F33" s="884" t="s">
        <v>589</v>
      </c>
      <c r="G33" s="885"/>
      <c r="H33" s="877"/>
      <c r="I33" s="877"/>
    </row>
    <row r="34" spans="1:9" s="886" customFormat="1" ht="19.5" customHeight="1">
      <c r="A34" s="3292"/>
      <c r="B34" s="881" t="s">
        <v>563</v>
      </c>
      <c r="C34" s="882" t="s">
        <v>590</v>
      </c>
      <c r="D34" s="883"/>
      <c r="E34" s="881">
        <v>1.5</v>
      </c>
      <c r="F34" s="884" t="s">
        <v>591</v>
      </c>
      <c r="G34" s="885"/>
      <c r="H34" s="877"/>
      <c r="I34" s="877"/>
    </row>
    <row r="35" spans="1:9" s="886" customFormat="1" ht="19.5" customHeight="1">
      <c r="A35" s="3292" t="s">
        <v>186</v>
      </c>
      <c r="B35" s="881" t="s">
        <v>560</v>
      </c>
      <c r="C35" s="882" t="s">
        <v>592</v>
      </c>
      <c r="D35" s="883"/>
      <c r="E35" s="881">
        <v>1</v>
      </c>
      <c r="F35" s="884" t="s">
        <v>593</v>
      </c>
      <c r="G35" s="885"/>
      <c r="H35" s="877"/>
      <c r="I35" s="877"/>
    </row>
    <row r="36" spans="1:9" s="886" customFormat="1" ht="19.5" customHeight="1">
      <c r="A36" s="3292"/>
      <c r="B36" s="3292" t="s">
        <v>563</v>
      </c>
      <c r="C36" s="882" t="s">
        <v>594</v>
      </c>
      <c r="D36" s="883"/>
      <c r="E36" s="881">
        <v>1</v>
      </c>
      <c r="F36" s="884" t="s">
        <v>595</v>
      </c>
      <c r="G36" s="885"/>
      <c r="H36" s="877"/>
      <c r="I36" s="877"/>
    </row>
    <row r="37" spans="1:9" s="886" customFormat="1" ht="19.5" customHeight="1">
      <c r="A37" s="3292"/>
      <c r="B37" s="3292"/>
      <c r="C37" s="882" t="s">
        <v>596</v>
      </c>
      <c r="D37" s="883"/>
      <c r="E37" s="881">
        <v>1.5</v>
      </c>
      <c r="F37" s="884" t="s">
        <v>597</v>
      </c>
      <c r="G37" s="885"/>
      <c r="H37" s="877"/>
      <c r="I37" s="877"/>
    </row>
    <row r="38" spans="1:9" s="886" customFormat="1" ht="19.5" customHeight="1">
      <c r="A38" s="3292"/>
      <c r="B38" s="3292"/>
      <c r="C38" s="882" t="s">
        <v>598</v>
      </c>
      <c r="D38" s="883"/>
      <c r="E38" s="881">
        <v>1</v>
      </c>
      <c r="F38" s="884" t="s">
        <v>599</v>
      </c>
      <c r="G38" s="885"/>
      <c r="H38" s="877"/>
      <c r="I38" s="877"/>
    </row>
    <row r="39" spans="1:9" s="886" customFormat="1" ht="19.5" customHeight="1">
      <c r="A39" s="3292"/>
      <c r="B39" s="329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2" t="s">
        <v>614</v>
      </c>
      <c r="C61" s="817" t="s">
        <v>615</v>
      </c>
      <c r="D61" s="817" t="s">
        <v>616</v>
      </c>
      <c r="E61" s="894">
        <v>0.5</v>
      </c>
      <c r="F61" s="881">
        <v>80</v>
      </c>
    </row>
    <row r="62" spans="1:8" s="877" customFormat="1" ht="24">
      <c r="A62" s="881">
        <v>2</v>
      </c>
      <c r="B62" s="3292"/>
      <c r="C62" s="817" t="s">
        <v>617</v>
      </c>
      <c r="D62" s="817" t="s">
        <v>618</v>
      </c>
      <c r="E62" s="894">
        <v>0.5</v>
      </c>
      <c r="F62" s="881">
        <v>80</v>
      </c>
    </row>
    <row r="63" spans="1:8" s="877" customFormat="1" ht="36">
      <c r="A63" s="881">
        <v>3</v>
      </c>
      <c r="B63" s="3292"/>
      <c r="C63" s="817" t="s">
        <v>619</v>
      </c>
      <c r="D63" s="817" t="s">
        <v>620</v>
      </c>
      <c r="E63" s="894">
        <v>0.5</v>
      </c>
      <c r="F63" s="881">
        <v>80</v>
      </c>
    </row>
    <row r="64" spans="1:8" s="877" customFormat="1" ht="36">
      <c r="A64" s="881">
        <v>4</v>
      </c>
      <c r="B64" s="3292"/>
      <c r="C64" s="817" t="s">
        <v>621</v>
      </c>
      <c r="D64" s="817" t="s">
        <v>622</v>
      </c>
      <c r="E64" s="894">
        <v>0.4</v>
      </c>
      <c r="F64" s="881">
        <v>60</v>
      </c>
    </row>
    <row r="65" spans="1:6" s="877" customFormat="1" ht="36">
      <c r="A65" s="881">
        <v>5</v>
      </c>
      <c r="B65" s="3292"/>
      <c r="C65" s="817" t="s">
        <v>623</v>
      </c>
      <c r="D65" s="817" t="s">
        <v>624</v>
      </c>
      <c r="E65" s="894">
        <v>0.2</v>
      </c>
      <c r="F65" s="881">
        <v>30</v>
      </c>
    </row>
    <row r="66" spans="1:6" s="877" customFormat="1" ht="36">
      <c r="A66" s="881">
        <v>6</v>
      </c>
      <c r="B66" s="3292"/>
      <c r="C66" s="817" t="s">
        <v>625</v>
      </c>
      <c r="D66" s="817" t="s">
        <v>626</v>
      </c>
      <c r="E66" s="894">
        <v>0.3</v>
      </c>
      <c r="F66" s="881">
        <v>50</v>
      </c>
    </row>
    <row r="67" spans="1:6" s="877" customFormat="1" ht="36">
      <c r="A67" s="881">
        <v>7</v>
      </c>
      <c r="B67" s="3292"/>
      <c r="C67" s="817" t="s">
        <v>627</v>
      </c>
      <c r="D67" s="817" t="s">
        <v>628</v>
      </c>
      <c r="E67" s="894">
        <v>0.2</v>
      </c>
      <c r="F67" s="881">
        <v>30</v>
      </c>
    </row>
    <row r="68" spans="1:6" s="877" customFormat="1" ht="36">
      <c r="A68" s="881">
        <v>8</v>
      </c>
      <c r="B68" s="3292"/>
      <c r="C68" s="817" t="s">
        <v>629</v>
      </c>
      <c r="D68" s="817" t="s">
        <v>630</v>
      </c>
      <c r="E68" s="894">
        <v>0.2</v>
      </c>
      <c r="F68" s="881">
        <v>30</v>
      </c>
    </row>
    <row r="69" spans="1:6" s="877" customFormat="1" ht="36">
      <c r="A69" s="881">
        <v>9</v>
      </c>
      <c r="B69" s="3292"/>
      <c r="C69" s="817" t="s">
        <v>631</v>
      </c>
      <c r="D69" s="817" t="s">
        <v>632</v>
      </c>
      <c r="E69" s="894">
        <v>0.2</v>
      </c>
      <c r="F69" s="881">
        <v>30</v>
      </c>
    </row>
    <row r="70" spans="1:6" s="877" customFormat="1" ht="48">
      <c r="A70" s="881">
        <v>10</v>
      </c>
      <c r="B70" s="3292"/>
      <c r="C70" s="817" t="s">
        <v>633</v>
      </c>
      <c r="D70" s="817" t="s">
        <v>634</v>
      </c>
      <c r="E70" s="894">
        <v>0.2</v>
      </c>
      <c r="F70" s="881">
        <v>30</v>
      </c>
    </row>
    <row r="71" spans="1:6" s="877" customFormat="1" ht="48">
      <c r="A71" s="881">
        <v>11</v>
      </c>
      <c r="B71" s="3292"/>
      <c r="C71" s="817" t="s">
        <v>635</v>
      </c>
      <c r="D71" s="817" t="s">
        <v>636</v>
      </c>
      <c r="E71" s="894">
        <v>0.2</v>
      </c>
      <c r="F71" s="881">
        <v>30</v>
      </c>
    </row>
    <row r="72" spans="1:6" s="877" customFormat="1" ht="36">
      <c r="A72" s="881">
        <v>12</v>
      </c>
      <c r="B72" s="3292"/>
      <c r="C72" s="817" t="s">
        <v>637</v>
      </c>
      <c r="D72" s="817" t="s">
        <v>638</v>
      </c>
      <c r="E72" s="894">
        <v>0.5</v>
      </c>
      <c r="F72" s="881">
        <v>80</v>
      </c>
    </row>
    <row r="73" spans="1:6" s="877" customFormat="1" ht="24">
      <c r="A73" s="881">
        <v>13</v>
      </c>
      <c r="B73" s="3292"/>
      <c r="C73" s="817" t="s">
        <v>639</v>
      </c>
      <c r="D73" s="817" t="s">
        <v>640</v>
      </c>
      <c r="E73" s="894">
        <v>0.4</v>
      </c>
      <c r="F73" s="881">
        <v>60</v>
      </c>
    </row>
    <row r="74" spans="1:6" s="877" customFormat="1" ht="24">
      <c r="A74" s="881">
        <v>14</v>
      </c>
      <c r="B74" s="3292"/>
      <c r="C74" s="817" t="s">
        <v>641</v>
      </c>
      <c r="D74" s="817" t="s">
        <v>642</v>
      </c>
      <c r="E74" s="894">
        <v>0.2</v>
      </c>
      <c r="F74" s="881">
        <v>30</v>
      </c>
    </row>
    <row r="75" spans="1:6" s="877" customFormat="1" ht="24">
      <c r="A75" s="881">
        <v>15</v>
      </c>
      <c r="B75" s="3292"/>
      <c r="C75" s="817" t="s">
        <v>643</v>
      </c>
      <c r="D75" s="817" t="s">
        <v>644</v>
      </c>
      <c r="E75" s="894">
        <v>0.2</v>
      </c>
      <c r="F75" s="881">
        <v>30</v>
      </c>
    </row>
    <row r="76" spans="1:6" s="877" customFormat="1" ht="24">
      <c r="A76" s="881">
        <v>16</v>
      </c>
      <c r="B76" s="3292" t="s">
        <v>645</v>
      </c>
      <c r="C76" s="817" t="s">
        <v>646</v>
      </c>
      <c r="D76" s="817" t="s">
        <v>647</v>
      </c>
      <c r="E76" s="894">
        <v>0.5</v>
      </c>
      <c r="F76" s="881">
        <v>80</v>
      </c>
    </row>
    <row r="77" spans="1:6" s="877" customFormat="1" ht="24">
      <c r="A77" s="881">
        <v>17</v>
      </c>
      <c r="B77" s="3292"/>
      <c r="C77" s="817" t="s">
        <v>648</v>
      </c>
      <c r="D77" s="817" t="s">
        <v>649</v>
      </c>
      <c r="E77" s="894">
        <v>0.5</v>
      </c>
      <c r="F77" s="881">
        <v>80</v>
      </c>
    </row>
    <row r="78" spans="1:6" s="877" customFormat="1" ht="24">
      <c r="A78" s="881">
        <v>18</v>
      </c>
      <c r="B78" s="3292"/>
      <c r="C78" s="817" t="s">
        <v>650</v>
      </c>
      <c r="D78" s="817" t="s">
        <v>651</v>
      </c>
      <c r="E78" s="894">
        <v>0.2</v>
      </c>
      <c r="F78" s="881">
        <v>30</v>
      </c>
    </row>
    <row r="79" spans="1:6" s="877" customFormat="1" ht="24">
      <c r="A79" s="881">
        <v>19</v>
      </c>
      <c r="B79" s="3292"/>
      <c r="C79" s="817" t="s">
        <v>652</v>
      </c>
      <c r="D79" s="817" t="s">
        <v>653</v>
      </c>
      <c r="E79" s="894">
        <v>0.5</v>
      </c>
      <c r="F79" s="881">
        <v>80</v>
      </c>
    </row>
    <row r="80" spans="1:6" s="877" customFormat="1" ht="36">
      <c r="A80" s="881">
        <v>20</v>
      </c>
      <c r="B80" s="3292"/>
      <c r="C80" s="817" t="s">
        <v>654</v>
      </c>
      <c r="D80" s="817" t="s">
        <v>655</v>
      </c>
      <c r="E80" s="894">
        <v>0.2</v>
      </c>
      <c r="F80" s="881">
        <v>30</v>
      </c>
    </row>
    <row r="81" spans="1:6" s="877" customFormat="1" ht="36">
      <c r="A81" s="881">
        <v>21</v>
      </c>
      <c r="B81" s="3292"/>
      <c r="C81" s="817" t="s">
        <v>656</v>
      </c>
      <c r="D81" s="817" t="s">
        <v>657</v>
      </c>
      <c r="E81" s="894">
        <v>0.2</v>
      </c>
      <c r="F81" s="881">
        <v>30</v>
      </c>
    </row>
    <row r="82" spans="1:6" s="877" customFormat="1" ht="48">
      <c r="A82" s="881">
        <v>22</v>
      </c>
      <c r="B82" s="3292"/>
      <c r="C82" s="817" t="s">
        <v>658</v>
      </c>
      <c r="D82" s="817" t="s">
        <v>659</v>
      </c>
      <c r="E82" s="894">
        <v>0.2</v>
      </c>
      <c r="F82" s="881">
        <v>30</v>
      </c>
    </row>
    <row r="83" spans="1:6" s="877" customFormat="1" ht="48">
      <c r="A83" s="881">
        <v>23</v>
      </c>
      <c r="B83" s="3292"/>
      <c r="C83" s="817" t="s">
        <v>660</v>
      </c>
      <c r="D83" s="817" t="s">
        <v>661</v>
      </c>
      <c r="E83" s="894">
        <v>0.2</v>
      </c>
      <c r="F83" s="881">
        <v>30</v>
      </c>
    </row>
    <row r="84" spans="1:6" s="877" customFormat="1" ht="36">
      <c r="A84" s="881">
        <v>24</v>
      </c>
      <c r="B84" s="3292"/>
      <c r="C84" s="817" t="s">
        <v>662</v>
      </c>
      <c r="D84" s="817" t="s">
        <v>663</v>
      </c>
      <c r="E84" s="894">
        <v>0.2</v>
      </c>
      <c r="F84" s="881">
        <v>30</v>
      </c>
    </row>
    <row r="85" spans="1:6" s="877" customFormat="1" ht="36">
      <c r="A85" s="881">
        <v>25</v>
      </c>
      <c r="B85" s="3292"/>
      <c r="C85" s="817" t="s">
        <v>664</v>
      </c>
      <c r="D85" s="817" t="s">
        <v>665</v>
      </c>
      <c r="E85" s="894">
        <v>0.5</v>
      </c>
      <c r="F85" s="881">
        <v>80</v>
      </c>
    </row>
    <row r="86" spans="1:6" s="877" customFormat="1" ht="36">
      <c r="A86" s="881">
        <v>26</v>
      </c>
      <c r="B86" s="3292"/>
      <c r="C86" s="817" t="s">
        <v>666</v>
      </c>
      <c r="D86" s="817" t="s">
        <v>667</v>
      </c>
      <c r="E86" s="894">
        <v>0.2</v>
      </c>
      <c r="F86" s="881">
        <v>30</v>
      </c>
    </row>
    <row r="87" spans="1:6" s="877" customFormat="1" ht="36">
      <c r="A87" s="881">
        <v>27</v>
      </c>
      <c r="B87" s="3292"/>
      <c r="C87" s="817" t="s">
        <v>668</v>
      </c>
      <c r="D87" s="817" t="s">
        <v>669</v>
      </c>
      <c r="E87" s="894">
        <v>0.2</v>
      </c>
      <c r="F87" s="881">
        <v>30</v>
      </c>
    </row>
    <row r="88" spans="1:6" s="877" customFormat="1" ht="36">
      <c r="A88" s="881">
        <v>28</v>
      </c>
      <c r="B88" s="3292"/>
      <c r="C88" s="817" t="s">
        <v>670</v>
      </c>
      <c r="D88" s="817" t="s">
        <v>671</v>
      </c>
      <c r="E88" s="894">
        <v>0.2</v>
      </c>
      <c r="F88" s="881">
        <v>30</v>
      </c>
    </row>
    <row r="89" spans="1:6" s="877" customFormat="1" ht="24">
      <c r="A89" s="881">
        <v>29</v>
      </c>
      <c r="B89" s="3292"/>
      <c r="C89" s="817" t="s">
        <v>672</v>
      </c>
      <c r="D89" s="817" t="s">
        <v>673</v>
      </c>
      <c r="E89" s="894">
        <v>0.2</v>
      </c>
      <c r="F89" s="881">
        <v>30</v>
      </c>
    </row>
    <row r="90" spans="1:6" s="877" customFormat="1" ht="24">
      <c r="A90" s="881">
        <v>30</v>
      </c>
      <c r="B90" s="3292"/>
      <c r="C90" s="817" t="s">
        <v>674</v>
      </c>
      <c r="D90" s="817" t="s">
        <v>675</v>
      </c>
      <c r="E90" s="894">
        <v>0.2</v>
      </c>
      <c r="F90" s="881">
        <v>30</v>
      </c>
    </row>
    <row r="91" spans="1:6" s="877" customFormat="1" ht="36">
      <c r="A91" s="881">
        <v>31</v>
      </c>
      <c r="B91" s="3292"/>
      <c r="C91" s="817" t="s">
        <v>676</v>
      </c>
      <c r="D91" s="817" t="s">
        <v>677</v>
      </c>
      <c r="E91" s="894">
        <v>0.2</v>
      </c>
      <c r="F91" s="881">
        <v>30</v>
      </c>
    </row>
    <row r="92" spans="1:6" s="877" customFormat="1" ht="24">
      <c r="A92" s="881">
        <v>32</v>
      </c>
      <c r="B92" s="3292" t="s">
        <v>678</v>
      </c>
      <c r="C92" s="881" t="s">
        <v>679</v>
      </c>
      <c r="D92" s="817" t="s">
        <v>680</v>
      </c>
      <c r="E92" s="894">
        <v>0.2</v>
      </c>
      <c r="F92" s="881">
        <v>30</v>
      </c>
    </row>
    <row r="93" spans="1:6" s="877" customFormat="1" ht="36">
      <c r="A93" s="881">
        <v>33</v>
      </c>
      <c r="B93" s="3292"/>
      <c r="C93" s="881" t="s">
        <v>681</v>
      </c>
      <c r="D93" s="817" t="s">
        <v>682</v>
      </c>
      <c r="E93" s="894">
        <v>0.2</v>
      </c>
      <c r="F93" s="881">
        <v>30</v>
      </c>
    </row>
    <row r="94" spans="1:6" s="877" customFormat="1" ht="48">
      <c r="A94" s="881">
        <v>34</v>
      </c>
      <c r="B94" s="3292"/>
      <c r="C94" s="881" t="s">
        <v>683</v>
      </c>
      <c r="D94" s="817" t="s">
        <v>684</v>
      </c>
      <c r="E94" s="894">
        <v>0.2</v>
      </c>
      <c r="F94" s="881">
        <v>30</v>
      </c>
    </row>
    <row r="95" spans="1:6" s="877" customFormat="1" ht="36">
      <c r="A95" s="881">
        <v>35</v>
      </c>
      <c r="B95" s="3292"/>
      <c r="C95" s="881" t="s">
        <v>685</v>
      </c>
      <c r="D95" s="817" t="s">
        <v>686</v>
      </c>
      <c r="E95" s="894">
        <v>0.2</v>
      </c>
      <c r="F95" s="881">
        <v>30</v>
      </c>
    </row>
    <row r="96" spans="1:6" s="877" customFormat="1" ht="48">
      <c r="A96" s="881">
        <v>36</v>
      </c>
      <c r="B96" s="3292"/>
      <c r="C96" s="817" t="s">
        <v>687</v>
      </c>
      <c r="D96" s="817" t="s">
        <v>688</v>
      </c>
      <c r="E96" s="894">
        <v>0.2</v>
      </c>
      <c r="F96" s="881">
        <v>30</v>
      </c>
    </row>
    <row r="97" spans="1:6" s="877" customFormat="1" ht="36">
      <c r="A97" s="881">
        <v>37</v>
      </c>
      <c r="B97" s="3292"/>
      <c r="C97" s="881" t="s">
        <v>689</v>
      </c>
      <c r="D97" s="817" t="s">
        <v>690</v>
      </c>
      <c r="E97" s="894">
        <v>0.2</v>
      </c>
      <c r="F97" s="881">
        <v>30</v>
      </c>
    </row>
    <row r="98" spans="1:6" s="877" customFormat="1" ht="36">
      <c r="A98" s="881">
        <v>38</v>
      </c>
      <c r="B98" s="3292"/>
      <c r="C98" s="881" t="s">
        <v>691</v>
      </c>
      <c r="D98" s="817" t="s">
        <v>692</v>
      </c>
      <c r="E98" s="894">
        <v>0.2</v>
      </c>
      <c r="F98" s="881">
        <v>30</v>
      </c>
    </row>
    <row r="99" spans="1:6" s="877" customFormat="1" ht="36">
      <c r="A99" s="881">
        <v>39</v>
      </c>
      <c r="B99" s="3292" t="s">
        <v>693</v>
      </c>
      <c r="C99" s="881" t="s">
        <v>694</v>
      </c>
      <c r="D99" s="817" t="s">
        <v>695</v>
      </c>
      <c r="E99" s="894">
        <v>0.3</v>
      </c>
      <c r="F99" s="881">
        <v>50</v>
      </c>
    </row>
    <row r="100" spans="1:6" s="877" customFormat="1" ht="24">
      <c r="A100" s="881">
        <v>40</v>
      </c>
      <c r="B100" s="3292"/>
      <c r="C100" s="881" t="s">
        <v>696</v>
      </c>
      <c r="D100" s="817" t="s">
        <v>697</v>
      </c>
      <c r="E100" s="894">
        <v>0.2</v>
      </c>
      <c r="F100" s="881">
        <v>30</v>
      </c>
    </row>
    <row r="101" spans="1:6" s="877" customFormat="1" ht="36">
      <c r="A101" s="881">
        <v>41</v>
      </c>
      <c r="B101" s="329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2" t="s">
        <v>708</v>
      </c>
      <c r="C105" s="881" t="s">
        <v>709</v>
      </c>
      <c r="D105" s="817" t="s">
        <v>710</v>
      </c>
      <c r="E105" s="894">
        <v>0.2</v>
      </c>
      <c r="F105" s="881">
        <v>30</v>
      </c>
    </row>
    <row r="106" spans="1:6" s="877" customFormat="1" ht="36">
      <c r="A106" s="881">
        <v>46</v>
      </c>
      <c r="B106" s="3292"/>
      <c r="C106" s="881" t="s">
        <v>711</v>
      </c>
      <c r="D106" s="817" t="s">
        <v>712</v>
      </c>
      <c r="E106" s="894">
        <v>0.2</v>
      </c>
      <c r="F106" s="881">
        <v>30</v>
      </c>
    </row>
    <row r="107" spans="1:6" s="877" customFormat="1" ht="36">
      <c r="A107" s="881">
        <v>47</v>
      </c>
      <c r="B107" s="3292" t="s">
        <v>713</v>
      </c>
      <c r="C107" s="881" t="s">
        <v>714</v>
      </c>
      <c r="D107" s="817" t="s">
        <v>715</v>
      </c>
      <c r="E107" s="894">
        <v>0.3</v>
      </c>
      <c r="F107" s="881">
        <v>50</v>
      </c>
    </row>
    <row r="108" spans="1:6" s="877" customFormat="1" ht="36">
      <c r="A108" s="881">
        <v>48</v>
      </c>
      <c r="B108" s="329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2" t="s">
        <v>724</v>
      </c>
      <c r="C111" s="881" t="s">
        <v>725</v>
      </c>
      <c r="D111" s="817" t="s">
        <v>726</v>
      </c>
      <c r="E111" s="894">
        <v>0.2</v>
      </c>
      <c r="F111" s="881">
        <v>30</v>
      </c>
    </row>
    <row r="112" spans="1:6" s="877" customFormat="1" ht="24">
      <c r="A112" s="881">
        <v>52</v>
      </c>
      <c r="B112" s="3292"/>
      <c r="C112" s="881" t="s">
        <v>727</v>
      </c>
      <c r="D112" s="817" t="s">
        <v>728</v>
      </c>
      <c r="E112" s="894">
        <v>0.2</v>
      </c>
      <c r="F112" s="881">
        <v>30</v>
      </c>
    </row>
    <row r="113" spans="1:6" s="877" customFormat="1" ht="24">
      <c r="A113" s="881">
        <v>53</v>
      </c>
      <c r="B113" s="329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2" t="s">
        <v>737</v>
      </c>
      <c r="C116" s="881" t="s">
        <v>738</v>
      </c>
      <c r="D116" s="817" t="s">
        <v>739</v>
      </c>
      <c r="E116" s="894">
        <v>0.2</v>
      </c>
      <c r="F116" s="881">
        <v>30</v>
      </c>
    </row>
    <row r="117" spans="1:6" ht="36">
      <c r="A117" s="881">
        <v>57</v>
      </c>
      <c r="B117" s="329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2996</v>
      </c>
    </row>
    <row r="2" spans="1:5" ht="15.75">
      <c r="A2" s="2914" t="s">
        <v>2988</v>
      </c>
      <c r="B2" s="2915" t="e">
        <f ca="1">SUMIF(B6:B13,"&lt;&gt;#ref!",B6:B13)</f>
        <v>#DIV/0!</v>
      </c>
      <c r="C2" s="2914" t="s">
        <v>2989</v>
      </c>
      <c r="D2" s="2914" t="s">
        <v>2990</v>
      </c>
      <c r="E2" s="2915">
        <f ca="1">SUMIF(E6:E13,"&lt;&gt;#ref!",E6:E13)</f>
        <v>0</v>
      </c>
    </row>
    <row r="3" spans="1:5" ht="15.75">
      <c r="A3" s="2914" t="s">
        <v>2991</v>
      </c>
      <c r="B3" s="2915" t="e">
        <f ca="1">ROUND(B2*10000/E2,0)</f>
        <v>#DIV/0!</v>
      </c>
      <c r="C3" s="2914" t="s">
        <v>2997</v>
      </c>
      <c r="D3" s="2916"/>
      <c r="E3" s="2916"/>
    </row>
    <row r="4" spans="1:5" ht="15.75">
      <c r="A4" s="2917"/>
      <c r="B4" s="2916"/>
      <c r="C4" s="2916"/>
      <c r="D4" s="2916"/>
      <c r="E4" s="2916"/>
    </row>
    <row r="5" spans="1:5" ht="28.5">
      <c r="A5" s="2918" t="s">
        <v>2992</v>
      </c>
      <c r="B5" s="2914" t="s">
        <v>2993</v>
      </c>
      <c r="C5" s="2915"/>
      <c r="D5" s="2916"/>
      <c r="E5" s="2914" t="s">
        <v>2994</v>
      </c>
    </row>
    <row r="6" spans="1:5" ht="15.75">
      <c r="A6" s="2919" t="s">
        <v>2995</v>
      </c>
      <c r="B6" s="2915" t="e">
        <f ca="1">SUMIF(INDIRECT("'"&amp;A6&amp;"'"&amp;"!A:A"),"总价",INDIRECT("'"&amp;A6&amp;"'"&amp;"!B:B"))</f>
        <v>#DIV/0!</v>
      </c>
      <c r="C6" s="2914" t="s">
        <v>2989</v>
      </c>
      <c r="D6" s="2916"/>
      <c r="E6" s="2579">
        <f ca="1">SUMIF(INDIRECT("'"&amp;A6&amp;"'"&amp;"!C:C"),"建筑面积",INDIRECT("'"&amp;A6&amp;"'"&amp;"!D:D"))</f>
        <v>0</v>
      </c>
    </row>
    <row r="7" spans="1:5" ht="15.75">
      <c r="A7" s="2919"/>
      <c r="B7" s="2915" t="e">
        <f ca="1">SUMIF(INDIRECT("'"&amp;A7&amp;"'"&amp;"!A:A"),"总价",INDIRECT("'"&amp;A7&amp;"'"&amp;"!B:B"))</f>
        <v>#REF!</v>
      </c>
      <c r="C7" s="2914" t="s">
        <v>2989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2989</v>
      </c>
      <c r="D8" s="2916"/>
      <c r="E8" s="2579" t="e">
        <f t="shared" ca="1" si="0"/>
        <v>#REF!</v>
      </c>
    </row>
    <row r="9" spans="1:5" ht="15.75">
      <c r="A9" s="2919"/>
      <c r="B9" s="2915" t="e">
        <f t="shared" ca="1" si="1"/>
        <v>#REF!</v>
      </c>
      <c r="C9" s="2914" t="s">
        <v>2989</v>
      </c>
      <c r="D9" s="2916"/>
      <c r="E9" s="2579" t="e">
        <f t="shared" ca="1" si="0"/>
        <v>#REF!</v>
      </c>
    </row>
    <row r="10" spans="1:5" ht="15.75">
      <c r="A10" s="2919"/>
      <c r="B10" s="2915" t="e">
        <f t="shared" ca="1" si="1"/>
        <v>#REF!</v>
      </c>
      <c r="C10" s="2914" t="s">
        <v>2989</v>
      </c>
      <c r="D10" s="2916"/>
      <c r="E10" s="2579" t="e">
        <f t="shared" ca="1" si="0"/>
        <v>#REF!</v>
      </c>
    </row>
    <row r="11" spans="1:5" ht="15.75">
      <c r="A11" s="2919"/>
      <c r="B11" s="2915" t="e">
        <f t="shared" ca="1" si="1"/>
        <v>#REF!</v>
      </c>
      <c r="C11" s="2914" t="s">
        <v>2989</v>
      </c>
      <c r="D11" s="2916"/>
      <c r="E11" s="2579" t="e">
        <f t="shared" ca="1" si="0"/>
        <v>#REF!</v>
      </c>
    </row>
    <row r="12" spans="1:5" ht="15.75">
      <c r="A12" s="2919"/>
      <c r="B12" s="2915" t="e">
        <f t="shared" ca="1" si="1"/>
        <v>#REF!</v>
      </c>
      <c r="C12" s="2914" t="s">
        <v>2989</v>
      </c>
      <c r="D12" s="2916"/>
      <c r="E12" s="2579" t="e">
        <f t="shared" ca="1" si="0"/>
        <v>#REF!</v>
      </c>
    </row>
    <row r="13" spans="1:5" ht="15.75">
      <c r="A13" s="2919"/>
      <c r="B13" s="2915" t="e">
        <f t="shared" ca="1" si="1"/>
        <v>#REF!</v>
      </c>
      <c r="C13" s="2914" t="s">
        <v>2989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8" t="s">
        <v>1150</v>
      </c>
      <c r="C1" s="3298"/>
      <c r="D1" s="3298"/>
      <c r="E1" s="3298"/>
      <c r="F1" s="3298"/>
      <c r="G1" s="3294" t="s">
        <v>1151</v>
      </c>
      <c r="H1" s="3294"/>
      <c r="I1" s="3294"/>
      <c r="J1" s="3294"/>
      <c r="K1" s="3294"/>
      <c r="L1" s="3294"/>
      <c r="N1" s="3294" t="s">
        <v>1152</v>
      </c>
      <c r="O1" s="3294"/>
      <c r="P1" s="3294"/>
      <c r="Q1" s="3294"/>
      <c r="R1" s="1448"/>
      <c r="S1" s="3294" t="s">
        <v>1153</v>
      </c>
      <c r="T1" s="3294"/>
      <c r="U1" s="3294"/>
      <c r="V1" s="3294"/>
      <c r="X1" s="3293" t="s">
        <v>1154</v>
      </c>
      <c r="Y1" s="3294"/>
      <c r="Z1" s="3294"/>
      <c r="AA1" s="3294"/>
      <c r="AB1" s="3294"/>
      <c r="AD1" s="3293" t="s">
        <v>1155</v>
      </c>
      <c r="AE1" s="3294"/>
      <c r="AF1" s="3294"/>
      <c r="AG1" s="3294"/>
      <c r="AH1" s="329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3029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1" customFormat="1">
      <c r="A5" s="1729" t="s">
        <v>3037</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45">
        <v>2018</v>
      </c>
      <c r="H5" s="1730">
        <v>4</v>
      </c>
      <c r="I5" s="2928">
        <v>0</v>
      </c>
      <c r="J5" s="2928">
        <v>0</v>
      </c>
      <c r="K5" s="2928">
        <v>0</v>
      </c>
      <c r="L5" s="2928">
        <v>0</v>
      </c>
      <c r="N5" s="1469">
        <f>I5/100</f>
        <v>0</v>
      </c>
      <c r="O5" s="1469">
        <f t="shared" ref="O5" si="7">J5/100</f>
        <v>0</v>
      </c>
      <c r="P5" s="1469">
        <f t="shared" ref="P5" si="8">K5/100</f>
        <v>0</v>
      </c>
      <c r="Q5" s="1469">
        <f t="shared" ref="Q5" si="9">L5/100</f>
        <v>0</v>
      </c>
      <c r="R5" s="1732"/>
      <c r="S5" s="1733"/>
      <c r="T5" s="1732"/>
      <c r="U5" s="1732"/>
      <c r="V5" s="1732"/>
      <c r="W5" s="2932" t="s">
        <v>3030</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8" customFormat="1" ht="13.5" thickBot="1">
      <c r="A7" s="1463" t="s">
        <v>3036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8" customFormat="1" ht="13.5" thickBot="1">
      <c r="A8" s="1463" t="s">
        <v>3028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3" t="s">
        <v>3025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5"/>
      <c r="AD11" s="1789">
        <f>ROUND(AVERAGE(I11:I$24)/100,4)</f>
        <v>2.46E-2</v>
      </c>
      <c r="AE11" s="1789">
        <f>ROUND(AVERAGE(J11:J$24)/100,4)</f>
        <v>1.6E-2</v>
      </c>
      <c r="AF11" s="1789">
        <f t="shared" si="1"/>
        <v>1.6E-2</v>
      </c>
      <c r="AG11" s="1789">
        <f>ROUND(AVERAGE(K11:K$24)/100,4)</f>
        <v>2.75E-2</v>
      </c>
      <c r="AH11" s="1789">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3" t="s">
        <v>154</v>
      </c>
      <c r="B13" s="1471">
        <v>392</v>
      </c>
      <c r="C13" s="1471">
        <v>302</v>
      </c>
      <c r="D13" s="1471">
        <f>C13</f>
        <v>302</v>
      </c>
      <c r="E13" s="1471">
        <v>553</v>
      </c>
      <c r="F13" s="1472">
        <v>266</v>
      </c>
      <c r="G13" s="329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9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9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9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9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9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9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9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9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9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9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9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3" t="s">
        <v>1163</v>
      </c>
      <c r="B25" s="1471">
        <v>299</v>
      </c>
      <c r="C25" s="1471">
        <v>252</v>
      </c>
      <c r="D25" s="1471">
        <f t="shared" si="64"/>
        <v>252</v>
      </c>
      <c r="E25" s="1471">
        <v>409</v>
      </c>
      <c r="F25" s="1472">
        <v>227</v>
      </c>
      <c r="G25" s="330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0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30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30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9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9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9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9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9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9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9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9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9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9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9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9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9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9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9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9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9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9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9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9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9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9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9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9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9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9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9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9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9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9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9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9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9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9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9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9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9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9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9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9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9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9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9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9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1630</v>
      </c>
      <c r="C4" s="2986"/>
      <c r="D4" s="2986"/>
      <c r="E4" s="1961"/>
    </row>
    <row r="5" spans="1:5" ht="16.5" thickTop="1">
      <c r="A5" s="1959"/>
      <c r="B5" s="2984" t="s">
        <v>1622</v>
      </c>
      <c r="C5" s="1962" t="s">
        <v>1623</v>
      </c>
      <c r="D5" s="1042">
        <f ca="1">结果表!H101</f>
        <v>59</v>
      </c>
      <c r="E5" s="1959"/>
    </row>
    <row r="6" spans="1:5" ht="15.75">
      <c r="A6" s="1959"/>
      <c r="B6" s="2984"/>
      <c r="C6" s="1962" t="s">
        <v>1624</v>
      </c>
      <c r="D6" s="1042" t="str">
        <f ca="1">NUMBERSTRING(INT(D5*10000),2)&amp;"元整"</f>
        <v>伍拾玖万元整</v>
      </c>
      <c r="E6" s="1959"/>
    </row>
    <row r="7" spans="1:5" ht="15.75">
      <c r="A7" s="1959"/>
      <c r="B7" s="2989"/>
      <c r="C7" s="1963" t="s">
        <v>1625</v>
      </c>
      <c r="D7" s="1043">
        <f ca="1">结果表!H102</f>
        <v>19608</v>
      </c>
      <c r="E7" s="1959"/>
    </row>
    <row r="8" spans="1:5" ht="15.75">
      <c r="A8" s="1959"/>
      <c r="B8" s="2990" t="str">
        <f>结果表!E103</f>
        <v>2.估价师知悉的法定优先受偿款</v>
      </c>
      <c r="C8" s="1964" t="s">
        <v>1626</v>
      </c>
      <c r="D8" s="1043">
        <f>结果表!H103</f>
        <v>0</v>
      </c>
      <c r="E8" s="1959"/>
    </row>
    <row r="9" spans="1:5" ht="15.75">
      <c r="A9" s="1959"/>
      <c r="B9" s="2992"/>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83" t="str">
        <f>结果表!E107</f>
        <v>3.房地产抵押价值</v>
      </c>
      <c r="C13" s="1967" t="s">
        <v>1623</v>
      </c>
      <c r="D13" s="1045">
        <f ca="1">结果表!H107</f>
        <v>59</v>
      </c>
      <c r="E13" s="1959"/>
    </row>
    <row r="14" spans="1:5" ht="15.75">
      <c r="A14" s="1959"/>
      <c r="B14" s="2984"/>
      <c r="C14" s="1962" t="s">
        <v>1624</v>
      </c>
      <c r="D14" s="1042" t="str">
        <f ca="1">NUMBERSTRING(INT(D13*10000),2)&amp;"元整"</f>
        <v>伍拾玖万元整</v>
      </c>
      <c r="E14" s="1959"/>
    </row>
    <row r="15" spans="1:5" ht="15">
      <c r="A15" s="1959"/>
      <c r="B15" s="2989"/>
      <c r="C15" s="1963" t="s">
        <v>1634</v>
      </c>
      <c r="D15" s="1054">
        <f ca="1">结果表!H108</f>
        <v>17</v>
      </c>
      <c r="E15" s="1959"/>
    </row>
    <row r="16" spans="1:5" ht="15">
      <c r="A16" s="1959"/>
      <c r="B16" s="2990" t="str">
        <f>结果表!E109</f>
        <v>——</v>
      </c>
      <c r="C16" s="1967" t="s">
        <v>1635</v>
      </c>
      <c r="D16" s="1968" t="str">
        <f>结果表!H109</f>
        <v>——</v>
      </c>
      <c r="E16" s="1959"/>
    </row>
    <row r="17" spans="1:5" ht="15.75">
      <c r="A17" s="1959"/>
      <c r="B17" s="2991"/>
      <c r="C17" s="1962" t="s">
        <v>1636</v>
      </c>
      <c r="D17" s="1042" t="e">
        <f>NUMBERSTRING(INT(D16*10000),2)&amp;"元整"</f>
        <v>#VALUE!</v>
      </c>
      <c r="E17" s="1959"/>
    </row>
    <row r="18" spans="1:5" ht="15">
      <c r="A18" s="1959"/>
      <c r="B18" s="2992"/>
      <c r="C18" s="1963" t="s">
        <v>1625</v>
      </c>
      <c r="D18" s="1054" t="str">
        <f>结果表!H110</f>
        <v>——</v>
      </c>
      <c r="E18" s="1959"/>
    </row>
    <row r="19" spans="1:5" ht="15.75">
      <c r="A19" s="1959"/>
      <c r="B19" s="2983" t="str">
        <f>结果表!E111</f>
        <v>——</v>
      </c>
      <c r="C19" s="1967" t="s">
        <v>1623</v>
      </c>
      <c r="D19" s="1043" t="str">
        <f>结果表!H111</f>
        <v>——</v>
      </c>
      <c r="E19" s="1959"/>
    </row>
    <row r="20" spans="1:5" ht="15.75">
      <c r="A20" s="1959"/>
      <c r="B20" s="2984"/>
      <c r="C20" s="1962" t="s">
        <v>1636</v>
      </c>
      <c r="D20" s="1042" t="e">
        <f>NUMBERSTRING(INT(D19*10000),2)&amp;"元整"</f>
        <v>#VALUE!</v>
      </c>
      <c r="E20" s="1959"/>
    </row>
    <row r="21" spans="1:5" ht="15.75" thickBot="1">
      <c r="A21" s="1959"/>
      <c r="B21" s="2985"/>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24"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7" style="27" customWidth="1"/>
    <col min="12" max="12" width="9" style="27" customWidth="1"/>
    <col min="13" max="13" width="6.37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304" t="s">
        <v>2999</v>
      </c>
      <c r="D1" s="3305"/>
      <c r="E1" s="3305"/>
      <c r="F1" s="3305"/>
      <c r="G1" s="3305"/>
      <c r="H1" s="3305"/>
      <c r="I1" s="3305"/>
      <c r="J1" s="3305"/>
      <c r="K1" s="3305"/>
      <c r="L1" s="3305"/>
      <c r="M1" s="3305"/>
      <c r="N1" s="3305"/>
      <c r="O1" s="3305"/>
      <c r="P1" s="3305"/>
      <c r="Q1" s="3305"/>
      <c r="R1" s="3305"/>
      <c r="S1" s="3306"/>
      <c r="T1" s="1206" t="s">
        <v>3000</v>
      </c>
    </row>
    <row r="2" spans="1:45" s="707" customFormat="1" ht="38.25">
      <c r="A2" s="1207"/>
      <c r="B2" s="703" t="s">
        <v>3001</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1000(含)-5000</v>
      </c>
      <c r="I2" s="705" t="str">
        <f t="shared" si="0"/>
        <v>5000(含)-10000</v>
      </c>
      <c r="J2" s="705" t="str">
        <f t="shared" si="0"/>
        <v>10000(含)-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v>0</v>
      </c>
      <c r="D3" s="709">
        <v>100</v>
      </c>
      <c r="E3" s="709">
        <v>200</v>
      </c>
      <c r="F3" s="709">
        <v>300</v>
      </c>
      <c r="G3" s="709">
        <v>500</v>
      </c>
      <c r="H3" s="709">
        <v>1000</v>
      </c>
      <c r="I3" s="709">
        <v>5000</v>
      </c>
      <c r="J3" s="709">
        <v>10000</v>
      </c>
      <c r="K3" s="709"/>
      <c r="L3" s="709"/>
      <c r="M3" s="709"/>
      <c r="N3" s="1706"/>
      <c r="O3" s="1705"/>
      <c r="P3" s="1705"/>
      <c r="Q3" s="1705"/>
      <c r="R3" s="1705"/>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709">
        <v>100</v>
      </c>
      <c r="D4" s="709">
        <v>99</v>
      </c>
      <c r="E4" s="709">
        <v>98</v>
      </c>
      <c r="F4" s="709">
        <v>97</v>
      </c>
      <c r="G4" s="709">
        <v>96</v>
      </c>
      <c r="H4" s="709">
        <v>95</v>
      </c>
      <c r="I4" s="709">
        <v>94</v>
      </c>
      <c r="J4" s="709">
        <v>93</v>
      </c>
      <c r="K4" s="709"/>
      <c r="L4" s="709"/>
      <c r="M4" s="709"/>
      <c r="N4" s="1709"/>
      <c r="O4" s="1708"/>
      <c r="P4" s="1708"/>
      <c r="Q4" s="1708"/>
      <c r="R4" s="1708"/>
      <c r="S4" s="1710"/>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9" t="s">
        <v>3002</v>
      </c>
      <c r="C5" s="1218"/>
      <c r="D5" s="1219"/>
      <c r="E5" s="1219"/>
      <c r="F5" s="1711"/>
      <c r="G5" s="1711"/>
      <c r="H5" s="1711"/>
      <c r="I5" s="1711"/>
      <c r="J5" s="1711"/>
      <c r="K5" s="1711"/>
      <c r="L5" s="1712"/>
      <c r="M5" s="1713"/>
      <c r="N5" s="1713"/>
      <c r="O5" s="1711"/>
      <c r="P5" s="1711"/>
      <c r="Q5" s="1711"/>
      <c r="R5" s="1711"/>
      <c r="S5" s="1714"/>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0" t="s">
        <v>3003</v>
      </c>
      <c r="C7" s="1123"/>
      <c r="D7" s="1117"/>
      <c r="E7" s="1117"/>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0" t="s">
        <v>3004</v>
      </c>
      <c r="C9" s="1123"/>
      <c r="D9" s="1117"/>
      <c r="E9" s="1117"/>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9"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9"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9"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0" t="s">
        <v>3008</v>
      </c>
      <c r="B17" s="2921" t="s">
        <v>3009</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2" t="s">
        <v>3010</v>
      </c>
      <c r="E19" s="1792"/>
      <c r="F19" s="1792"/>
      <c r="G19" s="1792"/>
      <c r="H19" s="1282"/>
      <c r="I19" s="168"/>
      <c r="J19" s="168"/>
      <c r="K19" s="168"/>
      <c r="L19" s="168"/>
      <c r="M19" s="168"/>
      <c r="N19" s="168"/>
      <c r="O19" s="168"/>
      <c r="P19" s="168"/>
      <c r="Q19" s="168"/>
      <c r="R19" s="787"/>
      <c r="S19" s="138"/>
    </row>
    <row r="20" spans="1:45" ht="16.5" thickBot="1">
      <c r="A20" s="714" t="s">
        <v>3011</v>
      </c>
      <c r="B20" s="338">
        <f ca="1">IF(D20="——",S22,S22-F20)</f>
        <v>54201</v>
      </c>
      <c r="C20" s="168"/>
      <c r="D20" s="2923" t="s">
        <v>70</v>
      </c>
      <c r="E20" s="1793"/>
      <c r="F20" s="1206" t="e">
        <f ca="1">SUMIF(INDIRECT("'"&amp;H20&amp;"'"&amp;"!A:A"),"承租人权益价值",INDIRECT("'"&amp;H20&amp;"'"&amp;"!c:c"))</f>
        <v>#REF!</v>
      </c>
      <c r="G20" s="1206" t="s">
        <v>3012</v>
      </c>
      <c r="H20" s="2924"/>
      <c r="I20" s="168"/>
      <c r="J20" s="168"/>
      <c r="K20" s="168"/>
      <c r="L20" s="168"/>
      <c r="M20" s="168"/>
      <c r="N20" s="168"/>
      <c r="O20" s="168"/>
      <c r="P20" s="168"/>
      <c r="Q20" s="168"/>
      <c r="R20" s="787"/>
      <c r="S20" s="138"/>
    </row>
    <row r="21" spans="1:45" ht="15.75">
      <c r="A21" s="714" t="s">
        <v>3013</v>
      </c>
      <c r="B21" s="338">
        <f ca="1">R22</f>
        <v>15777</v>
      </c>
      <c r="C21" s="168"/>
      <c r="D21" s="168"/>
      <c r="E21" s="168"/>
      <c r="F21" s="168"/>
      <c r="G21" s="168"/>
      <c r="H21" s="168"/>
      <c r="I21" s="168"/>
      <c r="J21" s="168"/>
      <c r="K21" s="168"/>
      <c r="L21" s="168"/>
      <c r="M21" s="168"/>
      <c r="N21" s="168"/>
      <c r="O21" s="168"/>
      <c r="P21" s="168"/>
      <c r="Q21" s="168"/>
      <c r="R21" s="787"/>
      <c r="S21" s="138"/>
    </row>
    <row r="22" spans="1:45">
      <c r="A22" s="361" t="s">
        <v>3014</v>
      </c>
      <c r="B22" s="24">
        <f>SUM(B24:B10000)</f>
        <v>34353.799999999996</v>
      </c>
      <c r="C22" s="3087" t="s">
        <v>33</v>
      </c>
      <c r="D22" s="3088"/>
      <c r="E22" s="3088"/>
      <c r="F22" s="3088"/>
      <c r="G22" s="3088"/>
      <c r="H22" s="3088"/>
      <c r="I22" s="3088"/>
      <c r="J22" s="3088"/>
      <c r="K22" s="3088"/>
      <c r="L22" s="3088"/>
      <c r="M22" s="3088"/>
      <c r="N22" s="3088"/>
      <c r="O22" s="3088"/>
      <c r="P22" s="3088"/>
      <c r="Q22" s="3303"/>
      <c r="R22" s="715">
        <f ca="1">ROUND(S22*10000/B22,0)</f>
        <v>15777</v>
      </c>
      <c r="S22" s="24">
        <f ca="1">SUM(S24:S10000)</f>
        <v>54201</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30.09</v>
      </c>
      <c r="C24" s="718">
        <v>1</v>
      </c>
      <c r="D24" s="719"/>
      <c r="E24" s="718">
        <v>1</v>
      </c>
      <c r="F24" s="719"/>
      <c r="G24" s="718">
        <v>1</v>
      </c>
      <c r="H24" s="719"/>
      <c r="I24" s="718">
        <v>1</v>
      </c>
      <c r="J24" s="719"/>
      <c r="K24" s="718">
        <v>1</v>
      </c>
      <c r="L24" s="719"/>
      <c r="M24" s="718">
        <v>1</v>
      </c>
      <c r="N24" s="719"/>
      <c r="O24" s="718">
        <v>1</v>
      </c>
      <c r="P24" s="719">
        <v>1</v>
      </c>
      <c r="Q24" s="718">
        <v>1</v>
      </c>
      <c r="R24" s="720">
        <f ca="1">结果表!G20</f>
        <v>19669</v>
      </c>
      <c r="S24" s="718">
        <f t="shared" ref="S24:S54" ca="1" si="11">ROUND(R24*B24/10000,0)</f>
        <v>59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102</v>
      </c>
      <c r="B25" s="59">
        <v>57.27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19669</v>
      </c>
      <c r="S25" s="361">
        <f t="shared" ca="1" si="11"/>
        <v>113</v>
      </c>
    </row>
    <row r="26" spans="1:45">
      <c r="A26" s="159">
        <v>103</v>
      </c>
      <c r="B26" s="59">
        <v>27.94</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1</v>
      </c>
      <c r="Q26" s="24">
        <f t="shared" ref="Q26:Q89" si="19">(SUMIF($17:$17,P26,$18:$18)-SUMIF($17:$17,$P$24,$18:$18)+100)/100</f>
        <v>1</v>
      </c>
      <c r="R26" s="715">
        <f t="shared" ref="R26:R89" ca="1" si="20">IF(B26="",0,ROUND($R$24*C26*E26*G26*I26*K26*M26*O26*Q26,0))</f>
        <v>19669</v>
      </c>
      <c r="S26" s="361">
        <f t="shared" ca="1" si="11"/>
        <v>55</v>
      </c>
    </row>
    <row r="27" spans="1:45">
      <c r="A27" s="159">
        <v>104</v>
      </c>
      <c r="B27" s="59">
        <v>36.28</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1</v>
      </c>
      <c r="Q27" s="24">
        <f t="shared" si="19"/>
        <v>1</v>
      </c>
      <c r="R27" s="715">
        <f t="shared" ca="1" si="20"/>
        <v>19669</v>
      </c>
      <c r="S27" s="361">
        <f t="shared" ca="1" si="11"/>
        <v>71</v>
      </c>
    </row>
    <row r="28" spans="1:45">
      <c r="A28" s="159">
        <v>105</v>
      </c>
      <c r="B28" s="59">
        <v>36.380000000000003</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1</v>
      </c>
      <c r="Q28" s="24">
        <f t="shared" si="19"/>
        <v>1</v>
      </c>
      <c r="R28" s="715">
        <f t="shared" ca="1" si="20"/>
        <v>19669</v>
      </c>
      <c r="S28" s="361">
        <f t="shared" ca="1" si="11"/>
        <v>72</v>
      </c>
    </row>
    <row r="29" spans="1:45">
      <c r="A29" s="159">
        <v>106</v>
      </c>
      <c r="B29" s="59">
        <v>33.36</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1</v>
      </c>
      <c r="Q29" s="24">
        <f t="shared" si="19"/>
        <v>1</v>
      </c>
      <c r="R29" s="715">
        <f t="shared" ca="1" si="20"/>
        <v>19669</v>
      </c>
      <c r="S29" s="361">
        <f t="shared" ca="1" si="11"/>
        <v>66</v>
      </c>
    </row>
    <row r="30" spans="1:45">
      <c r="A30" s="159">
        <v>107</v>
      </c>
      <c r="B30" s="59">
        <v>24.72</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1</v>
      </c>
      <c r="Q30" s="24">
        <f t="shared" si="19"/>
        <v>1</v>
      </c>
      <c r="R30" s="715">
        <f t="shared" ca="1" si="20"/>
        <v>19669</v>
      </c>
      <c r="S30" s="361">
        <f t="shared" ca="1" si="11"/>
        <v>49</v>
      </c>
    </row>
    <row r="31" spans="1:45">
      <c r="A31" s="159">
        <v>108</v>
      </c>
      <c r="B31" s="59">
        <v>40.409999999999997</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1</v>
      </c>
      <c r="Q31" s="24">
        <f t="shared" si="19"/>
        <v>1</v>
      </c>
      <c r="R31" s="715">
        <f t="shared" ca="1" si="20"/>
        <v>19669</v>
      </c>
      <c r="S31" s="361">
        <f t="shared" ca="1" si="11"/>
        <v>79</v>
      </c>
    </row>
    <row r="32" spans="1:45">
      <c r="A32" s="159">
        <v>109</v>
      </c>
      <c r="B32" s="59">
        <v>36.590000000000003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1</v>
      </c>
      <c r="Q32" s="24">
        <f t="shared" si="19"/>
        <v>1</v>
      </c>
      <c r="R32" s="715">
        <f t="shared" ca="1" si="20"/>
        <v>19669</v>
      </c>
      <c r="S32" s="361">
        <f t="shared" ca="1" si="11"/>
        <v>72</v>
      </c>
    </row>
    <row r="33" spans="1:19">
      <c r="A33" s="159">
        <v>110</v>
      </c>
      <c r="B33" s="59">
        <v>32.49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1</v>
      </c>
      <c r="Q33" s="24">
        <f t="shared" si="19"/>
        <v>1</v>
      </c>
      <c r="R33" s="715">
        <f t="shared" ca="1" si="20"/>
        <v>19669</v>
      </c>
      <c r="S33" s="361">
        <f t="shared" ca="1" si="11"/>
        <v>64</v>
      </c>
    </row>
    <row r="34" spans="1:19">
      <c r="A34" s="159">
        <v>111</v>
      </c>
      <c r="B34" s="59">
        <v>34.42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1</v>
      </c>
      <c r="Q34" s="24">
        <f t="shared" si="19"/>
        <v>1</v>
      </c>
      <c r="R34" s="715">
        <f t="shared" ca="1" si="20"/>
        <v>19669</v>
      </c>
      <c r="S34" s="361">
        <f t="shared" ca="1" si="11"/>
        <v>68</v>
      </c>
    </row>
    <row r="35" spans="1:19">
      <c r="A35" s="159">
        <v>112</v>
      </c>
      <c r="B35" s="59">
        <v>32.83</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1</v>
      </c>
      <c r="Q35" s="24">
        <f t="shared" si="19"/>
        <v>1</v>
      </c>
      <c r="R35" s="715">
        <f t="shared" ca="1" si="20"/>
        <v>19669</v>
      </c>
      <c r="S35" s="361">
        <f t="shared" ca="1" si="11"/>
        <v>65</v>
      </c>
    </row>
    <row r="36" spans="1:19">
      <c r="A36" s="159">
        <v>113</v>
      </c>
      <c r="B36" s="59">
        <v>36.6</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1</v>
      </c>
      <c r="Q36" s="24">
        <f t="shared" si="19"/>
        <v>1</v>
      </c>
      <c r="R36" s="715">
        <f t="shared" ca="1" si="20"/>
        <v>19669</v>
      </c>
      <c r="S36" s="361">
        <f t="shared" ca="1" si="11"/>
        <v>72</v>
      </c>
    </row>
    <row r="37" spans="1:19">
      <c r="A37" s="159">
        <v>114</v>
      </c>
      <c r="B37" s="59">
        <v>46.19</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1</v>
      </c>
      <c r="Q37" s="24">
        <f t="shared" si="19"/>
        <v>1</v>
      </c>
      <c r="R37" s="715">
        <f t="shared" ca="1" si="20"/>
        <v>19669</v>
      </c>
      <c r="S37" s="361">
        <f t="shared" ca="1" si="11"/>
        <v>91</v>
      </c>
    </row>
    <row r="38" spans="1:19">
      <c r="A38" s="159">
        <v>115</v>
      </c>
      <c r="B38" s="59">
        <v>60.07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1</v>
      </c>
      <c r="Q38" s="24">
        <f t="shared" si="19"/>
        <v>1</v>
      </c>
      <c r="R38" s="715">
        <f t="shared" ca="1" si="20"/>
        <v>19669</v>
      </c>
      <c r="S38" s="361">
        <f t="shared" ca="1" si="11"/>
        <v>118</v>
      </c>
    </row>
    <row r="39" spans="1:19">
      <c r="A39" s="159">
        <v>116</v>
      </c>
      <c r="B39" s="59">
        <v>31.37</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1</v>
      </c>
      <c r="Q39" s="24">
        <f t="shared" si="19"/>
        <v>1</v>
      </c>
      <c r="R39" s="715">
        <f t="shared" ca="1" si="20"/>
        <v>19669</v>
      </c>
      <c r="S39" s="361">
        <f t="shared" ca="1" si="11"/>
        <v>62</v>
      </c>
    </row>
    <row r="40" spans="1:19">
      <c r="A40" s="159">
        <v>117</v>
      </c>
      <c r="B40" s="59">
        <v>38.270000000000003</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1</v>
      </c>
      <c r="Q40" s="24">
        <f t="shared" si="19"/>
        <v>1</v>
      </c>
      <c r="R40" s="715">
        <f t="shared" ca="1" si="20"/>
        <v>19669</v>
      </c>
      <c r="S40" s="361">
        <f t="shared" ca="1" si="11"/>
        <v>75</v>
      </c>
    </row>
    <row r="41" spans="1:19">
      <c r="A41" s="159">
        <v>118</v>
      </c>
      <c r="B41" s="59">
        <v>45.22</v>
      </c>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1</v>
      </c>
      <c r="Q41" s="24">
        <f t="shared" si="19"/>
        <v>1</v>
      </c>
      <c r="R41" s="715">
        <f t="shared" ca="1" si="20"/>
        <v>19669</v>
      </c>
      <c r="S41" s="361">
        <f t="shared" ca="1" si="11"/>
        <v>89</v>
      </c>
    </row>
    <row r="42" spans="1:19">
      <c r="A42" s="159">
        <v>119</v>
      </c>
      <c r="B42" s="59">
        <v>43.86</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1</v>
      </c>
      <c r="Q42" s="24">
        <f t="shared" si="19"/>
        <v>1</v>
      </c>
      <c r="R42" s="715">
        <f t="shared" ca="1" si="20"/>
        <v>19669</v>
      </c>
      <c r="S42" s="361">
        <f t="shared" ca="1" si="11"/>
        <v>86</v>
      </c>
    </row>
    <row r="43" spans="1:19">
      <c r="A43" s="159">
        <v>120</v>
      </c>
      <c r="B43" s="59">
        <v>30.94</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1</v>
      </c>
      <c r="Q43" s="24">
        <f t="shared" si="19"/>
        <v>1</v>
      </c>
      <c r="R43" s="715">
        <f t="shared" ca="1" si="20"/>
        <v>19669</v>
      </c>
      <c r="S43" s="361">
        <f t="shared" ca="1" si="11"/>
        <v>61</v>
      </c>
    </row>
    <row r="44" spans="1:19">
      <c r="A44" s="159">
        <v>121</v>
      </c>
      <c r="B44" s="59">
        <v>53.69</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1</v>
      </c>
      <c r="Q44" s="24">
        <f t="shared" si="19"/>
        <v>1</v>
      </c>
      <c r="R44" s="715">
        <f t="shared" ca="1" si="20"/>
        <v>19669</v>
      </c>
      <c r="S44" s="361">
        <f t="shared" ca="1" si="11"/>
        <v>106</v>
      </c>
    </row>
    <row r="45" spans="1:19">
      <c r="A45" s="159">
        <v>122</v>
      </c>
      <c r="B45" s="59">
        <v>39.86</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1</v>
      </c>
      <c r="Q45" s="24">
        <f t="shared" si="19"/>
        <v>1</v>
      </c>
      <c r="R45" s="715">
        <f t="shared" ca="1" si="20"/>
        <v>19669</v>
      </c>
      <c r="S45" s="361">
        <f t="shared" ca="1" si="11"/>
        <v>78</v>
      </c>
    </row>
    <row r="46" spans="1:19">
      <c r="A46" s="159">
        <v>123</v>
      </c>
      <c r="B46" s="59">
        <v>34.03</v>
      </c>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1</v>
      </c>
      <c r="Q46" s="24">
        <f t="shared" si="19"/>
        <v>1</v>
      </c>
      <c r="R46" s="715">
        <f t="shared" ca="1" si="20"/>
        <v>19669</v>
      </c>
      <c r="S46" s="361">
        <f t="shared" ca="1" si="11"/>
        <v>67</v>
      </c>
    </row>
    <row r="47" spans="1:19">
      <c r="A47" s="159">
        <v>124</v>
      </c>
      <c r="B47" s="59">
        <v>29.35</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1</v>
      </c>
      <c r="Q47" s="24">
        <f t="shared" si="19"/>
        <v>1</v>
      </c>
      <c r="R47" s="715">
        <f t="shared" ca="1" si="20"/>
        <v>19669</v>
      </c>
      <c r="S47" s="361">
        <f t="shared" ca="1" si="11"/>
        <v>58</v>
      </c>
    </row>
    <row r="48" spans="1:19">
      <c r="A48" s="159">
        <v>125</v>
      </c>
      <c r="B48" s="59">
        <v>30.62</v>
      </c>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1</v>
      </c>
      <c r="Q48" s="24">
        <f t="shared" si="19"/>
        <v>1</v>
      </c>
      <c r="R48" s="715">
        <f t="shared" ca="1" si="20"/>
        <v>19669</v>
      </c>
      <c r="S48" s="361">
        <f t="shared" ca="1" si="11"/>
        <v>60</v>
      </c>
    </row>
    <row r="49" spans="1:19">
      <c r="A49" s="159">
        <v>126</v>
      </c>
      <c r="B49" s="59">
        <v>31</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1</v>
      </c>
      <c r="Q49" s="24">
        <f t="shared" si="19"/>
        <v>1</v>
      </c>
      <c r="R49" s="715">
        <f t="shared" ca="1" si="20"/>
        <v>19669</v>
      </c>
      <c r="S49" s="361">
        <f t="shared" ca="1" si="11"/>
        <v>61</v>
      </c>
    </row>
    <row r="50" spans="1:19">
      <c r="A50" s="159">
        <v>127</v>
      </c>
      <c r="B50" s="59">
        <v>48.93</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1</v>
      </c>
      <c r="Q50" s="24">
        <f t="shared" si="19"/>
        <v>1</v>
      </c>
      <c r="R50" s="715">
        <f t="shared" ca="1" si="20"/>
        <v>19669</v>
      </c>
      <c r="S50" s="361">
        <f t="shared" ca="1" si="11"/>
        <v>96</v>
      </c>
    </row>
    <row r="51" spans="1:19">
      <c r="A51" s="159">
        <v>128</v>
      </c>
      <c r="B51" s="59">
        <v>39.270000000000003</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1</v>
      </c>
      <c r="Q51" s="24">
        <f t="shared" si="19"/>
        <v>1</v>
      </c>
      <c r="R51" s="715">
        <f t="shared" ca="1" si="20"/>
        <v>19669</v>
      </c>
      <c r="S51" s="361">
        <f t="shared" ca="1" si="11"/>
        <v>77</v>
      </c>
    </row>
    <row r="52" spans="1:19">
      <c r="A52" s="159">
        <v>129</v>
      </c>
      <c r="B52" s="59">
        <v>35.56</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1</v>
      </c>
      <c r="Q52" s="24">
        <f t="shared" si="19"/>
        <v>1</v>
      </c>
      <c r="R52" s="715">
        <f t="shared" ca="1" si="20"/>
        <v>19669</v>
      </c>
      <c r="S52" s="361">
        <f t="shared" ca="1" si="11"/>
        <v>70</v>
      </c>
    </row>
    <row r="53" spans="1:19">
      <c r="A53" s="159">
        <v>130</v>
      </c>
      <c r="B53" s="59">
        <v>75.41</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1</v>
      </c>
      <c r="Q53" s="24">
        <f t="shared" si="19"/>
        <v>1</v>
      </c>
      <c r="R53" s="715">
        <f t="shared" ca="1" si="20"/>
        <v>19669</v>
      </c>
      <c r="S53" s="361">
        <f t="shared" ca="1" si="11"/>
        <v>148</v>
      </c>
    </row>
    <row r="54" spans="1:19">
      <c r="A54" s="159">
        <v>131</v>
      </c>
      <c r="B54" s="59">
        <v>77.03</v>
      </c>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1</v>
      </c>
      <c r="Q54" s="24">
        <f t="shared" si="19"/>
        <v>1</v>
      </c>
      <c r="R54" s="715">
        <f t="shared" ca="1" si="20"/>
        <v>19669</v>
      </c>
      <c r="S54" s="361">
        <f t="shared" ca="1" si="11"/>
        <v>152</v>
      </c>
    </row>
    <row r="55" spans="1:19">
      <c r="A55" s="159">
        <v>132</v>
      </c>
      <c r="B55" s="59">
        <v>64.760000000000005</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1</v>
      </c>
      <c r="Q55" s="24">
        <f t="shared" si="19"/>
        <v>1</v>
      </c>
      <c r="R55" s="715">
        <f t="shared" ca="1" si="20"/>
        <v>19669</v>
      </c>
      <c r="S55" s="361">
        <f t="shared" ref="S55:S77" ca="1" si="21">ROUND(R55*B55/10000,0)</f>
        <v>127</v>
      </c>
    </row>
    <row r="56" spans="1:19">
      <c r="A56" s="159">
        <v>133</v>
      </c>
      <c r="B56" s="59">
        <v>43.01</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1</v>
      </c>
      <c r="Q56" s="24">
        <f t="shared" si="19"/>
        <v>1</v>
      </c>
      <c r="R56" s="715">
        <f t="shared" ca="1" si="20"/>
        <v>19669</v>
      </c>
      <c r="S56" s="361">
        <f t="shared" ca="1" si="21"/>
        <v>85</v>
      </c>
    </row>
    <row r="57" spans="1:19">
      <c r="A57" s="159">
        <v>134</v>
      </c>
      <c r="B57" s="59">
        <v>48.91</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1</v>
      </c>
      <c r="Q57" s="24">
        <f t="shared" si="19"/>
        <v>1</v>
      </c>
      <c r="R57" s="715">
        <f t="shared" ca="1" si="20"/>
        <v>19669</v>
      </c>
      <c r="S57" s="361">
        <f t="shared" ca="1" si="21"/>
        <v>96</v>
      </c>
    </row>
    <row r="58" spans="1:19">
      <c r="A58" s="159">
        <v>135</v>
      </c>
      <c r="B58" s="59">
        <v>32.42</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1</v>
      </c>
      <c r="Q58" s="24">
        <f t="shared" si="19"/>
        <v>1</v>
      </c>
      <c r="R58" s="715">
        <f t="shared" ca="1" si="20"/>
        <v>19669</v>
      </c>
      <c r="S58" s="361">
        <f t="shared" ca="1" si="21"/>
        <v>64</v>
      </c>
    </row>
    <row r="59" spans="1:19">
      <c r="A59" s="159">
        <v>136</v>
      </c>
      <c r="B59" s="59">
        <v>29.67</v>
      </c>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1</v>
      </c>
      <c r="Q59" s="24">
        <f t="shared" si="19"/>
        <v>1</v>
      </c>
      <c r="R59" s="715">
        <f t="shared" ca="1" si="20"/>
        <v>19669</v>
      </c>
      <c r="S59" s="361">
        <f t="shared" ca="1" si="21"/>
        <v>58</v>
      </c>
    </row>
    <row r="60" spans="1:19">
      <c r="A60" s="159">
        <v>137</v>
      </c>
      <c r="B60" s="59">
        <v>24.8</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1</v>
      </c>
      <c r="Q60" s="24">
        <f t="shared" si="19"/>
        <v>1</v>
      </c>
      <c r="R60" s="715">
        <f t="shared" ca="1" si="20"/>
        <v>19669</v>
      </c>
      <c r="S60" s="361">
        <f t="shared" ca="1" si="21"/>
        <v>49</v>
      </c>
    </row>
    <row r="61" spans="1:19">
      <c r="A61" s="159">
        <v>138</v>
      </c>
      <c r="B61" s="59">
        <v>66.08</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1</v>
      </c>
      <c r="Q61" s="24">
        <f t="shared" si="19"/>
        <v>1</v>
      </c>
      <c r="R61" s="715">
        <f t="shared" ca="1" si="20"/>
        <v>19669</v>
      </c>
      <c r="S61" s="361">
        <f t="shared" ca="1" si="21"/>
        <v>130</v>
      </c>
    </row>
    <row r="62" spans="1:19">
      <c r="A62" s="159">
        <v>139</v>
      </c>
      <c r="B62" s="59">
        <v>48.39</v>
      </c>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1</v>
      </c>
      <c r="Q62" s="24">
        <f t="shared" si="19"/>
        <v>1</v>
      </c>
      <c r="R62" s="715">
        <f t="shared" ca="1" si="20"/>
        <v>19669</v>
      </c>
      <c r="S62" s="361">
        <f t="shared" ca="1" si="21"/>
        <v>95</v>
      </c>
    </row>
    <row r="63" spans="1:19">
      <c r="A63" s="159">
        <v>140</v>
      </c>
      <c r="B63" s="59">
        <v>66.08</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1</v>
      </c>
      <c r="Q63" s="24">
        <f t="shared" si="19"/>
        <v>1</v>
      </c>
      <c r="R63" s="715">
        <f t="shared" ca="1" si="20"/>
        <v>19669</v>
      </c>
      <c r="S63" s="361">
        <f t="shared" ca="1" si="21"/>
        <v>130</v>
      </c>
    </row>
    <row r="64" spans="1:19">
      <c r="A64" s="159">
        <v>141</v>
      </c>
      <c r="B64" s="59">
        <v>94.68</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1</v>
      </c>
      <c r="Q64" s="24">
        <f t="shared" si="19"/>
        <v>1</v>
      </c>
      <c r="R64" s="715">
        <f t="shared" ca="1" si="20"/>
        <v>19669</v>
      </c>
      <c r="S64" s="361">
        <f t="shared" ca="1" si="21"/>
        <v>186</v>
      </c>
    </row>
    <row r="65" spans="1:19">
      <c r="A65" s="159">
        <v>142</v>
      </c>
      <c r="B65" s="59">
        <v>44.92</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1</v>
      </c>
      <c r="Q65" s="24">
        <f t="shared" si="19"/>
        <v>1</v>
      </c>
      <c r="R65" s="715">
        <f t="shared" ca="1" si="20"/>
        <v>19669</v>
      </c>
      <c r="S65" s="361">
        <f t="shared" ca="1" si="21"/>
        <v>88</v>
      </c>
    </row>
    <row r="66" spans="1:19">
      <c r="A66" s="159">
        <v>143</v>
      </c>
      <c r="B66" s="59">
        <v>10795.99</v>
      </c>
      <c r="C66" s="24">
        <f t="shared" si="12"/>
        <v>0.93</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1</v>
      </c>
      <c r="Q66" s="24">
        <f t="shared" si="19"/>
        <v>1</v>
      </c>
      <c r="R66" s="715">
        <f t="shared" ca="1" si="20"/>
        <v>18292</v>
      </c>
      <c r="S66" s="361">
        <f t="shared" ca="1" si="21"/>
        <v>19748</v>
      </c>
    </row>
    <row r="67" spans="1:19">
      <c r="A67" s="159">
        <v>144</v>
      </c>
      <c r="B67" s="59">
        <v>38.57</v>
      </c>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1</v>
      </c>
      <c r="Q67" s="24">
        <f t="shared" si="19"/>
        <v>1</v>
      </c>
      <c r="R67" s="715">
        <f t="shared" ca="1" si="20"/>
        <v>19669</v>
      </c>
      <c r="S67" s="361">
        <f t="shared" ca="1" si="21"/>
        <v>76</v>
      </c>
    </row>
    <row r="68" spans="1:19">
      <c r="A68" s="159">
        <v>145</v>
      </c>
      <c r="B68" s="59">
        <v>25.2</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1</v>
      </c>
      <c r="Q68" s="24">
        <f t="shared" si="19"/>
        <v>1</v>
      </c>
      <c r="R68" s="715">
        <f t="shared" ca="1" si="20"/>
        <v>19669</v>
      </c>
      <c r="S68" s="361">
        <f t="shared" ca="1" si="21"/>
        <v>50</v>
      </c>
    </row>
    <row r="69" spans="1:19">
      <c r="A69" s="159">
        <v>146</v>
      </c>
      <c r="B69" s="59">
        <v>31.64</v>
      </c>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1</v>
      </c>
      <c r="Q69" s="24">
        <f t="shared" si="19"/>
        <v>1</v>
      </c>
      <c r="R69" s="715">
        <f t="shared" ca="1" si="20"/>
        <v>19669</v>
      </c>
      <c r="S69" s="361">
        <f t="shared" ca="1" si="21"/>
        <v>62</v>
      </c>
    </row>
    <row r="70" spans="1:19">
      <c r="A70" s="159">
        <v>147</v>
      </c>
      <c r="B70" s="59">
        <v>40.18</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1</v>
      </c>
      <c r="Q70" s="24">
        <f t="shared" si="19"/>
        <v>1</v>
      </c>
      <c r="R70" s="715">
        <f t="shared" ca="1" si="20"/>
        <v>19669</v>
      </c>
      <c r="S70" s="361">
        <f t="shared" ca="1" si="21"/>
        <v>79</v>
      </c>
    </row>
    <row r="71" spans="1:19">
      <c r="A71" s="159">
        <v>148</v>
      </c>
      <c r="B71" s="59">
        <v>51.17</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1</v>
      </c>
      <c r="Q71" s="24">
        <f t="shared" si="19"/>
        <v>1</v>
      </c>
      <c r="R71" s="715">
        <f t="shared" ca="1" si="20"/>
        <v>19669</v>
      </c>
      <c r="S71" s="361">
        <f t="shared" ca="1" si="21"/>
        <v>101</v>
      </c>
    </row>
    <row r="72" spans="1:19">
      <c r="A72" s="159">
        <v>149</v>
      </c>
      <c r="B72" s="59">
        <v>63.98</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1</v>
      </c>
      <c r="Q72" s="24">
        <f t="shared" si="19"/>
        <v>1</v>
      </c>
      <c r="R72" s="715">
        <f t="shared" ca="1" si="20"/>
        <v>19669</v>
      </c>
      <c r="S72" s="361">
        <f t="shared" ca="1" si="21"/>
        <v>126</v>
      </c>
    </row>
    <row r="73" spans="1:19">
      <c r="A73" s="159">
        <v>150</v>
      </c>
      <c r="B73" s="59">
        <v>76.760000000000005</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1</v>
      </c>
      <c r="Q73" s="24">
        <f t="shared" si="19"/>
        <v>1</v>
      </c>
      <c r="R73" s="715">
        <f t="shared" ca="1" si="20"/>
        <v>19669</v>
      </c>
      <c r="S73" s="361">
        <f t="shared" ca="1" si="21"/>
        <v>151</v>
      </c>
    </row>
    <row r="74" spans="1:19">
      <c r="A74" s="159">
        <v>151</v>
      </c>
      <c r="B74" s="59">
        <v>51.11</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1</v>
      </c>
      <c r="Q74" s="24">
        <f t="shared" si="19"/>
        <v>1</v>
      </c>
      <c r="R74" s="715">
        <f t="shared" ca="1" si="20"/>
        <v>19669</v>
      </c>
      <c r="S74" s="361">
        <f t="shared" ca="1" si="21"/>
        <v>101</v>
      </c>
    </row>
    <row r="75" spans="1:19">
      <c r="A75" s="159">
        <v>152</v>
      </c>
      <c r="B75" s="59">
        <v>65.8</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1</v>
      </c>
      <c r="Q75" s="24">
        <f t="shared" si="19"/>
        <v>1</v>
      </c>
      <c r="R75" s="715">
        <f t="shared" ca="1" si="20"/>
        <v>19669</v>
      </c>
      <c r="S75" s="361">
        <f t="shared" ca="1" si="21"/>
        <v>129</v>
      </c>
    </row>
    <row r="76" spans="1:19">
      <c r="A76" s="159">
        <v>153</v>
      </c>
      <c r="B76" s="59">
        <v>73.42</v>
      </c>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1</v>
      </c>
      <c r="Q76" s="24">
        <f t="shared" si="19"/>
        <v>1</v>
      </c>
      <c r="R76" s="715">
        <f t="shared" ca="1" si="20"/>
        <v>19669</v>
      </c>
      <c r="S76" s="361">
        <f t="shared" ca="1" si="21"/>
        <v>144</v>
      </c>
    </row>
    <row r="77" spans="1:19">
      <c r="A77" s="159">
        <v>154</v>
      </c>
      <c r="B77" s="59">
        <v>72.069999999999993</v>
      </c>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1</v>
      </c>
      <c r="Q77" s="24">
        <f t="shared" si="19"/>
        <v>1</v>
      </c>
      <c r="R77" s="715">
        <f t="shared" ca="1" si="20"/>
        <v>19669</v>
      </c>
      <c r="S77" s="361">
        <f t="shared" ca="1" si="21"/>
        <v>142</v>
      </c>
    </row>
    <row r="78" spans="1:19">
      <c r="A78" s="159">
        <v>155</v>
      </c>
      <c r="B78" s="59">
        <v>99.64</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1</v>
      </c>
      <c r="Q78" s="24">
        <f t="shared" si="19"/>
        <v>1</v>
      </c>
      <c r="R78" s="715">
        <f t="shared" ca="1" si="20"/>
        <v>19669</v>
      </c>
      <c r="S78" s="361">
        <f t="shared" ref="S78:S122" ca="1" si="22">ROUND(R78*B78/10000,0)</f>
        <v>196</v>
      </c>
    </row>
    <row r="79" spans="1:19">
      <c r="A79" s="159">
        <v>156</v>
      </c>
      <c r="B79" s="59">
        <v>32.65</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1</v>
      </c>
      <c r="Q79" s="24">
        <f t="shared" si="19"/>
        <v>1</v>
      </c>
      <c r="R79" s="715">
        <f t="shared" ca="1" si="20"/>
        <v>19669</v>
      </c>
      <c r="S79" s="361">
        <f t="shared" ca="1" si="22"/>
        <v>64</v>
      </c>
    </row>
    <row r="80" spans="1:19">
      <c r="A80" s="159">
        <v>157</v>
      </c>
      <c r="B80" s="59">
        <v>94.64</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1</v>
      </c>
      <c r="Q80" s="24">
        <f t="shared" si="19"/>
        <v>1</v>
      </c>
      <c r="R80" s="715">
        <f t="shared" ca="1" si="20"/>
        <v>19669</v>
      </c>
      <c r="S80" s="361">
        <f t="shared" ca="1" si="22"/>
        <v>186</v>
      </c>
    </row>
    <row r="81" spans="1:19">
      <c r="A81" s="159">
        <v>158</v>
      </c>
      <c r="B81" s="59">
        <v>70.959999999999994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1</v>
      </c>
      <c r="Q81" s="24">
        <f t="shared" si="19"/>
        <v>1</v>
      </c>
      <c r="R81" s="715">
        <f t="shared" ca="1" si="20"/>
        <v>19669</v>
      </c>
      <c r="S81" s="361">
        <f t="shared" ca="1" si="22"/>
        <v>140</v>
      </c>
    </row>
    <row r="82" spans="1:19">
      <c r="A82" s="159">
        <v>159</v>
      </c>
      <c r="B82" s="59">
        <v>64.33</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1</v>
      </c>
      <c r="Q82" s="24">
        <f t="shared" si="19"/>
        <v>1</v>
      </c>
      <c r="R82" s="715">
        <f t="shared" ca="1" si="20"/>
        <v>19669</v>
      </c>
      <c r="S82" s="361">
        <f t="shared" ca="1" si="22"/>
        <v>127</v>
      </c>
    </row>
    <row r="83" spans="1:19">
      <c r="A83" s="159">
        <v>160</v>
      </c>
      <c r="B83" s="59">
        <v>59.54</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1</v>
      </c>
      <c r="Q83" s="24">
        <f t="shared" si="19"/>
        <v>1</v>
      </c>
      <c r="R83" s="715">
        <f t="shared" ca="1" si="20"/>
        <v>19669</v>
      </c>
      <c r="S83" s="361">
        <f t="shared" ca="1" si="22"/>
        <v>117</v>
      </c>
    </row>
    <row r="84" spans="1:19">
      <c r="A84" s="159">
        <v>161</v>
      </c>
      <c r="B84" s="59">
        <v>84.02</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1</v>
      </c>
      <c r="Q84" s="24">
        <f t="shared" si="19"/>
        <v>1</v>
      </c>
      <c r="R84" s="715">
        <f t="shared" ca="1" si="20"/>
        <v>19669</v>
      </c>
      <c r="S84" s="361">
        <f t="shared" ca="1" si="22"/>
        <v>165</v>
      </c>
    </row>
    <row r="85" spans="1:19">
      <c r="A85" s="159">
        <v>162</v>
      </c>
      <c r="B85" s="59">
        <v>54.78</v>
      </c>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1</v>
      </c>
      <c r="Q85" s="24">
        <f t="shared" si="19"/>
        <v>1</v>
      </c>
      <c r="R85" s="715">
        <f t="shared" ca="1" si="20"/>
        <v>19669</v>
      </c>
      <c r="S85" s="361">
        <f t="shared" ca="1" si="22"/>
        <v>108</v>
      </c>
    </row>
    <row r="86" spans="1:19">
      <c r="A86" s="159">
        <v>163</v>
      </c>
      <c r="B86" s="59">
        <v>54.79</v>
      </c>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1</v>
      </c>
      <c r="Q86" s="24">
        <f t="shared" si="19"/>
        <v>1</v>
      </c>
      <c r="R86" s="715">
        <f t="shared" ca="1" si="20"/>
        <v>19669</v>
      </c>
      <c r="S86" s="361">
        <f t="shared" ca="1" si="22"/>
        <v>108</v>
      </c>
    </row>
    <row r="87" spans="1:19">
      <c r="A87" s="159">
        <v>164</v>
      </c>
      <c r="B87" s="59">
        <v>55.44</v>
      </c>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1</v>
      </c>
      <c r="Q87" s="24">
        <f t="shared" si="19"/>
        <v>1</v>
      </c>
      <c r="R87" s="715">
        <f t="shared" ca="1" si="20"/>
        <v>19669</v>
      </c>
      <c r="S87" s="361">
        <f t="shared" ca="1" si="22"/>
        <v>109</v>
      </c>
    </row>
    <row r="88" spans="1:19">
      <c r="A88" s="159">
        <v>165</v>
      </c>
      <c r="B88" s="59">
        <v>64.58</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1</v>
      </c>
      <c r="Q88" s="24">
        <f t="shared" si="19"/>
        <v>1</v>
      </c>
      <c r="R88" s="715">
        <f t="shared" ca="1" si="20"/>
        <v>19669</v>
      </c>
      <c r="S88" s="361">
        <f t="shared" ca="1" si="22"/>
        <v>127</v>
      </c>
    </row>
    <row r="89" spans="1:19">
      <c r="A89" s="159">
        <v>166</v>
      </c>
      <c r="B89" s="59">
        <v>63.31</v>
      </c>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1</v>
      </c>
      <c r="Q89" s="24">
        <f t="shared" si="19"/>
        <v>1</v>
      </c>
      <c r="R89" s="715">
        <f t="shared" ca="1" si="20"/>
        <v>19669</v>
      </c>
      <c r="S89" s="361">
        <f t="shared" ca="1" si="22"/>
        <v>125</v>
      </c>
    </row>
    <row r="90" spans="1:19">
      <c r="A90" s="159">
        <v>167</v>
      </c>
      <c r="B90" s="59">
        <v>75.08</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1</v>
      </c>
      <c r="Q90" s="24">
        <f t="shared" ref="Q90:Q153" si="30">(SUMIF($17:$17,P90,$18:$18)-SUMIF($17:$17,$P$24,$18:$18)+100)/100</f>
        <v>1</v>
      </c>
      <c r="R90" s="715">
        <f t="shared" ref="R90:R153" ca="1" si="31">IF(B90="",0,ROUND($R$24*C90*E90*G90*I90*K90*M90*O90*Q90,0))</f>
        <v>19669</v>
      </c>
      <c r="S90" s="361">
        <f t="shared" ca="1" si="22"/>
        <v>148</v>
      </c>
    </row>
    <row r="91" spans="1:19">
      <c r="A91" s="159">
        <v>168</v>
      </c>
      <c r="B91" s="59">
        <v>54.24</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1</v>
      </c>
      <c r="Q91" s="24">
        <f t="shared" si="30"/>
        <v>1</v>
      </c>
      <c r="R91" s="715">
        <f t="shared" ca="1" si="31"/>
        <v>19669</v>
      </c>
      <c r="S91" s="361">
        <f t="shared" ca="1" si="22"/>
        <v>107</v>
      </c>
    </row>
    <row r="92" spans="1:19">
      <c r="A92" s="159">
        <v>169</v>
      </c>
      <c r="B92" s="59">
        <v>54.24</v>
      </c>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1</v>
      </c>
      <c r="Q92" s="24">
        <f t="shared" si="30"/>
        <v>1</v>
      </c>
      <c r="R92" s="715">
        <f t="shared" ca="1" si="31"/>
        <v>19669</v>
      </c>
      <c r="S92" s="361">
        <f t="shared" ca="1" si="22"/>
        <v>107</v>
      </c>
    </row>
    <row r="93" spans="1:19">
      <c r="A93" s="159">
        <v>170</v>
      </c>
      <c r="B93" s="59">
        <v>72.709999999999994</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1</v>
      </c>
      <c r="Q93" s="24">
        <f t="shared" si="30"/>
        <v>1</v>
      </c>
      <c r="R93" s="715">
        <f t="shared" ca="1" si="31"/>
        <v>19669</v>
      </c>
      <c r="S93" s="361">
        <f t="shared" ca="1" si="22"/>
        <v>143</v>
      </c>
    </row>
    <row r="94" spans="1:19">
      <c r="A94" s="159">
        <v>171</v>
      </c>
      <c r="B94" s="59">
        <v>127.65</v>
      </c>
      <c r="C94" s="24">
        <f t="shared" si="23"/>
        <v>0.99</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1</v>
      </c>
      <c r="Q94" s="24">
        <f t="shared" si="30"/>
        <v>1</v>
      </c>
      <c r="R94" s="715">
        <f t="shared" ca="1" si="31"/>
        <v>19472</v>
      </c>
      <c r="S94" s="361">
        <f t="shared" ca="1" si="22"/>
        <v>249</v>
      </c>
    </row>
    <row r="95" spans="1:19">
      <c r="A95" s="159">
        <v>172</v>
      </c>
      <c r="B95" s="59">
        <v>61.36</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1</v>
      </c>
      <c r="Q95" s="24">
        <f t="shared" si="30"/>
        <v>1</v>
      </c>
      <c r="R95" s="715">
        <f t="shared" ca="1" si="31"/>
        <v>19669</v>
      </c>
      <c r="S95" s="361">
        <f t="shared" ca="1" si="22"/>
        <v>121</v>
      </c>
    </row>
    <row r="96" spans="1:19">
      <c r="A96" s="159">
        <v>173</v>
      </c>
      <c r="B96" s="59">
        <v>77.17</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1</v>
      </c>
      <c r="Q96" s="24">
        <f t="shared" si="30"/>
        <v>1</v>
      </c>
      <c r="R96" s="715">
        <f t="shared" ca="1" si="31"/>
        <v>19669</v>
      </c>
      <c r="S96" s="361">
        <f t="shared" ca="1" si="22"/>
        <v>152</v>
      </c>
    </row>
    <row r="97" spans="1:19">
      <c r="A97" s="159">
        <v>174</v>
      </c>
      <c r="B97" s="59">
        <v>72.61</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1</v>
      </c>
      <c r="Q97" s="24">
        <f t="shared" si="30"/>
        <v>1</v>
      </c>
      <c r="R97" s="715">
        <f t="shared" ca="1" si="31"/>
        <v>19669</v>
      </c>
      <c r="S97" s="361">
        <f t="shared" ca="1" si="22"/>
        <v>143</v>
      </c>
    </row>
    <row r="98" spans="1:19">
      <c r="A98" s="159">
        <v>175</v>
      </c>
      <c r="B98" s="59">
        <v>62.08</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1</v>
      </c>
      <c r="Q98" s="24">
        <f t="shared" si="30"/>
        <v>1</v>
      </c>
      <c r="R98" s="715">
        <f t="shared" ca="1" si="31"/>
        <v>19669</v>
      </c>
      <c r="S98" s="361">
        <f t="shared" ca="1" si="22"/>
        <v>122</v>
      </c>
    </row>
    <row r="99" spans="1:19">
      <c r="A99" s="159">
        <v>176</v>
      </c>
      <c r="B99" s="59">
        <v>41.97</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1</v>
      </c>
      <c r="Q99" s="24">
        <f t="shared" si="30"/>
        <v>1</v>
      </c>
      <c r="R99" s="715">
        <f t="shared" ca="1" si="31"/>
        <v>19669</v>
      </c>
      <c r="S99" s="361">
        <f t="shared" ca="1" si="22"/>
        <v>83</v>
      </c>
    </row>
    <row r="100" spans="1:19">
      <c r="A100" s="159">
        <v>177</v>
      </c>
      <c r="B100" s="59">
        <v>62.38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1</v>
      </c>
      <c r="Q100" s="24">
        <f t="shared" si="30"/>
        <v>1</v>
      </c>
      <c r="R100" s="715">
        <f t="shared" ca="1" si="31"/>
        <v>19669</v>
      </c>
      <c r="S100" s="361">
        <f t="shared" ca="1" si="22"/>
        <v>123</v>
      </c>
    </row>
    <row r="101" spans="1:19">
      <c r="A101" s="159">
        <v>178</v>
      </c>
      <c r="B101" s="59">
        <v>52.87</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1</v>
      </c>
      <c r="Q101" s="24">
        <f t="shared" si="30"/>
        <v>1</v>
      </c>
      <c r="R101" s="715">
        <f t="shared" ca="1" si="31"/>
        <v>19669</v>
      </c>
      <c r="S101" s="361">
        <f t="shared" ca="1" si="22"/>
        <v>104</v>
      </c>
    </row>
    <row r="102" spans="1:19">
      <c r="A102" s="159">
        <v>179</v>
      </c>
      <c r="B102" s="59">
        <v>53.31</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1</v>
      </c>
      <c r="Q102" s="24">
        <f t="shared" si="30"/>
        <v>1</v>
      </c>
      <c r="R102" s="715">
        <f t="shared" ca="1" si="31"/>
        <v>19669</v>
      </c>
      <c r="S102" s="361">
        <f t="shared" ca="1" si="22"/>
        <v>105</v>
      </c>
    </row>
    <row r="103" spans="1:19">
      <c r="A103" s="159">
        <v>180</v>
      </c>
      <c r="B103" s="59">
        <v>54.94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1</v>
      </c>
      <c r="Q103" s="24">
        <f t="shared" si="30"/>
        <v>1</v>
      </c>
      <c r="R103" s="715">
        <f t="shared" ca="1" si="31"/>
        <v>19669</v>
      </c>
      <c r="S103" s="361">
        <f t="shared" ca="1" si="22"/>
        <v>108</v>
      </c>
    </row>
    <row r="104" spans="1:19">
      <c r="A104" s="159">
        <v>181</v>
      </c>
      <c r="B104" s="59">
        <v>55.19</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1</v>
      </c>
      <c r="Q104" s="24">
        <f t="shared" si="30"/>
        <v>1</v>
      </c>
      <c r="R104" s="715">
        <f t="shared" ca="1" si="31"/>
        <v>19669</v>
      </c>
      <c r="S104" s="361">
        <f t="shared" ca="1" si="22"/>
        <v>109</v>
      </c>
    </row>
    <row r="105" spans="1:19">
      <c r="A105" s="159">
        <v>182</v>
      </c>
      <c r="B105" s="59">
        <v>28.44</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1</v>
      </c>
      <c r="Q105" s="24">
        <f t="shared" si="30"/>
        <v>1</v>
      </c>
      <c r="R105" s="715">
        <f t="shared" ca="1" si="31"/>
        <v>19669</v>
      </c>
      <c r="S105" s="361">
        <f t="shared" ca="1" si="22"/>
        <v>56</v>
      </c>
    </row>
    <row r="106" spans="1:19">
      <c r="A106" s="159">
        <v>183</v>
      </c>
      <c r="B106" s="59">
        <v>64.45</v>
      </c>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1</v>
      </c>
      <c r="Q106" s="24">
        <f t="shared" si="30"/>
        <v>1</v>
      </c>
      <c r="R106" s="715">
        <f t="shared" ca="1" si="31"/>
        <v>19669</v>
      </c>
      <c r="S106" s="361">
        <f t="shared" ca="1" si="22"/>
        <v>127</v>
      </c>
    </row>
    <row r="107" spans="1:19">
      <c r="A107" s="159">
        <v>184</v>
      </c>
      <c r="B107" s="59">
        <v>27.71</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1</v>
      </c>
      <c r="Q107" s="24">
        <f t="shared" si="30"/>
        <v>1</v>
      </c>
      <c r="R107" s="715">
        <f t="shared" ca="1" si="31"/>
        <v>19669</v>
      </c>
      <c r="S107" s="361">
        <f t="shared" ca="1" si="22"/>
        <v>55</v>
      </c>
    </row>
    <row r="108" spans="1:19">
      <c r="A108" s="159">
        <v>185</v>
      </c>
      <c r="B108" s="59">
        <v>40.700000000000003</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1</v>
      </c>
      <c r="Q108" s="24">
        <f t="shared" si="30"/>
        <v>1</v>
      </c>
      <c r="R108" s="715">
        <f t="shared" ca="1" si="31"/>
        <v>19669</v>
      </c>
      <c r="S108" s="361">
        <f t="shared" ca="1" si="22"/>
        <v>80</v>
      </c>
    </row>
    <row r="109" spans="1:19">
      <c r="A109" s="159">
        <v>186</v>
      </c>
      <c r="B109" s="59">
        <v>36.090000000000003</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1</v>
      </c>
      <c r="Q109" s="24">
        <f t="shared" si="30"/>
        <v>1</v>
      </c>
      <c r="R109" s="715">
        <f t="shared" ca="1" si="31"/>
        <v>19669</v>
      </c>
      <c r="S109" s="361">
        <f t="shared" ca="1" si="22"/>
        <v>71</v>
      </c>
    </row>
    <row r="110" spans="1:19">
      <c r="A110" s="159">
        <v>187</v>
      </c>
      <c r="B110" s="59">
        <v>46.01</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1</v>
      </c>
      <c r="Q110" s="24">
        <f t="shared" si="30"/>
        <v>1</v>
      </c>
      <c r="R110" s="715">
        <f t="shared" ca="1" si="31"/>
        <v>19669</v>
      </c>
      <c r="S110" s="361">
        <f t="shared" ca="1" si="22"/>
        <v>90</v>
      </c>
    </row>
    <row r="111" spans="1:19">
      <c r="A111" s="159">
        <v>188</v>
      </c>
      <c r="B111" s="59">
        <v>65.040000000000006</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1</v>
      </c>
      <c r="Q111" s="24">
        <f t="shared" si="30"/>
        <v>1</v>
      </c>
      <c r="R111" s="715">
        <f t="shared" ca="1" si="31"/>
        <v>19669</v>
      </c>
      <c r="S111" s="361">
        <f t="shared" ca="1" si="22"/>
        <v>128</v>
      </c>
    </row>
    <row r="112" spans="1:19">
      <c r="A112" s="159">
        <v>189</v>
      </c>
      <c r="B112" s="59">
        <v>38.61</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1</v>
      </c>
      <c r="Q112" s="24">
        <f t="shared" si="30"/>
        <v>1</v>
      </c>
      <c r="R112" s="715">
        <f t="shared" ca="1" si="31"/>
        <v>19669</v>
      </c>
      <c r="S112" s="361">
        <f t="shared" ca="1" si="22"/>
        <v>76</v>
      </c>
    </row>
    <row r="113" spans="1:19">
      <c r="A113" s="159">
        <v>190</v>
      </c>
      <c r="B113" s="59">
        <v>39.53</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1</v>
      </c>
      <c r="Q113" s="24">
        <f t="shared" si="30"/>
        <v>1</v>
      </c>
      <c r="R113" s="715">
        <f t="shared" ca="1" si="31"/>
        <v>19669</v>
      </c>
      <c r="S113" s="361">
        <f t="shared" ca="1" si="22"/>
        <v>78</v>
      </c>
    </row>
    <row r="114" spans="1:19">
      <c r="A114" s="159">
        <v>191</v>
      </c>
      <c r="B114" s="59">
        <v>35.67</v>
      </c>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1</v>
      </c>
      <c r="Q114" s="24">
        <f t="shared" si="30"/>
        <v>1</v>
      </c>
      <c r="R114" s="715">
        <f t="shared" ca="1" si="31"/>
        <v>19669</v>
      </c>
      <c r="S114" s="361">
        <f t="shared" ca="1" si="22"/>
        <v>70</v>
      </c>
    </row>
    <row r="115" spans="1:19">
      <c r="A115" s="159">
        <v>192</v>
      </c>
      <c r="B115" s="59">
        <v>41.17</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1</v>
      </c>
      <c r="Q115" s="24">
        <f t="shared" si="30"/>
        <v>1</v>
      </c>
      <c r="R115" s="715">
        <f t="shared" ca="1" si="31"/>
        <v>19669</v>
      </c>
      <c r="S115" s="361">
        <f t="shared" ca="1" si="22"/>
        <v>81</v>
      </c>
    </row>
    <row r="116" spans="1:19">
      <c r="A116" s="159">
        <v>193</v>
      </c>
      <c r="B116" s="59">
        <v>47.49</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1</v>
      </c>
      <c r="Q116" s="24">
        <f t="shared" si="30"/>
        <v>1</v>
      </c>
      <c r="R116" s="715">
        <f t="shared" ca="1" si="31"/>
        <v>19669</v>
      </c>
      <c r="S116" s="361">
        <f t="shared" ca="1" si="22"/>
        <v>93</v>
      </c>
    </row>
    <row r="117" spans="1:19">
      <c r="A117" s="159">
        <v>194</v>
      </c>
      <c r="B117" s="59">
        <v>38.57</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1</v>
      </c>
      <c r="Q117" s="24">
        <f t="shared" si="30"/>
        <v>1</v>
      </c>
      <c r="R117" s="715">
        <f t="shared" ca="1" si="31"/>
        <v>19669</v>
      </c>
      <c r="S117" s="361">
        <f t="shared" ca="1" si="22"/>
        <v>76</v>
      </c>
    </row>
    <row r="118" spans="1:19">
      <c r="A118" s="159">
        <v>195</v>
      </c>
      <c r="B118" s="59">
        <v>41.34</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1</v>
      </c>
      <c r="Q118" s="24">
        <f t="shared" si="30"/>
        <v>1</v>
      </c>
      <c r="R118" s="715">
        <f t="shared" ca="1" si="31"/>
        <v>19669</v>
      </c>
      <c r="S118" s="361">
        <f t="shared" ca="1" si="22"/>
        <v>81</v>
      </c>
    </row>
    <row r="119" spans="1:19">
      <c r="A119" s="159">
        <v>196</v>
      </c>
      <c r="B119" s="59">
        <v>32.18</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1</v>
      </c>
      <c r="Q119" s="24">
        <f t="shared" si="30"/>
        <v>1</v>
      </c>
      <c r="R119" s="715">
        <f t="shared" ca="1" si="31"/>
        <v>19669</v>
      </c>
      <c r="S119" s="361">
        <f t="shared" ca="1" si="22"/>
        <v>63</v>
      </c>
    </row>
    <row r="120" spans="1:19">
      <c r="A120" s="159">
        <v>197</v>
      </c>
      <c r="B120" s="59">
        <v>37.090000000000003</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1</v>
      </c>
      <c r="Q120" s="24">
        <f t="shared" si="30"/>
        <v>1</v>
      </c>
      <c r="R120" s="715">
        <f t="shared" ca="1" si="31"/>
        <v>19669</v>
      </c>
      <c r="S120" s="361">
        <f t="shared" ca="1" si="22"/>
        <v>73</v>
      </c>
    </row>
    <row r="121" spans="1:19">
      <c r="A121" s="159">
        <v>198</v>
      </c>
      <c r="B121" s="59">
        <v>30.5</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1</v>
      </c>
      <c r="Q121" s="24">
        <f t="shared" si="30"/>
        <v>1</v>
      </c>
      <c r="R121" s="715">
        <f t="shared" ca="1" si="31"/>
        <v>19669</v>
      </c>
      <c r="S121" s="361">
        <f t="shared" ca="1" si="22"/>
        <v>60</v>
      </c>
    </row>
    <row r="122" spans="1:19">
      <c r="A122" s="159">
        <v>199</v>
      </c>
      <c r="B122" s="59">
        <v>47.16</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v>1</v>
      </c>
      <c r="Q122" s="24">
        <f t="shared" si="30"/>
        <v>1</v>
      </c>
      <c r="R122" s="715">
        <f t="shared" ca="1" si="31"/>
        <v>19669</v>
      </c>
      <c r="S122" s="361">
        <f t="shared" ca="1" si="22"/>
        <v>93</v>
      </c>
    </row>
    <row r="123" spans="1:19">
      <c r="A123" s="159">
        <v>1100</v>
      </c>
      <c r="B123" s="59">
        <v>67.33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v>1</v>
      </c>
      <c r="Q123" s="24">
        <f t="shared" si="30"/>
        <v>1</v>
      </c>
      <c r="R123" s="715">
        <f t="shared" ca="1" si="31"/>
        <v>19669</v>
      </c>
      <c r="S123" s="361">
        <f t="shared" ref="S123:S186" ca="1" si="32">ROUND(R123*B123/10000,0)</f>
        <v>132</v>
      </c>
    </row>
    <row r="124" spans="1:19">
      <c r="A124" s="159">
        <v>1101</v>
      </c>
      <c r="B124" s="59">
        <v>45.79</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v>1</v>
      </c>
      <c r="Q124" s="24">
        <f t="shared" si="30"/>
        <v>1</v>
      </c>
      <c r="R124" s="715">
        <f t="shared" ca="1" si="31"/>
        <v>19669</v>
      </c>
      <c r="S124" s="361">
        <f t="shared" ca="1" si="32"/>
        <v>90</v>
      </c>
    </row>
    <row r="125" spans="1:19">
      <c r="A125" s="159">
        <v>1102</v>
      </c>
      <c r="B125" s="59">
        <v>45.58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v>1</v>
      </c>
      <c r="Q125" s="24">
        <f t="shared" si="30"/>
        <v>1</v>
      </c>
      <c r="R125" s="715">
        <f t="shared" ca="1" si="31"/>
        <v>19669</v>
      </c>
      <c r="S125" s="361">
        <f t="shared" ca="1" si="32"/>
        <v>90</v>
      </c>
    </row>
    <row r="126" spans="1:19">
      <c r="A126" s="159">
        <v>1103</v>
      </c>
      <c r="B126" s="59">
        <v>45.11</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v>1</v>
      </c>
      <c r="Q126" s="24">
        <f t="shared" si="30"/>
        <v>1</v>
      </c>
      <c r="R126" s="715">
        <f t="shared" ca="1" si="31"/>
        <v>19669</v>
      </c>
      <c r="S126" s="361">
        <f t="shared" ca="1" si="32"/>
        <v>89</v>
      </c>
    </row>
    <row r="127" spans="1:19">
      <c r="A127" s="159">
        <v>1104</v>
      </c>
      <c r="B127" s="59">
        <v>26.18</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v>1</v>
      </c>
      <c r="Q127" s="24">
        <f t="shared" si="30"/>
        <v>1</v>
      </c>
      <c r="R127" s="715">
        <f t="shared" ca="1" si="31"/>
        <v>19669</v>
      </c>
      <c r="S127" s="361">
        <f t="shared" ca="1" si="32"/>
        <v>51</v>
      </c>
    </row>
    <row r="128" spans="1:19">
      <c r="A128" s="159">
        <v>1105</v>
      </c>
      <c r="B128" s="59">
        <v>21.2</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v>1</v>
      </c>
      <c r="Q128" s="24">
        <f t="shared" si="30"/>
        <v>1</v>
      </c>
      <c r="R128" s="715">
        <f t="shared" ca="1" si="31"/>
        <v>19669</v>
      </c>
      <c r="S128" s="361">
        <f t="shared" ca="1" si="32"/>
        <v>42</v>
      </c>
    </row>
    <row r="129" spans="1:19">
      <c r="A129" s="159">
        <v>1106</v>
      </c>
      <c r="B129" s="59">
        <v>55.34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v>1</v>
      </c>
      <c r="Q129" s="24">
        <f t="shared" si="30"/>
        <v>1</v>
      </c>
      <c r="R129" s="715">
        <f t="shared" ca="1" si="31"/>
        <v>19669</v>
      </c>
      <c r="S129" s="361">
        <f t="shared" ca="1" si="32"/>
        <v>109</v>
      </c>
    </row>
    <row r="130" spans="1:19">
      <c r="A130" s="159">
        <v>1107</v>
      </c>
      <c r="B130" s="59">
        <v>47.17</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v>1</v>
      </c>
      <c r="Q130" s="24">
        <f t="shared" si="30"/>
        <v>1</v>
      </c>
      <c r="R130" s="715">
        <f t="shared" ca="1" si="31"/>
        <v>19669</v>
      </c>
      <c r="S130" s="361">
        <f t="shared" ca="1" si="32"/>
        <v>93</v>
      </c>
    </row>
    <row r="131" spans="1:19">
      <c r="A131" s="159">
        <v>1108</v>
      </c>
      <c r="B131" s="59">
        <v>51.19</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v>1</v>
      </c>
      <c r="Q131" s="24">
        <f t="shared" si="30"/>
        <v>1</v>
      </c>
      <c r="R131" s="715">
        <f t="shared" ca="1" si="31"/>
        <v>19669</v>
      </c>
      <c r="S131" s="361">
        <f t="shared" ca="1" si="32"/>
        <v>101</v>
      </c>
    </row>
    <row r="132" spans="1:19">
      <c r="A132" s="159">
        <v>1109</v>
      </c>
      <c r="B132" s="59">
        <v>47.16</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v>1</v>
      </c>
      <c r="Q132" s="24">
        <f t="shared" si="30"/>
        <v>1</v>
      </c>
      <c r="R132" s="715">
        <f t="shared" ca="1" si="31"/>
        <v>19669</v>
      </c>
      <c r="S132" s="361">
        <f t="shared" ca="1" si="32"/>
        <v>93</v>
      </c>
    </row>
    <row r="133" spans="1:19">
      <c r="A133" s="159">
        <v>1110</v>
      </c>
      <c r="B133" s="59">
        <v>31.3</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v>1</v>
      </c>
      <c r="Q133" s="24">
        <f t="shared" si="30"/>
        <v>1</v>
      </c>
      <c r="R133" s="715">
        <f t="shared" ca="1" si="31"/>
        <v>19669</v>
      </c>
      <c r="S133" s="361">
        <f t="shared" ca="1" si="32"/>
        <v>62</v>
      </c>
    </row>
    <row r="134" spans="1:19">
      <c r="A134" s="159">
        <v>1111</v>
      </c>
      <c r="B134" s="59">
        <v>32.18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v>1</v>
      </c>
      <c r="Q134" s="24">
        <f t="shared" si="30"/>
        <v>1</v>
      </c>
      <c r="R134" s="715">
        <f t="shared" ca="1" si="31"/>
        <v>19669</v>
      </c>
      <c r="S134" s="361">
        <f t="shared" ca="1" si="32"/>
        <v>63</v>
      </c>
    </row>
    <row r="135" spans="1:19">
      <c r="A135" s="159">
        <v>1112</v>
      </c>
      <c r="B135" s="59">
        <v>47.16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v>1</v>
      </c>
      <c r="Q135" s="24">
        <f t="shared" si="30"/>
        <v>1</v>
      </c>
      <c r="R135" s="715">
        <f t="shared" ca="1" si="31"/>
        <v>19669</v>
      </c>
      <c r="S135" s="361">
        <f t="shared" ca="1" si="32"/>
        <v>93</v>
      </c>
    </row>
    <row r="136" spans="1:19">
      <c r="A136" s="159">
        <v>1113</v>
      </c>
      <c r="B136" s="59">
        <v>37.1</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v>1</v>
      </c>
      <c r="Q136" s="24">
        <f t="shared" si="30"/>
        <v>1</v>
      </c>
      <c r="R136" s="715">
        <f t="shared" ca="1" si="31"/>
        <v>19669</v>
      </c>
      <c r="S136" s="361">
        <f t="shared" ca="1" si="32"/>
        <v>73</v>
      </c>
    </row>
    <row r="137" spans="1:19">
      <c r="A137" s="159">
        <v>1114</v>
      </c>
      <c r="B137" s="59">
        <v>54.94</v>
      </c>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v>1</v>
      </c>
      <c r="Q137" s="24">
        <f t="shared" si="30"/>
        <v>1</v>
      </c>
      <c r="R137" s="715">
        <f t="shared" ca="1" si="31"/>
        <v>19669</v>
      </c>
      <c r="S137" s="361">
        <f t="shared" ca="1" si="32"/>
        <v>108</v>
      </c>
    </row>
    <row r="138" spans="1:19">
      <c r="A138" s="159">
        <v>1115</v>
      </c>
      <c r="B138" s="59">
        <v>28.38</v>
      </c>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v>1</v>
      </c>
      <c r="Q138" s="24">
        <f t="shared" si="30"/>
        <v>1</v>
      </c>
      <c r="R138" s="715">
        <f t="shared" ca="1" si="31"/>
        <v>19669</v>
      </c>
      <c r="S138" s="361">
        <f t="shared" ca="1" si="32"/>
        <v>56</v>
      </c>
    </row>
    <row r="139" spans="1:19">
      <c r="A139" s="159">
        <v>1116</v>
      </c>
      <c r="B139" s="59">
        <v>26.45</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v>1</v>
      </c>
      <c r="Q139" s="24">
        <f t="shared" si="30"/>
        <v>1</v>
      </c>
      <c r="R139" s="715">
        <f t="shared" ca="1" si="31"/>
        <v>19669</v>
      </c>
      <c r="S139" s="361">
        <f t="shared" ca="1" si="32"/>
        <v>52</v>
      </c>
    </row>
    <row r="140" spans="1:19">
      <c r="A140" s="159">
        <v>1117</v>
      </c>
      <c r="B140" s="59">
        <v>40.049999999999997</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v>1</v>
      </c>
      <c r="Q140" s="24">
        <f t="shared" si="30"/>
        <v>1</v>
      </c>
      <c r="R140" s="715">
        <f t="shared" ca="1" si="31"/>
        <v>19669</v>
      </c>
      <c r="S140" s="361">
        <f t="shared" ca="1" si="32"/>
        <v>79</v>
      </c>
    </row>
    <row r="141" spans="1:19">
      <c r="A141" s="159">
        <v>1118</v>
      </c>
      <c r="B141" s="59">
        <v>44.26</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v>1</v>
      </c>
      <c r="Q141" s="24">
        <f t="shared" si="30"/>
        <v>1</v>
      </c>
      <c r="R141" s="715">
        <f t="shared" ca="1" si="31"/>
        <v>19669</v>
      </c>
      <c r="S141" s="361">
        <f t="shared" ca="1" si="32"/>
        <v>87</v>
      </c>
    </row>
    <row r="142" spans="1:19">
      <c r="A142" s="159">
        <v>1119</v>
      </c>
      <c r="B142" s="59">
        <v>44.92</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v>1</v>
      </c>
      <c r="Q142" s="24">
        <f t="shared" si="30"/>
        <v>1</v>
      </c>
      <c r="R142" s="715">
        <f t="shared" ca="1" si="31"/>
        <v>19669</v>
      </c>
      <c r="S142" s="361">
        <f t="shared" ca="1" si="32"/>
        <v>88</v>
      </c>
    </row>
    <row r="143" spans="1:19">
      <c r="A143" s="159">
        <v>1120</v>
      </c>
      <c r="B143" s="59">
        <v>33.659999999999997</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v>1</v>
      </c>
      <c r="Q143" s="24">
        <f t="shared" si="30"/>
        <v>1</v>
      </c>
      <c r="R143" s="715">
        <f t="shared" ca="1" si="31"/>
        <v>19669</v>
      </c>
      <c r="S143" s="361">
        <f t="shared" ca="1" si="32"/>
        <v>66</v>
      </c>
    </row>
    <row r="144" spans="1:19">
      <c r="A144" s="159">
        <v>1121</v>
      </c>
      <c r="B144" s="59">
        <v>64.11</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v>1</v>
      </c>
      <c r="Q144" s="24">
        <f t="shared" si="30"/>
        <v>1</v>
      </c>
      <c r="R144" s="715">
        <f t="shared" ca="1" si="31"/>
        <v>19669</v>
      </c>
      <c r="S144" s="361">
        <f t="shared" ca="1" si="32"/>
        <v>126</v>
      </c>
    </row>
    <row r="145" spans="1:19">
      <c r="A145" s="159">
        <v>1122</v>
      </c>
      <c r="B145" s="59">
        <v>54.83</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v>1</v>
      </c>
      <c r="Q145" s="24">
        <f t="shared" si="30"/>
        <v>1</v>
      </c>
      <c r="R145" s="715">
        <f t="shared" ca="1" si="31"/>
        <v>19669</v>
      </c>
      <c r="S145" s="361">
        <f t="shared" ca="1" si="32"/>
        <v>108</v>
      </c>
    </row>
    <row r="146" spans="1:19">
      <c r="A146" s="159">
        <v>1123</v>
      </c>
      <c r="B146" s="59">
        <v>54.82</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v>1</v>
      </c>
      <c r="Q146" s="24">
        <f t="shared" si="30"/>
        <v>1</v>
      </c>
      <c r="R146" s="715">
        <f t="shared" ca="1" si="31"/>
        <v>19669</v>
      </c>
      <c r="S146" s="361">
        <f t="shared" ca="1" si="32"/>
        <v>108</v>
      </c>
    </row>
    <row r="147" spans="1:19">
      <c r="A147" s="159">
        <v>1124</v>
      </c>
      <c r="B147" s="59">
        <v>54.82</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v>1</v>
      </c>
      <c r="Q147" s="24">
        <f t="shared" si="30"/>
        <v>1</v>
      </c>
      <c r="R147" s="715">
        <f t="shared" ca="1" si="31"/>
        <v>19669</v>
      </c>
      <c r="S147" s="361">
        <f t="shared" ca="1" si="32"/>
        <v>108</v>
      </c>
    </row>
    <row r="148" spans="1:19">
      <c r="A148" s="159">
        <v>1125</v>
      </c>
      <c r="B148" s="59">
        <v>50.31</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v>1</v>
      </c>
      <c r="Q148" s="24">
        <f t="shared" si="30"/>
        <v>1</v>
      </c>
      <c r="R148" s="715">
        <f t="shared" ca="1" si="31"/>
        <v>19669</v>
      </c>
      <c r="S148" s="361">
        <f t="shared" ca="1" si="32"/>
        <v>99</v>
      </c>
    </row>
    <row r="149" spans="1:19">
      <c r="A149" s="159">
        <v>1126</v>
      </c>
      <c r="B149" s="59">
        <v>30.93</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v>1</v>
      </c>
      <c r="Q149" s="24">
        <f t="shared" si="30"/>
        <v>1</v>
      </c>
      <c r="R149" s="715">
        <f t="shared" ca="1" si="31"/>
        <v>19669</v>
      </c>
      <c r="S149" s="361">
        <f t="shared" ca="1" si="32"/>
        <v>61</v>
      </c>
    </row>
    <row r="150" spans="1:19">
      <c r="A150" s="159">
        <v>1127</v>
      </c>
      <c r="B150" s="59">
        <v>53.44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v>1</v>
      </c>
      <c r="Q150" s="24">
        <f t="shared" si="30"/>
        <v>1</v>
      </c>
      <c r="R150" s="715">
        <f t="shared" ca="1" si="31"/>
        <v>19669</v>
      </c>
      <c r="S150" s="361">
        <f t="shared" ca="1" si="32"/>
        <v>105</v>
      </c>
    </row>
    <row r="151" spans="1:19">
      <c r="A151" s="159">
        <v>1128</v>
      </c>
      <c r="B151" s="59">
        <v>35.119999999999997</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v>1</v>
      </c>
      <c r="Q151" s="24">
        <f t="shared" si="30"/>
        <v>1</v>
      </c>
      <c r="R151" s="715">
        <f t="shared" ca="1" si="31"/>
        <v>19669</v>
      </c>
      <c r="S151" s="361">
        <f t="shared" ca="1" si="32"/>
        <v>69</v>
      </c>
    </row>
    <row r="152" spans="1:19">
      <c r="A152" s="159">
        <v>1129</v>
      </c>
      <c r="B152" s="59">
        <v>59.89</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v>1</v>
      </c>
      <c r="Q152" s="24">
        <f t="shared" si="30"/>
        <v>1</v>
      </c>
      <c r="R152" s="715">
        <f t="shared" ca="1" si="31"/>
        <v>19669</v>
      </c>
      <c r="S152" s="361">
        <f t="shared" ca="1" si="32"/>
        <v>118</v>
      </c>
    </row>
    <row r="153" spans="1:19">
      <c r="A153" s="159">
        <v>1130</v>
      </c>
      <c r="B153" s="59">
        <v>29.24</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v>1</v>
      </c>
      <c r="Q153" s="24">
        <f t="shared" si="30"/>
        <v>1</v>
      </c>
      <c r="R153" s="715">
        <f t="shared" ca="1" si="31"/>
        <v>19669</v>
      </c>
      <c r="S153" s="361">
        <f t="shared" ca="1" si="32"/>
        <v>58</v>
      </c>
    </row>
    <row r="154" spans="1:19">
      <c r="A154" s="159">
        <v>1131</v>
      </c>
      <c r="B154" s="59">
        <v>48.98</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v>1</v>
      </c>
      <c r="Q154" s="24">
        <f t="shared" ref="Q154:Q217" si="40">(SUMIF($17:$17,P154,$18:$18)-SUMIF($17:$17,$P$24,$18:$18)+100)/100</f>
        <v>1</v>
      </c>
      <c r="R154" s="715">
        <f t="shared" ref="R154:R217" ca="1" si="41">IF(B154="",0,ROUND($R$24*C154*E154*G154*I154*K154*M154*O154*Q154,0))</f>
        <v>19669</v>
      </c>
      <c r="S154" s="361">
        <f t="shared" ca="1" si="32"/>
        <v>96</v>
      </c>
    </row>
    <row r="155" spans="1:19">
      <c r="A155" s="159">
        <v>1132</v>
      </c>
      <c r="B155" s="59">
        <v>28.96</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v>1</v>
      </c>
      <c r="Q155" s="24">
        <f t="shared" si="40"/>
        <v>1</v>
      </c>
      <c r="R155" s="715">
        <f t="shared" ca="1" si="41"/>
        <v>19669</v>
      </c>
      <c r="S155" s="361">
        <f t="shared" ca="1" si="32"/>
        <v>57</v>
      </c>
    </row>
    <row r="156" spans="1:19">
      <c r="A156" s="159">
        <v>1133</v>
      </c>
      <c r="B156" s="59">
        <v>52.75</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v>1</v>
      </c>
      <c r="Q156" s="24">
        <f t="shared" si="40"/>
        <v>1</v>
      </c>
      <c r="R156" s="715">
        <f t="shared" ca="1" si="41"/>
        <v>19669</v>
      </c>
      <c r="S156" s="361">
        <f t="shared" ca="1" si="32"/>
        <v>104</v>
      </c>
    </row>
    <row r="157" spans="1:19">
      <c r="A157" s="159">
        <v>1134</v>
      </c>
      <c r="B157" s="59">
        <v>31.3</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v>1</v>
      </c>
      <c r="Q157" s="24">
        <f t="shared" si="40"/>
        <v>1</v>
      </c>
      <c r="R157" s="715">
        <f t="shared" ca="1" si="41"/>
        <v>19669</v>
      </c>
      <c r="S157" s="361">
        <f t="shared" ca="1" si="32"/>
        <v>62</v>
      </c>
    </row>
    <row r="158" spans="1:19">
      <c r="A158" s="159">
        <v>1135</v>
      </c>
      <c r="B158" s="59">
        <v>54.53</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v>1</v>
      </c>
      <c r="Q158" s="24">
        <f t="shared" si="40"/>
        <v>1</v>
      </c>
      <c r="R158" s="715">
        <f t="shared" ca="1" si="41"/>
        <v>19669</v>
      </c>
      <c r="S158" s="361">
        <f t="shared" ca="1" si="32"/>
        <v>107</v>
      </c>
    </row>
    <row r="159" spans="1:19">
      <c r="A159" s="159">
        <v>1136</v>
      </c>
      <c r="B159" s="59">
        <v>36.39</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v>1</v>
      </c>
      <c r="Q159" s="24">
        <f t="shared" si="40"/>
        <v>1</v>
      </c>
      <c r="R159" s="715">
        <f t="shared" ca="1" si="41"/>
        <v>19669</v>
      </c>
      <c r="S159" s="361">
        <f t="shared" ca="1" si="32"/>
        <v>72</v>
      </c>
    </row>
    <row r="160" spans="1:19">
      <c r="A160" s="159">
        <v>1137</v>
      </c>
      <c r="B160" s="59">
        <v>54.78</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v>1</v>
      </c>
      <c r="Q160" s="24">
        <f t="shared" si="40"/>
        <v>1</v>
      </c>
      <c r="R160" s="715">
        <f t="shared" ca="1" si="41"/>
        <v>19669</v>
      </c>
      <c r="S160" s="361">
        <f t="shared" ca="1" si="32"/>
        <v>108</v>
      </c>
    </row>
    <row r="161" spans="1:19">
      <c r="A161" s="159">
        <v>1138</v>
      </c>
      <c r="B161" s="59">
        <v>44.64</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v>1</v>
      </c>
      <c r="Q161" s="24">
        <f t="shared" si="40"/>
        <v>1</v>
      </c>
      <c r="R161" s="715">
        <f t="shared" ca="1" si="41"/>
        <v>19669</v>
      </c>
      <c r="S161" s="361">
        <f t="shared" ca="1" si="32"/>
        <v>88</v>
      </c>
    </row>
    <row r="162" spans="1:19">
      <c r="A162" s="159">
        <v>1139</v>
      </c>
      <c r="B162" s="59">
        <v>54.77</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v>1</v>
      </c>
      <c r="Q162" s="24">
        <f t="shared" si="40"/>
        <v>1</v>
      </c>
      <c r="R162" s="715">
        <f t="shared" ca="1" si="41"/>
        <v>19669</v>
      </c>
      <c r="S162" s="361">
        <f t="shared" ca="1" si="32"/>
        <v>108</v>
      </c>
    </row>
    <row r="163" spans="1:19">
      <c r="A163" s="159">
        <v>1140</v>
      </c>
      <c r="B163" s="59">
        <v>53.93</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v>1</v>
      </c>
      <c r="Q163" s="24">
        <f t="shared" si="40"/>
        <v>1</v>
      </c>
      <c r="R163" s="715">
        <f t="shared" ca="1" si="41"/>
        <v>19669</v>
      </c>
      <c r="S163" s="361">
        <f t="shared" ca="1" si="32"/>
        <v>106</v>
      </c>
    </row>
    <row r="164" spans="1:19">
      <c r="A164" s="159">
        <v>1141</v>
      </c>
      <c r="B164" s="59">
        <v>55.86</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v>1</v>
      </c>
      <c r="Q164" s="24">
        <f t="shared" si="40"/>
        <v>1</v>
      </c>
      <c r="R164" s="715">
        <f t="shared" ca="1" si="41"/>
        <v>19669</v>
      </c>
      <c r="S164" s="361">
        <f t="shared" ca="1" si="32"/>
        <v>110</v>
      </c>
    </row>
    <row r="165" spans="1:19">
      <c r="A165" s="159">
        <v>1142</v>
      </c>
      <c r="B165" s="59">
        <v>66.28</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v>1</v>
      </c>
      <c r="Q165" s="24">
        <f t="shared" si="40"/>
        <v>1</v>
      </c>
      <c r="R165" s="715">
        <f t="shared" ca="1" si="41"/>
        <v>19669</v>
      </c>
      <c r="S165" s="361">
        <f t="shared" ca="1" si="32"/>
        <v>130</v>
      </c>
    </row>
    <row r="166" spans="1:19">
      <c r="A166" s="159">
        <v>1143</v>
      </c>
      <c r="B166" s="59">
        <v>30</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v>1</v>
      </c>
      <c r="Q166" s="24">
        <f t="shared" si="40"/>
        <v>1</v>
      </c>
      <c r="R166" s="715">
        <f t="shared" ca="1" si="41"/>
        <v>19669</v>
      </c>
      <c r="S166" s="361">
        <f t="shared" ca="1" si="32"/>
        <v>59</v>
      </c>
    </row>
    <row r="167" spans="1:19">
      <c r="A167" s="159">
        <v>1144</v>
      </c>
      <c r="B167" s="59">
        <v>60.77</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v>1</v>
      </c>
      <c r="Q167" s="24">
        <f t="shared" si="40"/>
        <v>1</v>
      </c>
      <c r="R167" s="715">
        <f t="shared" ca="1" si="41"/>
        <v>19669</v>
      </c>
      <c r="S167" s="361">
        <f t="shared" ca="1" si="32"/>
        <v>120</v>
      </c>
    </row>
    <row r="168" spans="1:19">
      <c r="A168" s="159">
        <v>1145</v>
      </c>
      <c r="B168" s="59">
        <v>36.200000000000003</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v>1</v>
      </c>
      <c r="Q168" s="24">
        <f t="shared" si="40"/>
        <v>1</v>
      </c>
      <c r="R168" s="715">
        <f t="shared" ca="1" si="41"/>
        <v>19669</v>
      </c>
      <c r="S168" s="361">
        <f t="shared" ca="1" si="32"/>
        <v>71</v>
      </c>
    </row>
    <row r="169" spans="1:19">
      <c r="A169" s="159">
        <v>1146</v>
      </c>
      <c r="B169" s="59">
        <v>27.64</v>
      </c>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v>1</v>
      </c>
      <c r="Q169" s="24">
        <f t="shared" si="40"/>
        <v>1</v>
      </c>
      <c r="R169" s="715">
        <f t="shared" ca="1" si="41"/>
        <v>19669</v>
      </c>
      <c r="S169" s="361">
        <f t="shared" ca="1" si="32"/>
        <v>54</v>
      </c>
    </row>
    <row r="170" spans="1:19">
      <c r="A170" s="159">
        <v>1147</v>
      </c>
      <c r="B170" s="59">
        <v>27.64</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v>1</v>
      </c>
      <c r="Q170" s="24">
        <f t="shared" si="40"/>
        <v>1</v>
      </c>
      <c r="R170" s="715">
        <f t="shared" ca="1" si="41"/>
        <v>19669</v>
      </c>
      <c r="S170" s="361">
        <f t="shared" ca="1" si="32"/>
        <v>54</v>
      </c>
    </row>
    <row r="171" spans="1:19">
      <c r="A171" s="159">
        <v>1148</v>
      </c>
      <c r="B171" s="59">
        <v>22.93</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v>1</v>
      </c>
      <c r="Q171" s="24">
        <f t="shared" si="40"/>
        <v>1</v>
      </c>
      <c r="R171" s="715">
        <f t="shared" ca="1" si="41"/>
        <v>19669</v>
      </c>
      <c r="S171" s="361">
        <f t="shared" ca="1" si="32"/>
        <v>45</v>
      </c>
    </row>
    <row r="172" spans="1:19">
      <c r="A172" s="159">
        <v>1149</v>
      </c>
      <c r="B172" s="59">
        <v>25.89</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v>1</v>
      </c>
      <c r="Q172" s="24">
        <f t="shared" si="40"/>
        <v>1</v>
      </c>
      <c r="R172" s="715">
        <f t="shared" ca="1" si="41"/>
        <v>19669</v>
      </c>
      <c r="S172" s="361">
        <f t="shared" ca="1" si="32"/>
        <v>51</v>
      </c>
    </row>
    <row r="173" spans="1:19">
      <c r="A173" s="159">
        <v>1150</v>
      </c>
      <c r="B173" s="59">
        <v>83.98</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v>1</v>
      </c>
      <c r="Q173" s="24">
        <f t="shared" si="40"/>
        <v>1</v>
      </c>
      <c r="R173" s="715">
        <f t="shared" ca="1" si="41"/>
        <v>19669</v>
      </c>
      <c r="S173" s="361">
        <f t="shared" ca="1" si="32"/>
        <v>165</v>
      </c>
    </row>
    <row r="174" spans="1:19">
      <c r="A174" s="159">
        <v>1151</v>
      </c>
      <c r="B174" s="59">
        <v>79.459999999999994</v>
      </c>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v>1</v>
      </c>
      <c r="Q174" s="24">
        <f t="shared" si="40"/>
        <v>1</v>
      </c>
      <c r="R174" s="715">
        <f t="shared" ca="1" si="41"/>
        <v>19669</v>
      </c>
      <c r="S174" s="361">
        <f t="shared" ca="1" si="32"/>
        <v>156</v>
      </c>
    </row>
    <row r="175" spans="1:19">
      <c r="A175" s="159">
        <v>1152</v>
      </c>
      <c r="B175" s="59">
        <v>49.84</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v>1</v>
      </c>
      <c r="Q175" s="24">
        <f t="shared" si="40"/>
        <v>1</v>
      </c>
      <c r="R175" s="715">
        <f t="shared" ca="1" si="41"/>
        <v>19669</v>
      </c>
      <c r="S175" s="361">
        <f t="shared" ca="1" si="32"/>
        <v>98</v>
      </c>
    </row>
    <row r="176" spans="1:19">
      <c r="A176" s="159">
        <v>1153</v>
      </c>
      <c r="B176" s="59">
        <v>35.630000000000003</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v>1</v>
      </c>
      <c r="Q176" s="24">
        <f t="shared" si="40"/>
        <v>1</v>
      </c>
      <c r="R176" s="715">
        <f t="shared" ca="1" si="41"/>
        <v>19669</v>
      </c>
      <c r="S176" s="361">
        <f t="shared" ca="1" si="32"/>
        <v>70</v>
      </c>
    </row>
    <row r="177" spans="1:19">
      <c r="A177" s="159">
        <v>1154</v>
      </c>
      <c r="B177" s="59">
        <v>25.88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v>1</v>
      </c>
      <c r="Q177" s="24">
        <f t="shared" si="40"/>
        <v>1</v>
      </c>
      <c r="R177" s="715">
        <f t="shared" ca="1" si="41"/>
        <v>19669</v>
      </c>
      <c r="S177" s="361">
        <f t="shared" ca="1" si="32"/>
        <v>51</v>
      </c>
    </row>
    <row r="178" spans="1:19">
      <c r="A178" s="159">
        <v>1156</v>
      </c>
      <c r="B178" s="59">
        <v>41.16</v>
      </c>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v>1</v>
      </c>
      <c r="Q178" s="24">
        <f t="shared" si="40"/>
        <v>1</v>
      </c>
      <c r="R178" s="715">
        <f t="shared" ca="1" si="41"/>
        <v>19669</v>
      </c>
      <c r="S178" s="361">
        <f t="shared" ca="1" si="32"/>
        <v>81</v>
      </c>
    </row>
    <row r="179" spans="1:19">
      <c r="A179" s="159">
        <v>1157</v>
      </c>
      <c r="B179" s="59">
        <v>41.31</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v>1</v>
      </c>
      <c r="Q179" s="24">
        <f t="shared" si="40"/>
        <v>1</v>
      </c>
      <c r="R179" s="715">
        <f t="shared" ca="1" si="41"/>
        <v>19669</v>
      </c>
      <c r="S179" s="361">
        <f t="shared" ca="1" si="32"/>
        <v>81</v>
      </c>
    </row>
    <row r="180" spans="1:19">
      <c r="A180" s="159">
        <v>1158</v>
      </c>
      <c r="B180" s="59">
        <v>41.23</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v>1</v>
      </c>
      <c r="Q180" s="24">
        <f t="shared" si="40"/>
        <v>1</v>
      </c>
      <c r="R180" s="715">
        <f t="shared" ca="1" si="41"/>
        <v>19669</v>
      </c>
      <c r="S180" s="361">
        <f t="shared" ca="1" si="32"/>
        <v>81</v>
      </c>
    </row>
    <row r="181" spans="1:19">
      <c r="A181" s="159">
        <v>1159</v>
      </c>
      <c r="B181" s="59">
        <v>49.43</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v>1</v>
      </c>
      <c r="Q181" s="24">
        <f t="shared" si="40"/>
        <v>1</v>
      </c>
      <c r="R181" s="715">
        <f t="shared" ca="1" si="41"/>
        <v>19669</v>
      </c>
      <c r="S181" s="361">
        <f t="shared" ca="1" si="32"/>
        <v>97</v>
      </c>
    </row>
    <row r="182" spans="1:19">
      <c r="A182" s="159">
        <v>1160</v>
      </c>
      <c r="B182" s="59">
        <v>60.76</v>
      </c>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v>1</v>
      </c>
      <c r="Q182" s="24">
        <f t="shared" si="40"/>
        <v>1</v>
      </c>
      <c r="R182" s="715">
        <f t="shared" ca="1" si="41"/>
        <v>19669</v>
      </c>
      <c r="S182" s="361">
        <f t="shared" ca="1" si="32"/>
        <v>120</v>
      </c>
    </row>
    <row r="183" spans="1:19">
      <c r="A183" s="159">
        <v>1161</v>
      </c>
      <c r="B183" s="59">
        <v>33.950000000000003</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v>1</v>
      </c>
      <c r="Q183" s="24">
        <f t="shared" si="40"/>
        <v>1</v>
      </c>
      <c r="R183" s="715">
        <f t="shared" ca="1" si="41"/>
        <v>19669</v>
      </c>
      <c r="S183" s="361">
        <f t="shared" ca="1" si="32"/>
        <v>67</v>
      </c>
    </row>
    <row r="184" spans="1:19">
      <c r="A184" s="159">
        <v>1162</v>
      </c>
      <c r="B184" s="59">
        <v>24.61</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v>1</v>
      </c>
      <c r="Q184" s="24">
        <f t="shared" si="40"/>
        <v>1</v>
      </c>
      <c r="R184" s="715">
        <f t="shared" ca="1" si="41"/>
        <v>19669</v>
      </c>
      <c r="S184" s="361">
        <f t="shared" ca="1" si="32"/>
        <v>48</v>
      </c>
    </row>
    <row r="185" spans="1:19">
      <c r="A185" s="159">
        <v>1163</v>
      </c>
      <c r="B185" s="59">
        <v>38.520000000000003</v>
      </c>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v>1</v>
      </c>
      <c r="Q185" s="24">
        <f t="shared" si="40"/>
        <v>1</v>
      </c>
      <c r="R185" s="715">
        <f t="shared" ca="1" si="41"/>
        <v>19669</v>
      </c>
      <c r="S185" s="361">
        <f t="shared" ca="1" si="32"/>
        <v>76</v>
      </c>
    </row>
    <row r="186" spans="1:19">
      <c r="A186" s="159">
        <v>1164</v>
      </c>
      <c r="B186" s="59">
        <v>50.36</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v>1</v>
      </c>
      <c r="Q186" s="24">
        <f t="shared" si="40"/>
        <v>1</v>
      </c>
      <c r="R186" s="715">
        <f t="shared" ca="1" si="41"/>
        <v>19669</v>
      </c>
      <c r="S186" s="361">
        <f t="shared" ca="1" si="32"/>
        <v>99</v>
      </c>
    </row>
    <row r="187" spans="1:19">
      <c r="A187" s="159">
        <v>201</v>
      </c>
      <c r="B187" s="59">
        <v>170.7</v>
      </c>
      <c r="C187" s="24">
        <f t="shared" si="33"/>
        <v>0.99</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v>2</v>
      </c>
      <c r="Q187" s="24">
        <f t="shared" si="40"/>
        <v>0.7</v>
      </c>
      <c r="R187" s="715">
        <f t="shared" ca="1" si="41"/>
        <v>13631</v>
      </c>
      <c r="S187" s="361">
        <f t="shared" ref="S187:S222" ca="1" si="42">ROUND(R187*B187/10000,0)</f>
        <v>233</v>
      </c>
    </row>
    <row r="188" spans="1:19">
      <c r="A188" s="159">
        <v>202</v>
      </c>
      <c r="B188" s="59">
        <v>33.369999999999997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v>2</v>
      </c>
      <c r="Q188" s="24">
        <f t="shared" si="40"/>
        <v>0.7</v>
      </c>
      <c r="R188" s="715">
        <f t="shared" ca="1" si="41"/>
        <v>13768</v>
      </c>
      <c r="S188" s="361">
        <f t="shared" ca="1" si="42"/>
        <v>46</v>
      </c>
    </row>
    <row r="189" spans="1:19">
      <c r="A189" s="159">
        <v>204</v>
      </c>
      <c r="B189" s="59">
        <v>48.22</v>
      </c>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v>2</v>
      </c>
      <c r="Q189" s="24">
        <f t="shared" si="40"/>
        <v>0.7</v>
      </c>
      <c r="R189" s="715">
        <f t="shared" ca="1" si="41"/>
        <v>13768</v>
      </c>
      <c r="S189" s="361">
        <f t="shared" ca="1" si="42"/>
        <v>66</v>
      </c>
    </row>
    <row r="190" spans="1:19">
      <c r="A190" s="159">
        <v>205</v>
      </c>
      <c r="B190" s="59">
        <v>44.04</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v>2</v>
      </c>
      <c r="Q190" s="24">
        <f t="shared" si="40"/>
        <v>0.7</v>
      </c>
      <c r="R190" s="715">
        <f t="shared" ca="1" si="41"/>
        <v>13768</v>
      </c>
      <c r="S190" s="361">
        <f t="shared" ca="1" si="42"/>
        <v>61</v>
      </c>
    </row>
    <row r="191" spans="1:19">
      <c r="A191" s="159">
        <v>207</v>
      </c>
      <c r="B191" s="59">
        <v>41.41</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v>2</v>
      </c>
      <c r="Q191" s="24">
        <f t="shared" si="40"/>
        <v>0.7</v>
      </c>
      <c r="R191" s="715">
        <f t="shared" ca="1" si="41"/>
        <v>13768</v>
      </c>
      <c r="S191" s="361">
        <f t="shared" ca="1" si="42"/>
        <v>57</v>
      </c>
    </row>
    <row r="192" spans="1:19">
      <c r="A192" s="159">
        <v>208</v>
      </c>
      <c r="B192" s="59">
        <v>38.83</v>
      </c>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v>2</v>
      </c>
      <c r="Q192" s="24">
        <f t="shared" si="40"/>
        <v>0.7</v>
      </c>
      <c r="R192" s="715">
        <f t="shared" ca="1" si="41"/>
        <v>13768</v>
      </c>
      <c r="S192" s="361">
        <f t="shared" ca="1" si="42"/>
        <v>53</v>
      </c>
    </row>
    <row r="193" spans="1:19">
      <c r="A193" s="159">
        <v>209</v>
      </c>
      <c r="B193" s="59">
        <v>43.68</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v>2</v>
      </c>
      <c r="Q193" s="24">
        <f t="shared" si="40"/>
        <v>0.7</v>
      </c>
      <c r="R193" s="715">
        <f t="shared" ca="1" si="41"/>
        <v>13768</v>
      </c>
      <c r="S193" s="361">
        <f t="shared" ca="1" si="42"/>
        <v>60</v>
      </c>
    </row>
    <row r="194" spans="1:19">
      <c r="A194" s="159">
        <v>210</v>
      </c>
      <c r="B194" s="59">
        <v>54.28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v>2</v>
      </c>
      <c r="Q194" s="24">
        <f t="shared" si="40"/>
        <v>0.7</v>
      </c>
      <c r="R194" s="715">
        <f t="shared" ca="1" si="41"/>
        <v>13768</v>
      </c>
      <c r="S194" s="361">
        <f t="shared" ca="1" si="42"/>
        <v>75</v>
      </c>
    </row>
    <row r="195" spans="1:19">
      <c r="A195" s="159">
        <v>211</v>
      </c>
      <c r="B195" s="59">
        <v>71.66</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v>2</v>
      </c>
      <c r="Q195" s="24">
        <f t="shared" si="40"/>
        <v>0.7</v>
      </c>
      <c r="R195" s="715">
        <f t="shared" ca="1" si="41"/>
        <v>13768</v>
      </c>
      <c r="S195" s="361">
        <f t="shared" ca="1" si="42"/>
        <v>99</v>
      </c>
    </row>
    <row r="196" spans="1:19">
      <c r="A196" s="159">
        <v>212</v>
      </c>
      <c r="B196" s="59">
        <v>33.22</v>
      </c>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v>2</v>
      </c>
      <c r="Q196" s="24">
        <f t="shared" si="40"/>
        <v>0.7</v>
      </c>
      <c r="R196" s="715">
        <f t="shared" ca="1" si="41"/>
        <v>13768</v>
      </c>
      <c r="S196" s="361">
        <f t="shared" ca="1" si="42"/>
        <v>46</v>
      </c>
    </row>
    <row r="197" spans="1:19">
      <c r="A197" s="159">
        <v>213</v>
      </c>
      <c r="B197" s="59">
        <v>41.57</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v>2</v>
      </c>
      <c r="Q197" s="24">
        <f t="shared" si="40"/>
        <v>0.7</v>
      </c>
      <c r="R197" s="715">
        <f t="shared" ca="1" si="41"/>
        <v>13768</v>
      </c>
      <c r="S197" s="361">
        <f t="shared" ca="1" si="42"/>
        <v>57</v>
      </c>
    </row>
    <row r="198" spans="1:19">
      <c r="A198" s="159">
        <v>214</v>
      </c>
      <c r="B198" s="59">
        <v>79.3</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v>2</v>
      </c>
      <c r="Q198" s="24">
        <f t="shared" si="40"/>
        <v>0.7</v>
      </c>
      <c r="R198" s="715">
        <f t="shared" ca="1" si="41"/>
        <v>13768</v>
      </c>
      <c r="S198" s="361">
        <f t="shared" ca="1" si="42"/>
        <v>109</v>
      </c>
    </row>
    <row r="199" spans="1:19">
      <c r="A199" s="159">
        <v>215</v>
      </c>
      <c r="B199" s="59">
        <v>103.77</v>
      </c>
      <c r="C199" s="24">
        <f t="shared" si="33"/>
        <v>0.99</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v>2</v>
      </c>
      <c r="Q199" s="24">
        <f t="shared" si="40"/>
        <v>0.7</v>
      </c>
      <c r="R199" s="715">
        <f t="shared" ca="1" si="41"/>
        <v>13631</v>
      </c>
      <c r="S199" s="361">
        <f t="shared" ca="1" si="42"/>
        <v>141</v>
      </c>
    </row>
    <row r="200" spans="1:19">
      <c r="A200" s="159">
        <v>216</v>
      </c>
      <c r="B200" s="59">
        <v>590.15</v>
      </c>
      <c r="C200" s="24">
        <f t="shared" si="33"/>
        <v>0.96</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v>2</v>
      </c>
      <c r="Q200" s="24">
        <f t="shared" si="40"/>
        <v>0.7</v>
      </c>
      <c r="R200" s="715">
        <f t="shared" ca="1" si="41"/>
        <v>13218</v>
      </c>
      <c r="S200" s="361">
        <f t="shared" ca="1" si="42"/>
        <v>780</v>
      </c>
    </row>
    <row r="201" spans="1:19">
      <c r="A201" s="159">
        <v>217</v>
      </c>
      <c r="B201" s="59">
        <v>48.51</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v>2</v>
      </c>
      <c r="Q201" s="24">
        <f t="shared" si="40"/>
        <v>0.7</v>
      </c>
      <c r="R201" s="715">
        <f t="shared" ca="1" si="41"/>
        <v>13768</v>
      </c>
      <c r="S201" s="361">
        <f t="shared" ca="1" si="42"/>
        <v>67</v>
      </c>
    </row>
    <row r="202" spans="1:19">
      <c r="A202" s="159">
        <v>218</v>
      </c>
      <c r="B202" s="59">
        <v>53.94</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v>2</v>
      </c>
      <c r="Q202" s="24">
        <f t="shared" si="40"/>
        <v>0.7</v>
      </c>
      <c r="R202" s="715">
        <f t="shared" ca="1" si="41"/>
        <v>13768</v>
      </c>
      <c r="S202" s="361">
        <f t="shared" ca="1" si="42"/>
        <v>74</v>
      </c>
    </row>
    <row r="203" spans="1:19">
      <c r="A203" s="159">
        <v>219</v>
      </c>
      <c r="B203" s="59">
        <v>58.1</v>
      </c>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v>2</v>
      </c>
      <c r="Q203" s="24">
        <f t="shared" si="40"/>
        <v>0.7</v>
      </c>
      <c r="R203" s="715">
        <f t="shared" ca="1" si="41"/>
        <v>13768</v>
      </c>
      <c r="S203" s="361">
        <f t="shared" ca="1" si="42"/>
        <v>80</v>
      </c>
    </row>
    <row r="204" spans="1:19">
      <c r="A204" s="159">
        <v>220</v>
      </c>
      <c r="B204" s="59">
        <v>58.1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v>2</v>
      </c>
      <c r="Q204" s="24">
        <f t="shared" si="40"/>
        <v>0.7</v>
      </c>
      <c r="R204" s="715">
        <f t="shared" ca="1" si="41"/>
        <v>13768</v>
      </c>
      <c r="S204" s="361">
        <f t="shared" ca="1" si="42"/>
        <v>80</v>
      </c>
    </row>
    <row r="205" spans="1:19">
      <c r="A205" s="159">
        <v>221</v>
      </c>
      <c r="B205" s="59">
        <v>60.45</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v>2</v>
      </c>
      <c r="Q205" s="24">
        <f t="shared" si="40"/>
        <v>0.7</v>
      </c>
      <c r="R205" s="715">
        <f t="shared" ca="1" si="41"/>
        <v>13768</v>
      </c>
      <c r="S205" s="361">
        <f t="shared" ca="1" si="42"/>
        <v>83</v>
      </c>
    </row>
    <row r="206" spans="1:19">
      <c r="A206" s="159">
        <v>222</v>
      </c>
      <c r="B206" s="59">
        <v>44.28</v>
      </c>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v>2</v>
      </c>
      <c r="Q206" s="24">
        <f t="shared" si="40"/>
        <v>0.7</v>
      </c>
      <c r="R206" s="715">
        <f t="shared" ca="1" si="41"/>
        <v>13768</v>
      </c>
      <c r="S206" s="361">
        <f t="shared" ca="1" si="42"/>
        <v>61</v>
      </c>
    </row>
    <row r="207" spans="1:19">
      <c r="A207" s="159">
        <v>223</v>
      </c>
      <c r="B207" s="59">
        <v>64.78</v>
      </c>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v>2</v>
      </c>
      <c r="Q207" s="24">
        <f t="shared" si="40"/>
        <v>0.7</v>
      </c>
      <c r="R207" s="715">
        <f t="shared" ca="1" si="41"/>
        <v>13768</v>
      </c>
      <c r="S207" s="361">
        <f t="shared" ca="1" si="42"/>
        <v>89</v>
      </c>
    </row>
    <row r="208" spans="1:19">
      <c r="A208" s="159">
        <v>224</v>
      </c>
      <c r="B208" s="59">
        <v>65.41</v>
      </c>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v>2</v>
      </c>
      <c r="Q208" s="24">
        <f t="shared" si="40"/>
        <v>0.7</v>
      </c>
      <c r="R208" s="715">
        <f t="shared" ca="1" si="41"/>
        <v>13768</v>
      </c>
      <c r="S208" s="361">
        <f t="shared" ca="1" si="42"/>
        <v>90</v>
      </c>
    </row>
    <row r="209" spans="1:19">
      <c r="A209" s="159">
        <v>225</v>
      </c>
      <c r="B209" s="59">
        <v>65.41</v>
      </c>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v>2</v>
      </c>
      <c r="Q209" s="24">
        <f t="shared" si="40"/>
        <v>0.7</v>
      </c>
      <c r="R209" s="715">
        <f t="shared" ca="1" si="41"/>
        <v>13768</v>
      </c>
      <c r="S209" s="361">
        <f t="shared" ca="1" si="42"/>
        <v>90</v>
      </c>
    </row>
    <row r="210" spans="1:19">
      <c r="A210" s="159">
        <v>226</v>
      </c>
      <c r="B210" s="59">
        <v>65.41</v>
      </c>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v>2</v>
      </c>
      <c r="Q210" s="24">
        <f t="shared" si="40"/>
        <v>0.7</v>
      </c>
      <c r="R210" s="715">
        <f t="shared" ca="1" si="41"/>
        <v>13768</v>
      </c>
      <c r="S210" s="361">
        <f t="shared" ca="1" si="42"/>
        <v>90</v>
      </c>
    </row>
    <row r="211" spans="1:19">
      <c r="A211" s="159">
        <v>227</v>
      </c>
      <c r="B211" s="59">
        <v>48.19</v>
      </c>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v>2</v>
      </c>
      <c r="Q211" s="24">
        <f t="shared" si="40"/>
        <v>0.7</v>
      </c>
      <c r="R211" s="715">
        <f t="shared" ca="1" si="41"/>
        <v>13768</v>
      </c>
      <c r="S211" s="361">
        <f t="shared" ca="1" si="42"/>
        <v>66</v>
      </c>
    </row>
    <row r="212" spans="1:19">
      <c r="A212" s="159">
        <v>228</v>
      </c>
      <c r="B212" s="59">
        <v>57.85</v>
      </c>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v>2</v>
      </c>
      <c r="Q212" s="24">
        <f t="shared" si="40"/>
        <v>0.7</v>
      </c>
      <c r="R212" s="715">
        <f t="shared" ca="1" si="41"/>
        <v>13768</v>
      </c>
      <c r="S212" s="361">
        <f t="shared" ca="1" si="42"/>
        <v>80</v>
      </c>
    </row>
    <row r="213" spans="1:19" hidden="1">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v>2</v>
      </c>
      <c r="Q213" s="24">
        <f t="shared" si="40"/>
        <v>0.7</v>
      </c>
      <c r="R213" s="715">
        <f t="shared" si="41"/>
        <v>0</v>
      </c>
      <c r="S213" s="361">
        <f t="shared" si="42"/>
        <v>0</v>
      </c>
    </row>
    <row r="214" spans="1:19">
      <c r="A214" s="159">
        <v>230</v>
      </c>
      <c r="B214" s="59">
        <v>60.01</v>
      </c>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v>2</v>
      </c>
      <c r="Q214" s="24">
        <f t="shared" si="40"/>
        <v>0.7</v>
      </c>
      <c r="R214" s="715">
        <f t="shared" ca="1" si="41"/>
        <v>13768</v>
      </c>
      <c r="S214" s="361">
        <f t="shared" ca="1" si="42"/>
        <v>83</v>
      </c>
    </row>
    <row r="215" spans="1:19">
      <c r="A215" s="159">
        <v>231</v>
      </c>
      <c r="B215" s="59">
        <v>41.91</v>
      </c>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v>2</v>
      </c>
      <c r="Q215" s="24">
        <f t="shared" si="40"/>
        <v>0.7</v>
      </c>
      <c r="R215" s="715">
        <f t="shared" ca="1" si="41"/>
        <v>13768</v>
      </c>
      <c r="S215" s="361">
        <f t="shared" ca="1" si="42"/>
        <v>58</v>
      </c>
    </row>
    <row r="216" spans="1:19">
      <c r="A216" s="159">
        <v>234</v>
      </c>
      <c r="B216" s="59">
        <v>37.35</v>
      </c>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v>2</v>
      </c>
      <c r="Q216" s="24">
        <f t="shared" si="40"/>
        <v>0.7</v>
      </c>
      <c r="R216" s="715">
        <f t="shared" ca="1" si="41"/>
        <v>13768</v>
      </c>
      <c r="S216" s="361">
        <f t="shared" ca="1" si="42"/>
        <v>51</v>
      </c>
    </row>
    <row r="217" spans="1:19">
      <c r="A217" s="159">
        <v>235</v>
      </c>
      <c r="B217" s="59">
        <v>43.43</v>
      </c>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v>2</v>
      </c>
      <c r="Q217" s="24">
        <f t="shared" si="40"/>
        <v>0.7</v>
      </c>
      <c r="R217" s="715">
        <f t="shared" ca="1" si="41"/>
        <v>13768</v>
      </c>
      <c r="S217" s="361">
        <f t="shared" ca="1" si="42"/>
        <v>60</v>
      </c>
    </row>
    <row r="218" spans="1:19">
      <c r="A218" s="159">
        <v>237</v>
      </c>
      <c r="B218" s="59">
        <v>58.69</v>
      </c>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v>2</v>
      </c>
      <c r="Q218" s="24">
        <f t="shared" ref="Q218:Q281" si="50">(SUMIF($17:$17,P218,$18:$18)-SUMIF($17:$17,$P$24,$18:$18)+100)/100</f>
        <v>0.7</v>
      </c>
      <c r="R218" s="715">
        <f t="shared" ref="R218:R281" ca="1" si="51">IF(B218="",0,ROUND($R$24*C218*E218*G218*I218*K218*M218*O218*Q218,0))</f>
        <v>13768</v>
      </c>
      <c r="S218" s="361">
        <f t="shared" ca="1" si="42"/>
        <v>81</v>
      </c>
    </row>
    <row r="219" spans="1:19">
      <c r="A219" s="159">
        <v>238</v>
      </c>
      <c r="B219" s="59">
        <v>50.69</v>
      </c>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v>2</v>
      </c>
      <c r="Q219" s="24">
        <f t="shared" si="50"/>
        <v>0.7</v>
      </c>
      <c r="R219" s="715">
        <f t="shared" ca="1" si="51"/>
        <v>13768</v>
      </c>
      <c r="S219" s="361">
        <f t="shared" ca="1" si="42"/>
        <v>70</v>
      </c>
    </row>
    <row r="220" spans="1:19">
      <c r="A220" s="159">
        <v>239</v>
      </c>
      <c r="B220" s="59">
        <v>70.2</v>
      </c>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v>2</v>
      </c>
      <c r="Q220" s="24">
        <f t="shared" si="50"/>
        <v>0.7</v>
      </c>
      <c r="R220" s="715">
        <f t="shared" ca="1" si="51"/>
        <v>13768</v>
      </c>
      <c r="S220" s="361">
        <f t="shared" ca="1" si="42"/>
        <v>97</v>
      </c>
    </row>
    <row r="221" spans="1:19">
      <c r="A221" s="159">
        <v>240</v>
      </c>
      <c r="B221" s="59">
        <v>50.07</v>
      </c>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v>2</v>
      </c>
      <c r="Q221" s="24">
        <f t="shared" si="50"/>
        <v>0.7</v>
      </c>
      <c r="R221" s="715">
        <f t="shared" ca="1" si="51"/>
        <v>13768</v>
      </c>
      <c r="S221" s="361">
        <f t="shared" ca="1" si="42"/>
        <v>69</v>
      </c>
    </row>
    <row r="222" spans="1:19">
      <c r="A222" s="159">
        <v>241</v>
      </c>
      <c r="B222" s="59">
        <v>88.64</v>
      </c>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v>2</v>
      </c>
      <c r="Q222" s="24">
        <f t="shared" si="50"/>
        <v>0.7</v>
      </c>
      <c r="R222" s="715">
        <f t="shared" ca="1" si="51"/>
        <v>13768</v>
      </c>
      <c r="S222" s="361">
        <f t="shared" ca="1" si="42"/>
        <v>122</v>
      </c>
    </row>
    <row r="223" spans="1:19">
      <c r="A223" s="159">
        <v>242</v>
      </c>
      <c r="B223" s="59">
        <v>63.08</v>
      </c>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v>2</v>
      </c>
      <c r="Q223" s="24">
        <f t="shared" si="50"/>
        <v>0.7</v>
      </c>
      <c r="R223" s="715">
        <f t="shared" ca="1" si="51"/>
        <v>13768</v>
      </c>
      <c r="S223" s="361">
        <f t="shared" ref="S223:S286" ca="1" si="52">ROUND(R223*B223/10000,0)</f>
        <v>87</v>
      </c>
    </row>
    <row r="224" spans="1:19">
      <c r="A224" s="159">
        <v>243</v>
      </c>
      <c r="B224" s="59">
        <v>63.59</v>
      </c>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v>2</v>
      </c>
      <c r="Q224" s="24">
        <f t="shared" si="50"/>
        <v>0.7</v>
      </c>
      <c r="R224" s="715">
        <f t="shared" ca="1" si="51"/>
        <v>13768</v>
      </c>
      <c r="S224" s="361">
        <f t="shared" ca="1" si="52"/>
        <v>88</v>
      </c>
    </row>
    <row r="225" spans="1:19">
      <c r="A225" s="159">
        <v>244</v>
      </c>
      <c r="B225" s="59">
        <v>65.55</v>
      </c>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v>2</v>
      </c>
      <c r="Q225" s="24">
        <f t="shared" si="50"/>
        <v>0.7</v>
      </c>
      <c r="R225" s="715">
        <f t="shared" ca="1" si="51"/>
        <v>13768</v>
      </c>
      <c r="S225" s="361">
        <f t="shared" ca="1" si="52"/>
        <v>90</v>
      </c>
    </row>
    <row r="226" spans="1:19">
      <c r="A226" s="159">
        <v>245</v>
      </c>
      <c r="B226" s="59">
        <v>65.84</v>
      </c>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v>2</v>
      </c>
      <c r="Q226" s="24">
        <f t="shared" si="50"/>
        <v>0.7</v>
      </c>
      <c r="R226" s="715">
        <f t="shared" ca="1" si="51"/>
        <v>13768</v>
      </c>
      <c r="S226" s="361">
        <f t="shared" ca="1" si="52"/>
        <v>91</v>
      </c>
    </row>
    <row r="227" spans="1:19">
      <c r="A227" s="159">
        <v>246</v>
      </c>
      <c r="B227" s="59">
        <v>33.94</v>
      </c>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v>2</v>
      </c>
      <c r="Q227" s="24">
        <f t="shared" si="50"/>
        <v>0.7</v>
      </c>
      <c r="R227" s="715">
        <f t="shared" ca="1" si="51"/>
        <v>13768</v>
      </c>
      <c r="S227" s="361">
        <f t="shared" ca="1" si="52"/>
        <v>47</v>
      </c>
    </row>
    <row r="228" spans="1:19">
      <c r="A228" s="159">
        <v>247</v>
      </c>
      <c r="B228" s="59">
        <v>76.88</v>
      </c>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v>2</v>
      </c>
      <c r="Q228" s="24">
        <f t="shared" si="50"/>
        <v>0.7</v>
      </c>
      <c r="R228" s="715">
        <f t="shared" ca="1" si="51"/>
        <v>13768</v>
      </c>
      <c r="S228" s="361">
        <f t="shared" ca="1" si="52"/>
        <v>106</v>
      </c>
    </row>
    <row r="229" spans="1:19">
      <c r="A229" s="159">
        <v>248</v>
      </c>
      <c r="B229" s="59">
        <v>81.63</v>
      </c>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v>2</v>
      </c>
      <c r="Q229" s="24">
        <f t="shared" si="50"/>
        <v>0.7</v>
      </c>
      <c r="R229" s="715">
        <f t="shared" ca="1" si="51"/>
        <v>13768</v>
      </c>
      <c r="S229" s="361">
        <f t="shared" ca="1" si="52"/>
        <v>112</v>
      </c>
    </row>
    <row r="230" spans="1:19">
      <c r="A230" s="159">
        <v>249</v>
      </c>
      <c r="B230" s="59">
        <v>87</v>
      </c>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v>2</v>
      </c>
      <c r="Q230" s="24">
        <f t="shared" si="50"/>
        <v>0.7</v>
      </c>
      <c r="R230" s="715">
        <f t="shared" ca="1" si="51"/>
        <v>13768</v>
      </c>
      <c r="S230" s="361">
        <f t="shared" ca="1" si="52"/>
        <v>120</v>
      </c>
    </row>
    <row r="231" spans="1:19">
      <c r="A231" s="159">
        <v>250</v>
      </c>
      <c r="B231" s="59">
        <v>397.35</v>
      </c>
      <c r="C231" s="24">
        <f t="shared" si="43"/>
        <v>0.97</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v>2</v>
      </c>
      <c r="Q231" s="24">
        <f t="shared" si="50"/>
        <v>0.7</v>
      </c>
      <c r="R231" s="715">
        <f t="shared" ca="1" si="51"/>
        <v>13355</v>
      </c>
      <c r="S231" s="361">
        <f t="shared" ca="1" si="52"/>
        <v>531</v>
      </c>
    </row>
    <row r="232" spans="1:19">
      <c r="A232" s="159">
        <v>251</v>
      </c>
      <c r="B232" s="59">
        <v>30.86</v>
      </c>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v>2</v>
      </c>
      <c r="Q232" s="24">
        <f t="shared" si="50"/>
        <v>0.7</v>
      </c>
      <c r="R232" s="715">
        <f t="shared" ca="1" si="51"/>
        <v>13768</v>
      </c>
      <c r="S232" s="361">
        <f t="shared" ca="1" si="52"/>
        <v>42</v>
      </c>
    </row>
    <row r="233" spans="1:19">
      <c r="A233" s="159">
        <v>252</v>
      </c>
      <c r="B233" s="59">
        <v>50.93</v>
      </c>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v>2</v>
      </c>
      <c r="Q233" s="24">
        <f t="shared" si="50"/>
        <v>0.7</v>
      </c>
      <c r="R233" s="715">
        <f t="shared" ca="1" si="51"/>
        <v>13768</v>
      </c>
      <c r="S233" s="361">
        <f t="shared" ca="1" si="52"/>
        <v>70</v>
      </c>
    </row>
    <row r="234" spans="1:19">
      <c r="A234" s="159">
        <v>253</v>
      </c>
      <c r="B234" s="59">
        <v>48.02</v>
      </c>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v>2</v>
      </c>
      <c r="Q234" s="24">
        <f t="shared" si="50"/>
        <v>0.7</v>
      </c>
      <c r="R234" s="715">
        <f t="shared" ca="1" si="51"/>
        <v>13768</v>
      </c>
      <c r="S234" s="361">
        <f t="shared" ca="1" si="52"/>
        <v>66</v>
      </c>
    </row>
    <row r="235" spans="1:19">
      <c r="A235" s="159">
        <v>254</v>
      </c>
      <c r="B235" s="59">
        <v>48.08</v>
      </c>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v>2</v>
      </c>
      <c r="Q235" s="24">
        <f t="shared" si="50"/>
        <v>0.7</v>
      </c>
      <c r="R235" s="715">
        <f t="shared" ca="1" si="51"/>
        <v>13768</v>
      </c>
      <c r="S235" s="361">
        <f t="shared" ca="1" si="52"/>
        <v>66</v>
      </c>
    </row>
    <row r="236" spans="1:19">
      <c r="A236" s="159">
        <v>255</v>
      </c>
      <c r="B236" s="59">
        <v>48.08</v>
      </c>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v>2</v>
      </c>
      <c r="Q236" s="24">
        <f t="shared" si="50"/>
        <v>0.7</v>
      </c>
      <c r="R236" s="715">
        <f t="shared" ca="1" si="51"/>
        <v>13768</v>
      </c>
      <c r="S236" s="361">
        <f t="shared" ca="1" si="52"/>
        <v>66</v>
      </c>
    </row>
    <row r="237" spans="1:19">
      <c r="A237" s="159">
        <v>256</v>
      </c>
      <c r="B237" s="59">
        <v>80.48</v>
      </c>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v>2</v>
      </c>
      <c r="Q237" s="24">
        <f t="shared" si="50"/>
        <v>0.7</v>
      </c>
      <c r="R237" s="715">
        <f t="shared" ca="1" si="51"/>
        <v>13768</v>
      </c>
      <c r="S237" s="361">
        <f t="shared" ca="1" si="52"/>
        <v>111</v>
      </c>
    </row>
    <row r="238" spans="1:19">
      <c r="A238" s="159">
        <v>257</v>
      </c>
      <c r="B238" s="59">
        <v>48.08</v>
      </c>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v>2</v>
      </c>
      <c r="Q238" s="24">
        <f t="shared" si="50"/>
        <v>0.7</v>
      </c>
      <c r="R238" s="715">
        <f t="shared" ca="1" si="51"/>
        <v>13768</v>
      </c>
      <c r="S238" s="361">
        <f t="shared" ca="1" si="52"/>
        <v>66</v>
      </c>
    </row>
    <row r="239" spans="1:19">
      <c r="A239" s="159">
        <v>258</v>
      </c>
      <c r="B239" s="59">
        <v>67.099999999999994</v>
      </c>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v>2</v>
      </c>
      <c r="Q239" s="24">
        <f t="shared" si="50"/>
        <v>0.7</v>
      </c>
      <c r="R239" s="715">
        <f t="shared" ca="1" si="51"/>
        <v>13768</v>
      </c>
      <c r="S239" s="361">
        <f t="shared" ca="1" si="52"/>
        <v>92</v>
      </c>
    </row>
    <row r="240" spans="1:19">
      <c r="A240" s="159">
        <v>259</v>
      </c>
      <c r="B240" s="59">
        <v>66.45</v>
      </c>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v>2</v>
      </c>
      <c r="Q240" s="24">
        <f t="shared" si="50"/>
        <v>0.7</v>
      </c>
      <c r="R240" s="715">
        <f t="shared" ca="1" si="51"/>
        <v>13768</v>
      </c>
      <c r="S240" s="361">
        <f t="shared" ca="1" si="52"/>
        <v>91</v>
      </c>
    </row>
    <row r="241" spans="1:19">
      <c r="A241" s="159">
        <v>260</v>
      </c>
      <c r="B241" s="59">
        <v>48.09</v>
      </c>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v>2</v>
      </c>
      <c r="Q241" s="24">
        <f t="shared" si="50"/>
        <v>0.7</v>
      </c>
      <c r="R241" s="715">
        <f t="shared" ca="1" si="51"/>
        <v>13768</v>
      </c>
      <c r="S241" s="361">
        <f t="shared" ca="1" si="52"/>
        <v>66</v>
      </c>
    </row>
    <row r="242" spans="1:19">
      <c r="A242" s="159">
        <v>261</v>
      </c>
      <c r="B242" s="59">
        <v>48.08</v>
      </c>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v>2</v>
      </c>
      <c r="Q242" s="24">
        <f t="shared" si="50"/>
        <v>0.7</v>
      </c>
      <c r="R242" s="715">
        <f t="shared" ca="1" si="51"/>
        <v>13768</v>
      </c>
      <c r="S242" s="361">
        <f t="shared" ca="1" si="52"/>
        <v>66</v>
      </c>
    </row>
    <row r="243" spans="1:19">
      <c r="A243" s="159">
        <v>262</v>
      </c>
      <c r="B243" s="59">
        <v>71.39</v>
      </c>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v>2</v>
      </c>
      <c r="Q243" s="24">
        <f t="shared" si="50"/>
        <v>0.7</v>
      </c>
      <c r="R243" s="715">
        <f t="shared" ca="1" si="51"/>
        <v>13768</v>
      </c>
      <c r="S243" s="361">
        <f t="shared" ca="1" si="52"/>
        <v>98</v>
      </c>
    </row>
    <row r="244" spans="1:19">
      <c r="A244" s="159">
        <v>263</v>
      </c>
      <c r="B244" s="59">
        <v>60.27</v>
      </c>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v>2</v>
      </c>
      <c r="Q244" s="24">
        <f t="shared" si="50"/>
        <v>0.7</v>
      </c>
      <c r="R244" s="715">
        <f t="shared" ca="1" si="51"/>
        <v>13768</v>
      </c>
      <c r="S244" s="361">
        <f t="shared" ca="1" si="52"/>
        <v>83</v>
      </c>
    </row>
    <row r="245" spans="1:19">
      <c r="A245" s="159">
        <v>264</v>
      </c>
      <c r="B245" s="59">
        <v>60.27</v>
      </c>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v>2</v>
      </c>
      <c r="Q245" s="24">
        <f t="shared" si="50"/>
        <v>0.7</v>
      </c>
      <c r="R245" s="715">
        <f t="shared" ca="1" si="51"/>
        <v>13768</v>
      </c>
      <c r="S245" s="361">
        <f t="shared" ca="1" si="52"/>
        <v>83</v>
      </c>
    </row>
    <row r="246" spans="1:19">
      <c r="A246" s="159">
        <v>265</v>
      </c>
      <c r="B246" s="59">
        <v>69.05</v>
      </c>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v>2</v>
      </c>
      <c r="Q246" s="24">
        <f t="shared" si="50"/>
        <v>0.7</v>
      </c>
      <c r="R246" s="715">
        <f t="shared" ca="1" si="51"/>
        <v>13768</v>
      </c>
      <c r="S246" s="361">
        <f t="shared" ca="1" si="52"/>
        <v>95</v>
      </c>
    </row>
    <row r="247" spans="1:19">
      <c r="A247" s="159">
        <v>266</v>
      </c>
      <c r="B247" s="59">
        <v>74.78</v>
      </c>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v>2</v>
      </c>
      <c r="Q247" s="24">
        <f t="shared" si="50"/>
        <v>0.7</v>
      </c>
      <c r="R247" s="715">
        <f t="shared" ca="1" si="51"/>
        <v>13768</v>
      </c>
      <c r="S247" s="361">
        <f t="shared" ca="1" si="52"/>
        <v>103</v>
      </c>
    </row>
    <row r="248" spans="1:19">
      <c r="A248" s="159">
        <v>268</v>
      </c>
      <c r="B248" s="59">
        <v>80.33</v>
      </c>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v>2</v>
      </c>
      <c r="Q248" s="24">
        <f t="shared" si="50"/>
        <v>0.7</v>
      </c>
      <c r="R248" s="715">
        <f t="shared" ca="1" si="51"/>
        <v>13768</v>
      </c>
      <c r="S248" s="361">
        <f t="shared" ca="1" si="52"/>
        <v>111</v>
      </c>
    </row>
    <row r="249" spans="1:19">
      <c r="A249" s="159">
        <v>269</v>
      </c>
      <c r="B249" s="59">
        <v>56.27</v>
      </c>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v>2</v>
      </c>
      <c r="Q249" s="24">
        <f t="shared" si="50"/>
        <v>0.7</v>
      </c>
      <c r="R249" s="715">
        <f t="shared" ca="1" si="51"/>
        <v>13768</v>
      </c>
      <c r="S249" s="361">
        <f t="shared" ca="1" si="52"/>
        <v>77</v>
      </c>
    </row>
    <row r="250" spans="1:19">
      <c r="A250" s="159">
        <v>270</v>
      </c>
      <c r="B250" s="59">
        <v>64.680000000000007</v>
      </c>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v>2</v>
      </c>
      <c r="Q250" s="24">
        <f t="shared" si="50"/>
        <v>0.7</v>
      </c>
      <c r="R250" s="715">
        <f t="shared" ca="1" si="51"/>
        <v>13768</v>
      </c>
      <c r="S250" s="361">
        <f t="shared" ca="1" si="52"/>
        <v>89</v>
      </c>
    </row>
    <row r="251" spans="1:19">
      <c r="A251" s="159">
        <v>271</v>
      </c>
      <c r="B251" s="59">
        <v>54.64</v>
      </c>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v>2</v>
      </c>
      <c r="Q251" s="24">
        <f t="shared" si="50"/>
        <v>0.7</v>
      </c>
      <c r="R251" s="715">
        <f t="shared" ca="1" si="51"/>
        <v>13768</v>
      </c>
      <c r="S251" s="361">
        <f t="shared" ca="1" si="52"/>
        <v>75</v>
      </c>
    </row>
    <row r="252" spans="1:19">
      <c r="A252" s="159">
        <v>272</v>
      </c>
      <c r="B252" s="59">
        <v>35.46</v>
      </c>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v>2</v>
      </c>
      <c r="Q252" s="24">
        <f t="shared" si="50"/>
        <v>0.7</v>
      </c>
      <c r="R252" s="715">
        <f t="shared" ca="1" si="51"/>
        <v>13768</v>
      </c>
      <c r="S252" s="361">
        <f t="shared" ca="1" si="52"/>
        <v>49</v>
      </c>
    </row>
    <row r="253" spans="1:19">
      <c r="A253" s="159">
        <v>273</v>
      </c>
      <c r="B253" s="59">
        <v>53.83</v>
      </c>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v>2</v>
      </c>
      <c r="Q253" s="24">
        <f t="shared" si="50"/>
        <v>0.7</v>
      </c>
      <c r="R253" s="715">
        <f t="shared" ca="1" si="51"/>
        <v>13768</v>
      </c>
      <c r="S253" s="361">
        <f t="shared" ca="1" si="52"/>
        <v>74</v>
      </c>
    </row>
    <row r="254" spans="1:19">
      <c r="A254" s="159">
        <v>274</v>
      </c>
      <c r="B254" s="59">
        <v>38.44</v>
      </c>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v>2</v>
      </c>
      <c r="Q254" s="24">
        <f t="shared" si="50"/>
        <v>0.7</v>
      </c>
      <c r="R254" s="715">
        <f t="shared" ca="1" si="51"/>
        <v>13768</v>
      </c>
      <c r="S254" s="361">
        <f t="shared" ca="1" si="52"/>
        <v>53</v>
      </c>
    </row>
    <row r="255" spans="1:19">
      <c r="A255" s="159">
        <v>275</v>
      </c>
      <c r="B255" s="59">
        <v>53.38</v>
      </c>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v>2</v>
      </c>
      <c r="Q255" s="24">
        <f t="shared" si="50"/>
        <v>0.7</v>
      </c>
      <c r="R255" s="715">
        <f t="shared" ca="1" si="51"/>
        <v>13768</v>
      </c>
      <c r="S255" s="361">
        <f t="shared" ca="1" si="52"/>
        <v>73</v>
      </c>
    </row>
    <row r="256" spans="1:19">
      <c r="A256" s="159">
        <v>276</v>
      </c>
      <c r="B256" s="59">
        <v>61.07</v>
      </c>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v>2</v>
      </c>
      <c r="Q256" s="24">
        <f t="shared" si="50"/>
        <v>0.7</v>
      </c>
      <c r="R256" s="715">
        <f t="shared" ca="1" si="51"/>
        <v>13768</v>
      </c>
      <c r="S256" s="361">
        <f t="shared" ca="1" si="52"/>
        <v>84</v>
      </c>
    </row>
    <row r="257" spans="1:19">
      <c r="A257" s="159">
        <v>277</v>
      </c>
      <c r="B257" s="59">
        <v>32.270000000000003</v>
      </c>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v>2</v>
      </c>
      <c r="Q257" s="24">
        <f t="shared" si="50"/>
        <v>0.7</v>
      </c>
      <c r="R257" s="715">
        <f t="shared" ca="1" si="51"/>
        <v>13768</v>
      </c>
      <c r="S257" s="361">
        <f t="shared" ca="1" si="52"/>
        <v>44</v>
      </c>
    </row>
    <row r="258" spans="1:19">
      <c r="A258" s="159">
        <v>278</v>
      </c>
      <c r="B258" s="59">
        <v>75.75</v>
      </c>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v>2</v>
      </c>
      <c r="Q258" s="24">
        <f t="shared" si="50"/>
        <v>0.7</v>
      </c>
      <c r="R258" s="715">
        <f t="shared" ca="1" si="51"/>
        <v>13768</v>
      </c>
      <c r="S258" s="361">
        <f t="shared" ca="1" si="52"/>
        <v>104</v>
      </c>
    </row>
    <row r="259" spans="1:19">
      <c r="A259" s="159">
        <v>279</v>
      </c>
      <c r="B259" s="59">
        <v>79.39</v>
      </c>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v>2</v>
      </c>
      <c r="Q259" s="24">
        <f t="shared" si="50"/>
        <v>0.7</v>
      </c>
      <c r="R259" s="715">
        <f t="shared" ca="1" si="51"/>
        <v>13768</v>
      </c>
      <c r="S259" s="361">
        <f t="shared" ca="1" si="52"/>
        <v>109</v>
      </c>
    </row>
    <row r="260" spans="1:19">
      <c r="A260" s="159">
        <v>280</v>
      </c>
      <c r="B260" s="59">
        <v>99.65</v>
      </c>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v>2</v>
      </c>
      <c r="Q260" s="24">
        <f t="shared" si="50"/>
        <v>0.7</v>
      </c>
      <c r="R260" s="715">
        <f t="shared" ca="1" si="51"/>
        <v>13768</v>
      </c>
      <c r="S260" s="361">
        <f t="shared" ca="1" si="52"/>
        <v>137</v>
      </c>
    </row>
    <row r="261" spans="1:19">
      <c r="A261" s="159">
        <v>281</v>
      </c>
      <c r="B261" s="59">
        <v>65.56</v>
      </c>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v>2</v>
      </c>
      <c r="Q261" s="24">
        <f t="shared" si="50"/>
        <v>0.7</v>
      </c>
      <c r="R261" s="715">
        <f t="shared" ca="1" si="51"/>
        <v>13768</v>
      </c>
      <c r="S261" s="361">
        <f t="shared" ca="1" si="52"/>
        <v>90</v>
      </c>
    </row>
    <row r="262" spans="1:19">
      <c r="A262" s="159">
        <v>282</v>
      </c>
      <c r="B262" s="59">
        <v>65.42</v>
      </c>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v>2</v>
      </c>
      <c r="Q262" s="24">
        <f t="shared" si="50"/>
        <v>0.7</v>
      </c>
      <c r="R262" s="715">
        <f t="shared" ca="1" si="51"/>
        <v>13768</v>
      </c>
      <c r="S262" s="361">
        <f t="shared" ca="1" si="52"/>
        <v>90</v>
      </c>
    </row>
    <row r="263" spans="1:19">
      <c r="A263" s="159">
        <v>283</v>
      </c>
      <c r="B263" s="59">
        <v>45.95</v>
      </c>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v>2</v>
      </c>
      <c r="Q263" s="24">
        <f t="shared" si="50"/>
        <v>0.7</v>
      </c>
      <c r="R263" s="715">
        <f t="shared" ca="1" si="51"/>
        <v>13768</v>
      </c>
      <c r="S263" s="361">
        <f t="shared" ca="1" si="52"/>
        <v>63</v>
      </c>
    </row>
    <row r="264" spans="1:19">
      <c r="A264" s="159">
        <v>284</v>
      </c>
      <c r="B264" s="59">
        <v>52.81</v>
      </c>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v>2</v>
      </c>
      <c r="Q264" s="24">
        <f t="shared" si="50"/>
        <v>0.7</v>
      </c>
      <c r="R264" s="715">
        <f t="shared" ca="1" si="51"/>
        <v>13768</v>
      </c>
      <c r="S264" s="361">
        <f t="shared" ca="1" si="52"/>
        <v>73</v>
      </c>
    </row>
    <row r="265" spans="1:19">
      <c r="A265" s="159">
        <v>301</v>
      </c>
      <c r="B265" s="59">
        <v>170.7</v>
      </c>
      <c r="C265" s="24">
        <f t="shared" si="43"/>
        <v>0.99</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v>3</v>
      </c>
      <c r="Q265" s="24">
        <f t="shared" si="50"/>
        <v>0.6</v>
      </c>
      <c r="R265" s="715">
        <f t="shared" ca="1" si="51"/>
        <v>11683</v>
      </c>
      <c r="S265" s="361">
        <f t="shared" ca="1" si="52"/>
        <v>199</v>
      </c>
    </row>
    <row r="266" spans="1:19">
      <c r="A266" s="159">
        <v>302</v>
      </c>
      <c r="B266" s="59">
        <v>33.369999999999997</v>
      </c>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v>3</v>
      </c>
      <c r="Q266" s="24">
        <f t="shared" si="50"/>
        <v>0.6</v>
      </c>
      <c r="R266" s="715">
        <f t="shared" ca="1" si="51"/>
        <v>11801</v>
      </c>
      <c r="S266" s="361">
        <f t="shared" ca="1" si="52"/>
        <v>39</v>
      </c>
    </row>
    <row r="267" spans="1:19">
      <c r="A267" s="159">
        <v>303</v>
      </c>
      <c r="B267" s="59">
        <v>24.95</v>
      </c>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v>3</v>
      </c>
      <c r="Q267" s="24">
        <f t="shared" si="50"/>
        <v>0.6</v>
      </c>
      <c r="R267" s="715">
        <f t="shared" ca="1" si="51"/>
        <v>11801</v>
      </c>
      <c r="S267" s="361">
        <f t="shared" ca="1" si="52"/>
        <v>29</v>
      </c>
    </row>
    <row r="268" spans="1:19">
      <c r="A268" s="159">
        <v>304</v>
      </c>
      <c r="B268" s="59">
        <v>48.22</v>
      </c>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v>3</v>
      </c>
      <c r="Q268" s="24">
        <f t="shared" si="50"/>
        <v>0.6</v>
      </c>
      <c r="R268" s="715">
        <f t="shared" ca="1" si="51"/>
        <v>11801</v>
      </c>
      <c r="S268" s="361">
        <f t="shared" ca="1" si="52"/>
        <v>57</v>
      </c>
    </row>
    <row r="269" spans="1:19">
      <c r="A269" s="159">
        <v>305</v>
      </c>
      <c r="B269" s="59">
        <v>82.43</v>
      </c>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v>3</v>
      </c>
      <c r="Q269" s="24">
        <f t="shared" si="50"/>
        <v>0.6</v>
      </c>
      <c r="R269" s="715">
        <f t="shared" ca="1" si="51"/>
        <v>11801</v>
      </c>
      <c r="S269" s="361">
        <f t="shared" ca="1" si="52"/>
        <v>97</v>
      </c>
    </row>
    <row r="270" spans="1:19">
      <c r="A270" s="159">
        <v>306</v>
      </c>
      <c r="B270" s="59">
        <v>78.27</v>
      </c>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v>3</v>
      </c>
      <c r="Q270" s="24">
        <f t="shared" si="50"/>
        <v>0.6</v>
      </c>
      <c r="R270" s="715">
        <f t="shared" ca="1" si="51"/>
        <v>11801</v>
      </c>
      <c r="S270" s="361">
        <f t="shared" ca="1" si="52"/>
        <v>92</v>
      </c>
    </row>
    <row r="271" spans="1:19">
      <c r="A271" s="159">
        <v>307</v>
      </c>
      <c r="B271" s="59">
        <v>97.97</v>
      </c>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v>3</v>
      </c>
      <c r="Q271" s="24">
        <f t="shared" si="50"/>
        <v>0.6</v>
      </c>
      <c r="R271" s="715">
        <f t="shared" ca="1" si="51"/>
        <v>11801</v>
      </c>
      <c r="S271" s="361">
        <f t="shared" ca="1" si="52"/>
        <v>116</v>
      </c>
    </row>
    <row r="272" spans="1:19">
      <c r="A272" s="159">
        <v>308</v>
      </c>
      <c r="B272" s="59">
        <v>71.66</v>
      </c>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v>3</v>
      </c>
      <c r="Q272" s="24">
        <f t="shared" si="50"/>
        <v>0.6</v>
      </c>
      <c r="R272" s="715">
        <f t="shared" ca="1" si="51"/>
        <v>11801</v>
      </c>
      <c r="S272" s="361">
        <f t="shared" ca="1" si="52"/>
        <v>85</v>
      </c>
    </row>
    <row r="273" spans="1:19">
      <c r="A273" s="159">
        <v>309</v>
      </c>
      <c r="B273" s="59">
        <v>33.21</v>
      </c>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v>3</v>
      </c>
      <c r="Q273" s="24">
        <f t="shared" si="50"/>
        <v>0.6</v>
      </c>
      <c r="R273" s="715">
        <f t="shared" ca="1" si="51"/>
        <v>11801</v>
      </c>
      <c r="S273" s="361">
        <f t="shared" ca="1" si="52"/>
        <v>39</v>
      </c>
    </row>
    <row r="274" spans="1:19">
      <c r="A274" s="159">
        <v>310</v>
      </c>
      <c r="B274" s="59">
        <v>120.82</v>
      </c>
      <c r="C274" s="24">
        <f t="shared" si="43"/>
        <v>0.99</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v>3</v>
      </c>
      <c r="Q274" s="24">
        <f t="shared" si="50"/>
        <v>0.6</v>
      </c>
      <c r="R274" s="715">
        <f t="shared" ca="1" si="51"/>
        <v>11683</v>
      </c>
      <c r="S274" s="361">
        <f t="shared" ca="1" si="52"/>
        <v>141</v>
      </c>
    </row>
    <row r="275" spans="1:19">
      <c r="A275" s="159">
        <v>311</v>
      </c>
      <c r="B275" s="59">
        <v>103.77</v>
      </c>
      <c r="C275" s="24">
        <f t="shared" si="43"/>
        <v>0.99</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v>3</v>
      </c>
      <c r="Q275" s="24">
        <f t="shared" si="50"/>
        <v>0.6</v>
      </c>
      <c r="R275" s="715">
        <f t="shared" ca="1" si="51"/>
        <v>11683</v>
      </c>
      <c r="S275" s="361">
        <f t="shared" ca="1" si="52"/>
        <v>121</v>
      </c>
    </row>
    <row r="276" spans="1:19">
      <c r="A276" s="159">
        <v>312</v>
      </c>
      <c r="B276" s="59">
        <v>590.15</v>
      </c>
      <c r="C276" s="24">
        <f t="shared" si="43"/>
        <v>0.96</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v>3</v>
      </c>
      <c r="Q276" s="24">
        <f t="shared" si="50"/>
        <v>0.6</v>
      </c>
      <c r="R276" s="715">
        <f t="shared" ca="1" si="51"/>
        <v>11329</v>
      </c>
      <c r="S276" s="361">
        <f t="shared" ca="1" si="52"/>
        <v>669</v>
      </c>
    </row>
    <row r="277" spans="1:19">
      <c r="A277" s="159">
        <v>313</v>
      </c>
      <c r="B277" s="59">
        <v>48.51</v>
      </c>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v>3</v>
      </c>
      <c r="Q277" s="24">
        <f t="shared" si="50"/>
        <v>0.6</v>
      </c>
      <c r="R277" s="715">
        <f t="shared" ca="1" si="51"/>
        <v>11801</v>
      </c>
      <c r="S277" s="361">
        <f t="shared" ca="1" si="52"/>
        <v>57</v>
      </c>
    </row>
    <row r="278" spans="1:19">
      <c r="A278" s="159">
        <v>314</v>
      </c>
      <c r="B278" s="59">
        <v>53.94</v>
      </c>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v>3</v>
      </c>
      <c r="Q278" s="24">
        <f t="shared" si="50"/>
        <v>0.6</v>
      </c>
      <c r="R278" s="715">
        <f t="shared" ca="1" si="51"/>
        <v>11801</v>
      </c>
      <c r="S278" s="361">
        <f t="shared" ca="1" si="52"/>
        <v>64</v>
      </c>
    </row>
    <row r="279" spans="1:19">
      <c r="A279" s="159">
        <v>315</v>
      </c>
      <c r="B279" s="59">
        <v>58.1</v>
      </c>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v>3</v>
      </c>
      <c r="Q279" s="24">
        <f t="shared" si="50"/>
        <v>0.6</v>
      </c>
      <c r="R279" s="715">
        <f t="shared" ca="1" si="51"/>
        <v>11801</v>
      </c>
      <c r="S279" s="361">
        <f t="shared" ca="1" si="52"/>
        <v>69</v>
      </c>
    </row>
    <row r="280" spans="1:19">
      <c r="A280" s="159">
        <v>316</v>
      </c>
      <c r="B280" s="59">
        <v>58.1</v>
      </c>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v>3</v>
      </c>
      <c r="Q280" s="24">
        <f t="shared" si="50"/>
        <v>0.6</v>
      </c>
      <c r="R280" s="715">
        <f t="shared" ca="1" si="51"/>
        <v>11801</v>
      </c>
      <c r="S280" s="361">
        <f t="shared" ca="1" si="52"/>
        <v>69</v>
      </c>
    </row>
    <row r="281" spans="1:19">
      <c r="A281" s="159">
        <v>317</v>
      </c>
      <c r="B281" s="59">
        <v>60.45</v>
      </c>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v>3</v>
      </c>
      <c r="Q281" s="24">
        <f t="shared" si="50"/>
        <v>0.6</v>
      </c>
      <c r="R281" s="715">
        <f t="shared" ca="1" si="51"/>
        <v>11801</v>
      </c>
      <c r="S281" s="361">
        <f t="shared" ca="1" si="52"/>
        <v>71</v>
      </c>
    </row>
    <row r="282" spans="1:19">
      <c r="A282" s="159">
        <v>318</v>
      </c>
      <c r="B282" s="59">
        <v>44.28</v>
      </c>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v>3</v>
      </c>
      <c r="Q282" s="24">
        <f t="shared" ref="Q282:Q345" si="60">(SUMIF($17:$17,P282,$18:$18)-SUMIF($17:$17,$P$24,$18:$18)+100)/100</f>
        <v>0.6</v>
      </c>
      <c r="R282" s="715">
        <f t="shared" ref="R282:R345" ca="1" si="61">IF(B282="",0,ROUND($R$24*C282*E282*G282*I282*K282*M282*O282*Q282,0))</f>
        <v>11801</v>
      </c>
      <c r="S282" s="361">
        <f t="shared" ca="1" si="52"/>
        <v>52</v>
      </c>
    </row>
    <row r="283" spans="1:19">
      <c r="A283" s="159">
        <v>319</v>
      </c>
      <c r="B283" s="59">
        <v>64.78</v>
      </c>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v>3</v>
      </c>
      <c r="Q283" s="24">
        <f t="shared" si="60"/>
        <v>0.6</v>
      </c>
      <c r="R283" s="715">
        <f t="shared" ca="1" si="61"/>
        <v>11801</v>
      </c>
      <c r="S283" s="361">
        <f t="shared" ca="1" si="52"/>
        <v>76</v>
      </c>
    </row>
    <row r="284" spans="1:19">
      <c r="A284" s="159">
        <v>320</v>
      </c>
      <c r="B284" s="59">
        <v>65.41</v>
      </c>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v>3</v>
      </c>
      <c r="Q284" s="24">
        <f t="shared" si="60"/>
        <v>0.6</v>
      </c>
      <c r="R284" s="715">
        <f t="shared" ca="1" si="61"/>
        <v>11801</v>
      </c>
      <c r="S284" s="361">
        <f t="shared" ca="1" si="52"/>
        <v>77</v>
      </c>
    </row>
    <row r="285" spans="1:19">
      <c r="A285" s="159">
        <v>321</v>
      </c>
      <c r="B285" s="59">
        <v>65.41</v>
      </c>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v>3</v>
      </c>
      <c r="Q285" s="24">
        <f t="shared" si="60"/>
        <v>0.6</v>
      </c>
      <c r="R285" s="715">
        <f t="shared" ca="1" si="61"/>
        <v>11801</v>
      </c>
      <c r="S285" s="361">
        <f t="shared" ca="1" si="52"/>
        <v>77</v>
      </c>
    </row>
    <row r="286" spans="1:19">
      <c r="A286" s="159">
        <v>322</v>
      </c>
      <c r="B286" s="59">
        <v>65.41</v>
      </c>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v>3</v>
      </c>
      <c r="Q286" s="24">
        <f t="shared" si="60"/>
        <v>0.6</v>
      </c>
      <c r="R286" s="715">
        <f t="shared" ca="1" si="61"/>
        <v>11801</v>
      </c>
      <c r="S286" s="361">
        <f t="shared" ca="1" si="52"/>
        <v>77</v>
      </c>
    </row>
    <row r="287" spans="1:19">
      <c r="A287" s="159">
        <v>323</v>
      </c>
      <c r="B287" s="59">
        <v>48.7</v>
      </c>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v>3</v>
      </c>
      <c r="Q287" s="24">
        <f t="shared" si="60"/>
        <v>0.6</v>
      </c>
      <c r="R287" s="715">
        <f t="shared" ca="1" si="61"/>
        <v>11801</v>
      </c>
      <c r="S287" s="361">
        <f t="shared" ref="S287:S320" ca="1" si="62">ROUND(R287*B287/10000,0)</f>
        <v>57</v>
      </c>
    </row>
    <row r="288" spans="1:19">
      <c r="A288" s="159">
        <v>324</v>
      </c>
      <c r="B288" s="59">
        <v>45.61</v>
      </c>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v>3</v>
      </c>
      <c r="Q288" s="24">
        <f t="shared" si="60"/>
        <v>0.6</v>
      </c>
      <c r="R288" s="715">
        <f t="shared" ca="1" si="61"/>
        <v>11801</v>
      </c>
      <c r="S288" s="361">
        <f t="shared" ca="1" si="62"/>
        <v>54</v>
      </c>
    </row>
    <row r="289" spans="1:19">
      <c r="A289" s="159">
        <v>325</v>
      </c>
      <c r="B289" s="59">
        <v>3424.4</v>
      </c>
      <c r="C289" s="24">
        <f t="shared" si="53"/>
        <v>0.95</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v>3</v>
      </c>
      <c r="Q289" s="24">
        <f t="shared" si="60"/>
        <v>0.6</v>
      </c>
      <c r="R289" s="715">
        <f t="shared" ca="1" si="61"/>
        <v>11211</v>
      </c>
      <c r="S289" s="361">
        <f t="shared" ca="1" si="62"/>
        <v>3839</v>
      </c>
    </row>
    <row r="290" spans="1:19">
      <c r="A290" s="159">
        <v>326</v>
      </c>
      <c r="B290" s="59">
        <v>1766.89</v>
      </c>
      <c r="C290" s="24">
        <f t="shared" si="53"/>
        <v>0.95</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v>3</v>
      </c>
      <c r="Q290" s="24">
        <f t="shared" si="60"/>
        <v>0.6</v>
      </c>
      <c r="R290" s="715">
        <f t="shared" ca="1" si="61"/>
        <v>11211</v>
      </c>
      <c r="S290" s="361">
        <f t="shared" ca="1" si="62"/>
        <v>1981</v>
      </c>
    </row>
    <row r="291" spans="1:19">
      <c r="A291" s="159">
        <v>327</v>
      </c>
      <c r="B291" s="59">
        <v>2078.75</v>
      </c>
      <c r="C291" s="24">
        <f t="shared" si="53"/>
        <v>0.95</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v>3</v>
      </c>
      <c r="Q291" s="24">
        <f t="shared" si="60"/>
        <v>0.6</v>
      </c>
      <c r="R291" s="715">
        <f t="shared" ca="1" si="61"/>
        <v>11211</v>
      </c>
      <c r="S291" s="361">
        <f t="shared" ca="1" si="62"/>
        <v>2330</v>
      </c>
    </row>
    <row r="292" spans="1:19">
      <c r="A292" s="159">
        <v>328</v>
      </c>
      <c r="B292" s="59">
        <v>58.09</v>
      </c>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v>3</v>
      </c>
      <c r="Q292" s="24">
        <f t="shared" si="60"/>
        <v>0.6</v>
      </c>
      <c r="R292" s="715">
        <f t="shared" ca="1" si="61"/>
        <v>11801</v>
      </c>
      <c r="S292" s="361">
        <f t="shared" ca="1" si="62"/>
        <v>69</v>
      </c>
    </row>
    <row r="293" spans="1:19">
      <c r="A293" s="159">
        <v>329</v>
      </c>
      <c r="B293" s="59">
        <v>83.31</v>
      </c>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v>3</v>
      </c>
      <c r="Q293" s="24">
        <f t="shared" si="60"/>
        <v>0.6</v>
      </c>
      <c r="R293" s="715">
        <f t="shared" ca="1" si="61"/>
        <v>11801</v>
      </c>
      <c r="S293" s="361">
        <f t="shared" ca="1" si="62"/>
        <v>98</v>
      </c>
    </row>
    <row r="294" spans="1:19">
      <c r="A294" s="159">
        <v>330</v>
      </c>
      <c r="B294" s="59">
        <v>38.44</v>
      </c>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v>3</v>
      </c>
      <c r="Q294" s="24">
        <f t="shared" si="60"/>
        <v>0.6</v>
      </c>
      <c r="R294" s="715">
        <f t="shared" ca="1" si="61"/>
        <v>11801</v>
      </c>
      <c r="S294" s="361">
        <f t="shared" ca="1" si="62"/>
        <v>45</v>
      </c>
    </row>
    <row r="295" spans="1:19">
      <c r="A295" s="159">
        <v>331</v>
      </c>
      <c r="B295" s="59">
        <v>40.71</v>
      </c>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v>3</v>
      </c>
      <c r="Q295" s="24">
        <f t="shared" si="60"/>
        <v>0.6</v>
      </c>
      <c r="R295" s="715">
        <f t="shared" ca="1" si="61"/>
        <v>11801</v>
      </c>
      <c r="S295" s="361">
        <f t="shared" ca="1" si="62"/>
        <v>48</v>
      </c>
    </row>
    <row r="296" spans="1:19">
      <c r="A296" s="159">
        <v>332</v>
      </c>
      <c r="B296" s="59">
        <v>78.930000000000007</v>
      </c>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v>3</v>
      </c>
      <c r="Q296" s="24">
        <f t="shared" si="60"/>
        <v>0.6</v>
      </c>
      <c r="R296" s="715">
        <f t="shared" ca="1" si="61"/>
        <v>11801</v>
      </c>
      <c r="S296" s="361">
        <f t="shared" ca="1" si="62"/>
        <v>93</v>
      </c>
    </row>
    <row r="297" spans="1:19">
      <c r="A297" s="159">
        <v>333</v>
      </c>
      <c r="B297" s="59">
        <v>67.14</v>
      </c>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v>3</v>
      </c>
      <c r="Q297" s="24">
        <f t="shared" si="60"/>
        <v>0.6</v>
      </c>
      <c r="R297" s="715">
        <f t="shared" ca="1" si="61"/>
        <v>11801</v>
      </c>
      <c r="S297" s="361">
        <f t="shared" ca="1" si="62"/>
        <v>79</v>
      </c>
    </row>
    <row r="298" spans="1:19">
      <c r="A298" s="159">
        <v>334</v>
      </c>
      <c r="B298" s="59">
        <v>49.84</v>
      </c>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v>3</v>
      </c>
      <c r="Q298" s="24">
        <f t="shared" si="60"/>
        <v>0.6</v>
      </c>
      <c r="R298" s="715">
        <f t="shared" ca="1" si="61"/>
        <v>11801</v>
      </c>
      <c r="S298" s="361">
        <f t="shared" ca="1" si="62"/>
        <v>59</v>
      </c>
    </row>
    <row r="299" spans="1:19">
      <c r="A299" s="159">
        <v>335</v>
      </c>
      <c r="B299" s="59">
        <v>54.65</v>
      </c>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v>3</v>
      </c>
      <c r="Q299" s="24">
        <f t="shared" si="60"/>
        <v>0.6</v>
      </c>
      <c r="R299" s="715">
        <f t="shared" ca="1" si="61"/>
        <v>11801</v>
      </c>
      <c r="S299" s="361">
        <f t="shared" ca="1" si="62"/>
        <v>64</v>
      </c>
    </row>
    <row r="300" spans="1:19">
      <c r="A300" s="159">
        <v>343</v>
      </c>
      <c r="B300" s="59">
        <v>44.67</v>
      </c>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v>3</v>
      </c>
      <c r="Q300" s="24">
        <f t="shared" si="60"/>
        <v>0.6</v>
      </c>
      <c r="R300" s="715">
        <f t="shared" ca="1" si="61"/>
        <v>11801</v>
      </c>
      <c r="S300" s="361">
        <f t="shared" ca="1" si="62"/>
        <v>53</v>
      </c>
    </row>
    <row r="301" spans="1:19">
      <c r="A301" s="159">
        <v>346</v>
      </c>
      <c r="B301" s="59">
        <v>80.33</v>
      </c>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v>3</v>
      </c>
      <c r="Q301" s="24">
        <f t="shared" si="60"/>
        <v>0.6</v>
      </c>
      <c r="R301" s="715">
        <f t="shared" ca="1" si="61"/>
        <v>11801</v>
      </c>
      <c r="S301" s="361">
        <f t="shared" ca="1" si="62"/>
        <v>95</v>
      </c>
    </row>
    <row r="302" spans="1:19">
      <c r="A302" s="159">
        <v>349</v>
      </c>
      <c r="B302" s="59">
        <v>53.83</v>
      </c>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v>3</v>
      </c>
      <c r="Q302" s="24">
        <f t="shared" si="60"/>
        <v>0.6</v>
      </c>
      <c r="R302" s="715">
        <f t="shared" ca="1" si="61"/>
        <v>11801</v>
      </c>
      <c r="S302" s="361">
        <f t="shared" ca="1" si="62"/>
        <v>64</v>
      </c>
    </row>
    <row r="303" spans="1:19">
      <c r="A303" s="159">
        <v>350</v>
      </c>
      <c r="B303" s="59">
        <v>35.46</v>
      </c>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v>3</v>
      </c>
      <c r="Q303" s="24">
        <f t="shared" si="60"/>
        <v>0.6</v>
      </c>
      <c r="R303" s="715">
        <f t="shared" ca="1" si="61"/>
        <v>11801</v>
      </c>
      <c r="S303" s="361">
        <f t="shared" ca="1" si="62"/>
        <v>42</v>
      </c>
    </row>
    <row r="304" spans="1:19">
      <c r="A304" s="159">
        <v>351</v>
      </c>
      <c r="B304" s="59">
        <v>38.44</v>
      </c>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v>3</v>
      </c>
      <c r="Q304" s="24">
        <f t="shared" si="60"/>
        <v>0.6</v>
      </c>
      <c r="R304" s="715">
        <f t="shared" ca="1" si="61"/>
        <v>11801</v>
      </c>
      <c r="S304" s="361">
        <f t="shared" ca="1" si="62"/>
        <v>45</v>
      </c>
    </row>
    <row r="305" spans="1:19">
      <c r="A305" s="159">
        <v>352</v>
      </c>
      <c r="B305" s="59">
        <v>61.07</v>
      </c>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v>3</v>
      </c>
      <c r="Q305" s="24">
        <f t="shared" si="60"/>
        <v>0.6</v>
      </c>
      <c r="R305" s="715">
        <f t="shared" ca="1" si="61"/>
        <v>11801</v>
      </c>
      <c r="S305" s="361">
        <f t="shared" ca="1" si="62"/>
        <v>72</v>
      </c>
    </row>
    <row r="306" spans="1:19">
      <c r="A306" s="159">
        <v>353</v>
      </c>
      <c r="B306" s="59">
        <v>53.38</v>
      </c>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v>3</v>
      </c>
      <c r="Q306" s="24">
        <f t="shared" si="60"/>
        <v>0.6</v>
      </c>
      <c r="R306" s="715">
        <f t="shared" ca="1" si="61"/>
        <v>11801</v>
      </c>
      <c r="S306" s="361">
        <f t="shared" ca="1" si="62"/>
        <v>63</v>
      </c>
    </row>
    <row r="307" spans="1:19">
      <c r="A307" s="159">
        <v>355</v>
      </c>
      <c r="B307" s="59">
        <v>111.65</v>
      </c>
      <c r="C307" s="24">
        <f t="shared" si="53"/>
        <v>0.99</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v>3</v>
      </c>
      <c r="Q307" s="24">
        <f t="shared" si="60"/>
        <v>0.6</v>
      </c>
      <c r="R307" s="715">
        <f t="shared" ca="1" si="61"/>
        <v>11683</v>
      </c>
      <c r="S307" s="361">
        <f t="shared" ca="1" si="62"/>
        <v>130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53103</v>
      </c>
      <c r="C2" s="2" t="s">
        <v>133</v>
      </c>
      <c r="D2" s="243"/>
      <c r="E2" s="243"/>
      <c r="F2" s="243"/>
      <c r="G2" s="243"/>
    </row>
    <row r="3" spans="1:7" s="244" customFormat="1" ht="18" customHeight="1" thickBot="1">
      <c r="A3" s="247" t="s">
        <v>85</v>
      </c>
      <c r="B3" s="248">
        <f ca="1">ROUND(B2*10000/'数据-汇总表'!E3,0)</f>
        <v>15458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140</v>
      </c>
      <c r="F9" s="265"/>
      <c r="G9" s="270"/>
    </row>
    <row r="10" spans="1:7" s="258" customFormat="1" ht="13.5" customHeight="1">
      <c r="A10" s="952" t="s">
        <v>801</v>
      </c>
      <c r="B10" s="268" t="s">
        <v>94</v>
      </c>
      <c r="C10" s="269">
        <f>ROUND(D10*E10/10000,0)</f>
        <v>481</v>
      </c>
      <c r="D10" s="1034">
        <f>'数据-汇总表'!E6</f>
        <v>34353.799999999996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687</v>
      </c>
      <c r="D19" s="1038">
        <f>'数据-汇总表'!E3</f>
        <v>34353.799999999996</v>
      </c>
      <c r="E19" s="255">
        <f>'数据-取费表'!B31</f>
        <v>200</v>
      </c>
      <c r="F19" s="275"/>
      <c r="G19" s="1" t="s">
        <v>1074</v>
      </c>
    </row>
    <row r="20" spans="1:7" s="258" customFormat="1" ht="13.5" customHeight="1">
      <c r="A20" s="950" t="s">
        <v>1057</v>
      </c>
      <c r="B20" s="254" t="s">
        <v>104</v>
      </c>
      <c r="C20" s="276">
        <f>ROUND((C5+C19)*F20,0)</f>
        <v>639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2658</v>
      </c>
      <c r="D22" s="279">
        <f ca="1">C26</f>
        <v>1.8E-3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85</v>
      </c>
      <c r="D24" s="282"/>
      <c r="E24" s="282"/>
      <c r="F24" s="283"/>
      <c r="G24" s="284" t="s">
        <v>109</v>
      </c>
    </row>
    <row r="25" spans="1:7" s="258" customFormat="1" ht="24">
      <c r="A25" s="953" t="s">
        <v>793</v>
      </c>
      <c r="B25" s="259" t="s">
        <v>1058</v>
      </c>
      <c r="C25" s="1357">
        <f ca="1">ROUND(IF('数据-取费表'!B22&lt;=1,C20*F22*'数据-取费表'!B23/2,C20*(POWER((1+F22),'数据-取费表'!B23/2)-1)),0)</f>
        <v>38</v>
      </c>
      <c r="D25" s="282"/>
      <c r="E25" s="285"/>
      <c r="F25" s="283"/>
      <c r="G25" s="286" t="s">
        <v>110</v>
      </c>
    </row>
    <row r="26" spans="1:7" s="258" customFormat="1">
      <c r="A26" s="953" t="s">
        <v>795</v>
      </c>
      <c r="B26" s="259" t="s">
        <v>1060</v>
      </c>
      <c r="C26" s="282">
        <f ca="1">ROUND(IF('数据-取费表'!B22&lt;=1,F21*F22*'数据-取费表'!B23/2,F21*(POWER((1+F22),'数据-取费表'!B23/2)-1)),4)</f>
        <v>1.8E-3</v>
      </c>
      <c r="D26" s="282"/>
      <c r="E26" s="285"/>
      <c r="F26" s="283"/>
      <c r="G26" s="287"/>
    </row>
    <row r="27" spans="1:7" s="258" customFormat="1" ht="24.75">
      <c r="A27" s="950" t="s">
        <v>787</v>
      </c>
      <c r="B27" s="288" t="s">
        <v>112</v>
      </c>
      <c r="C27" s="289">
        <f>C28</f>
        <v>4387</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4387</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15321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13741</v>
      </c>
      <c r="D34" s="261"/>
      <c r="E34" s="264"/>
      <c r="F34" s="301">
        <f>IF('数据-取费表'!B24=0,1,'数据-取费表'!N16)</f>
        <v>1</v>
      </c>
      <c r="G34" s="263" t="s">
        <v>116</v>
      </c>
    </row>
    <row r="35" spans="1:7" ht="13.5" customHeight="1">
      <c r="A35" s="953" t="s">
        <v>796</v>
      </c>
      <c r="B35" s="259" t="s">
        <v>60</v>
      </c>
      <c r="C35" s="264">
        <f>ROUND(C34*F35,0)</f>
        <v>687</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687</v>
      </c>
      <c r="D37" s="261">
        <f>'数据-汇总表'!E3</f>
        <v>34353.799999999996</v>
      </c>
      <c r="E37" s="293">
        <f>'数据-取费表'!B35</f>
        <v>200</v>
      </c>
      <c r="F37" s="303"/>
      <c r="G37" s="305" t="s">
        <v>119</v>
      </c>
    </row>
    <row r="38" spans="1:7" ht="13.5" customHeight="1">
      <c r="A38" s="953" t="s">
        <v>799</v>
      </c>
      <c r="B38" s="259" t="s">
        <v>63</v>
      </c>
      <c r="C38" s="264">
        <f>ROUND(C34*F38,0)</f>
        <v>206</v>
      </c>
      <c r="D38" s="264"/>
      <c r="E38" s="264"/>
      <c r="F38" s="303">
        <f>'数据-取费表'!B36</f>
        <v>1.4999999999999999E-2</v>
      </c>
      <c r="G38" s="263" t="s">
        <v>117</v>
      </c>
    </row>
    <row r="39" spans="1:7" s="258" customFormat="1" ht="13.5" customHeight="1">
      <c r="A39" s="950" t="s">
        <v>783</v>
      </c>
      <c r="B39" s="254" t="s">
        <v>104</v>
      </c>
      <c r="C39" s="276">
        <f>ROUND(C33*F20,0)</f>
        <v>460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942</v>
      </c>
      <c r="D41" s="279">
        <f ca="1">C44</f>
        <v>1.8E-3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915</v>
      </c>
      <c r="D42" s="282"/>
      <c r="E42" s="282"/>
      <c r="F42" s="283"/>
      <c r="G42" s="3172" t="s">
        <v>121</v>
      </c>
    </row>
    <row r="43" spans="1:7" ht="13.5" customHeight="1">
      <c r="A43" s="953" t="s">
        <v>792</v>
      </c>
      <c r="B43" s="259" t="s">
        <v>1064</v>
      </c>
      <c r="C43" s="282">
        <f ca="1">ROUND(IF('数据-取费表'!B22&lt;=1,C39*F22*'数据-取费表'!B21/2,C39*(POWER((1+F22),'数据-取费表'!B21/2)-1)),0)</f>
        <v>27</v>
      </c>
      <c r="D43" s="282"/>
      <c r="E43" s="282"/>
      <c r="F43" s="283"/>
      <c r="G43" s="3173"/>
    </row>
    <row r="44" spans="1:7" ht="13.5" customHeight="1">
      <c r="A44" s="953" t="s">
        <v>793</v>
      </c>
      <c r="B44" s="259" t="s">
        <v>1066</v>
      </c>
      <c r="C44" s="282">
        <f ca="1">ROUND(IF('数据-取费表'!B22&lt;=1,C40*F22*'数据-取费表'!B21/2,C40*(POWER((1+F22),'数据-取费表'!B21/2)-1)),4)</f>
        <v>1.8E-3</v>
      </c>
      <c r="D44" s="282"/>
      <c r="E44" s="282"/>
      <c r="F44" s="283"/>
      <c r="G44" s="3174"/>
    </row>
    <row r="45" spans="1:7" s="258" customFormat="1" ht="13.5" customHeight="1">
      <c r="A45" s="950" t="s">
        <v>786</v>
      </c>
      <c r="B45" s="288" t="s">
        <v>112</v>
      </c>
      <c r="C45" s="289">
        <f>C46</f>
        <v>3156</v>
      </c>
      <c r="D45" s="279">
        <f>C47</f>
        <v>6.0000000000000001E-3</v>
      </c>
      <c r="E45" s="280" t="s">
        <v>129</v>
      </c>
      <c r="F45" s="290"/>
      <c r="G45" s="291" t="s">
        <v>1072</v>
      </c>
    </row>
    <row r="46" spans="1:7" s="258" customFormat="1" ht="13.5" customHeight="1">
      <c r="A46" s="953" t="s">
        <v>794</v>
      </c>
      <c r="B46" s="292" t="s">
        <v>1065</v>
      </c>
      <c r="C46" s="293">
        <f>ROUND((C33+C39)*F27,0)</f>
        <v>3156</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21872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21216</v>
      </c>
      <c r="D51" s="276"/>
      <c r="E51" s="276"/>
      <c r="F51" s="308"/>
      <c r="G51" s="278" t="s">
        <v>64</v>
      </c>
    </row>
    <row r="52" spans="1:7" s="252" customFormat="1" ht="16.5" thickBot="1">
      <c r="A52" s="309" t="s">
        <v>65</v>
      </c>
      <c r="B52" s="310"/>
      <c r="C52" s="311">
        <f ca="1">C31+C51</f>
        <v>53103</v>
      </c>
      <c r="D52" s="310"/>
      <c r="E52" s="310"/>
      <c r="F52" s="310"/>
      <c r="G52" s="312"/>
    </row>
    <row r="55" spans="1:7" ht="15">
      <c r="B55" s="314" t="s">
        <v>66</v>
      </c>
      <c r="C55" s="315"/>
    </row>
    <row r="56" spans="1:7">
      <c r="B56" s="317" t="s">
        <v>67</v>
      </c>
      <c r="C56" s="318">
        <f ca="1">ROUND(C51/C52,3)</f>
        <v>0.4</v>
      </c>
    </row>
    <row r="57" spans="1:7">
      <c r="B57" s="317" t="s">
        <v>68</v>
      </c>
      <c r="C57" s="319">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7" t="s">
        <v>156</v>
      </c>
      <c r="B1" s="3307"/>
      <c r="C1" s="3307"/>
      <c r="D1" s="3307"/>
      <c r="E1" s="3307"/>
      <c r="F1" s="330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8" t="s">
        <v>169</v>
      </c>
      <c r="B2" s="3308"/>
      <c r="C2" s="3308"/>
      <c r="D2" s="3308"/>
      <c r="E2" s="3308"/>
      <c r="F2" s="330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7" t="s">
        <v>871</v>
      </c>
      <c r="B1" s="330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43405</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2" sqref="A12"/>
    </sheetView>
  </sheetViews>
  <sheetFormatPr defaultColWidth="12.875" defaultRowHeight="13.5"/>
  <cols>
    <col min="1" max="1" width="38.25" style="1636" customWidth="1"/>
    <col min="2" max="16384" width="12.875" style="1636"/>
  </cols>
  <sheetData>
    <row r="1" spans="1:13">
      <c r="A1" s="1636" t="s">
        <v>3360</v>
      </c>
      <c r="B1" s="1636" t="s">
        <v>3361</v>
      </c>
      <c r="C1" s="1636" t="s">
        <v>3362</v>
      </c>
      <c r="D1" s="1636" t="s">
        <v>3363</v>
      </c>
      <c r="E1" s="1636" t="s">
        <v>3364</v>
      </c>
      <c r="F1" s="1636" t="s">
        <v>3365</v>
      </c>
      <c r="G1" s="1636" t="s">
        <v>3366</v>
      </c>
      <c r="H1" s="1636" t="s">
        <v>3367</v>
      </c>
      <c r="I1" s="1636" t="s">
        <v>3368</v>
      </c>
      <c r="J1" s="1636" t="s">
        <v>3369</v>
      </c>
      <c r="K1" s="1636" t="s">
        <v>3370</v>
      </c>
      <c r="L1" s="1636" t="s">
        <v>3371</v>
      </c>
      <c r="M1" s="1636" t="s">
        <v>3372</v>
      </c>
    </row>
    <row r="2" spans="1:13">
      <c r="A2" s="1636" t="s">
        <v>3397</v>
      </c>
      <c r="B2" s="1636" t="s">
        <v>3374</v>
      </c>
      <c r="C2" s="1636" t="s">
        <v>3375</v>
      </c>
      <c r="D2" s="1636">
        <v>5999</v>
      </c>
      <c r="E2" s="1636">
        <v>7798.7</v>
      </c>
      <c r="F2" s="1636" t="s">
        <v>3398</v>
      </c>
      <c r="G2" s="1636" t="s">
        <v>3377</v>
      </c>
      <c r="H2" s="1636" t="s">
        <v>3399</v>
      </c>
      <c r="I2" s="1636">
        <v>2769</v>
      </c>
      <c r="J2" s="1636">
        <v>4707.3</v>
      </c>
      <c r="K2" s="1636">
        <v>6036.01</v>
      </c>
      <c r="L2" s="1636">
        <v>70</v>
      </c>
      <c r="M2" s="1636" t="s">
        <v>3400</v>
      </c>
    </row>
    <row r="3" spans="1:13">
      <c r="A3" s="1636" t="s">
        <v>3387</v>
      </c>
      <c r="B3" s="1636" t="s">
        <v>3374</v>
      </c>
      <c r="C3" s="1636" t="s">
        <v>3375</v>
      </c>
      <c r="D3" s="1636">
        <v>14803</v>
      </c>
      <c r="E3" s="1636">
        <v>26645.4</v>
      </c>
      <c r="F3" s="1636" t="s">
        <v>3388</v>
      </c>
      <c r="G3" s="1636" t="s">
        <v>3377</v>
      </c>
      <c r="H3" s="1636" t="s">
        <v>3389</v>
      </c>
      <c r="I3" s="1636">
        <v>9087</v>
      </c>
      <c r="J3" s="1636">
        <v>15447.89</v>
      </c>
      <c r="K3" s="1636">
        <v>5797.59</v>
      </c>
      <c r="L3" s="1636">
        <v>70</v>
      </c>
      <c r="M3" s="1636" t="s">
        <v>3390</v>
      </c>
    </row>
    <row r="4" spans="1:13">
      <c r="A4" s="1636" t="s">
        <v>3432</v>
      </c>
      <c r="B4" s="1636" t="s">
        <v>3374</v>
      </c>
      <c r="C4" s="1636" t="s">
        <v>3375</v>
      </c>
      <c r="D4" s="1636">
        <v>3333</v>
      </c>
      <c r="E4" s="1636">
        <v>1333.2</v>
      </c>
      <c r="F4" s="1636" t="s">
        <v>3433</v>
      </c>
      <c r="G4" s="1636" t="s">
        <v>3377</v>
      </c>
      <c r="H4" s="1636" t="s">
        <v>3434</v>
      </c>
      <c r="I4" s="1636">
        <v>750</v>
      </c>
      <c r="J4" s="1636">
        <v>770</v>
      </c>
      <c r="K4" s="1636">
        <v>5775.57</v>
      </c>
      <c r="L4" s="1636">
        <v>2.67</v>
      </c>
      <c r="M4" s="1636" t="s">
        <v>3435</v>
      </c>
    </row>
    <row r="5" spans="1:13">
      <c r="A5" s="1636" t="s">
        <v>3421</v>
      </c>
      <c r="B5" s="1636" t="s">
        <v>3374</v>
      </c>
      <c r="C5" s="1636" t="s">
        <v>3375</v>
      </c>
      <c r="D5" s="1636">
        <v>32566</v>
      </c>
      <c r="E5" s="1636">
        <v>35822.6</v>
      </c>
      <c r="F5" s="1636" t="s">
        <v>3422</v>
      </c>
      <c r="G5" s="1636" t="s">
        <v>3377</v>
      </c>
      <c r="H5" s="1636" t="s">
        <v>3423</v>
      </c>
      <c r="I5" s="1636">
        <v>19540</v>
      </c>
      <c r="J5" s="1636">
        <v>19540</v>
      </c>
      <c r="K5" s="1636">
        <v>5454.65</v>
      </c>
      <c r="L5" s="1636">
        <v>0</v>
      </c>
      <c r="M5" s="1636" t="s">
        <v>3379</v>
      </c>
    </row>
    <row r="6" spans="1:13" s="2960" customFormat="1">
      <c r="A6" s="2960" t="s">
        <v>3373</v>
      </c>
      <c r="B6" s="2960" t="s">
        <v>3374</v>
      </c>
      <c r="C6" s="2960" t="s">
        <v>3375</v>
      </c>
      <c r="D6" s="2960">
        <v>16033</v>
      </c>
      <c r="E6" s="2960">
        <v>49702.3</v>
      </c>
      <c r="F6" s="2960" t="s">
        <v>3376</v>
      </c>
      <c r="G6" s="2960" t="s">
        <v>3377</v>
      </c>
      <c r="H6" s="2960" t="s">
        <v>3378</v>
      </c>
      <c r="I6" s="2960">
        <v>23858</v>
      </c>
      <c r="J6" s="2960">
        <v>23858</v>
      </c>
      <c r="K6" s="2960">
        <v>4800.18</v>
      </c>
      <c r="L6" s="2960">
        <v>0</v>
      </c>
      <c r="M6" s="2960" t="s">
        <v>3379</v>
      </c>
    </row>
    <row r="7" spans="1:13">
      <c r="A7" s="1636" t="s">
        <v>3407</v>
      </c>
      <c r="B7" s="1636" t="s">
        <v>3374</v>
      </c>
      <c r="C7" s="1636" t="s">
        <v>3375</v>
      </c>
      <c r="D7" s="1636">
        <v>12328</v>
      </c>
      <c r="E7" s="1636">
        <v>32052.799999999999</v>
      </c>
      <c r="F7" s="1636" t="s">
        <v>3408</v>
      </c>
      <c r="G7" s="1636" t="s">
        <v>3377</v>
      </c>
      <c r="H7" s="1636" t="s">
        <v>3409</v>
      </c>
      <c r="I7" s="1636">
        <v>9632</v>
      </c>
      <c r="J7" s="1636">
        <v>15000</v>
      </c>
      <c r="K7" s="1636">
        <v>4679.7700000000004</v>
      </c>
      <c r="L7" s="1636">
        <v>55.73</v>
      </c>
      <c r="M7" s="1636" t="s">
        <v>3410</v>
      </c>
    </row>
    <row r="8" spans="1:13">
      <c r="A8" s="2958" t="s">
        <v>3487</v>
      </c>
      <c r="B8" s="1636" t="s">
        <v>3374</v>
      </c>
      <c r="C8" s="1636" t="s">
        <v>3375</v>
      </c>
      <c r="D8" s="1636">
        <v>15644</v>
      </c>
      <c r="E8" s="1636">
        <v>20337.2</v>
      </c>
      <c r="F8" s="1636" t="s">
        <v>3424</v>
      </c>
      <c r="G8" s="1636" t="s">
        <v>3377</v>
      </c>
      <c r="H8" s="1636" t="s">
        <v>3423</v>
      </c>
      <c r="I8" s="1636">
        <v>9387</v>
      </c>
      <c r="J8" s="1636">
        <v>9387</v>
      </c>
      <c r="K8" s="1636">
        <v>4615.68</v>
      </c>
      <c r="L8" s="1636">
        <v>0</v>
      </c>
      <c r="M8" s="1636" t="s">
        <v>3379</v>
      </c>
    </row>
    <row r="9" spans="1:13" s="2959" customFormat="1">
      <c r="A9" s="2959" t="s">
        <v>3489</v>
      </c>
      <c r="B9" s="2959" t="s">
        <v>3374</v>
      </c>
      <c r="C9" s="2959" t="s">
        <v>3375</v>
      </c>
      <c r="D9" s="2959">
        <v>9412</v>
      </c>
      <c r="E9" s="2959">
        <v>19765.2</v>
      </c>
      <c r="F9" s="2959" t="s">
        <v>3411</v>
      </c>
      <c r="G9" s="2959" t="s">
        <v>3377</v>
      </c>
      <c r="H9" s="2959" t="s">
        <v>3409</v>
      </c>
      <c r="I9" s="2959">
        <v>4942</v>
      </c>
      <c r="J9" s="2959">
        <v>8401.39</v>
      </c>
      <c r="K9" s="2959">
        <v>4250.6000000000004</v>
      </c>
      <c r="L9" s="2959">
        <v>70</v>
      </c>
      <c r="M9" s="2959" t="s">
        <v>3412</v>
      </c>
    </row>
    <row r="10" spans="1:13">
      <c r="A10" s="2958" t="s">
        <v>3488</v>
      </c>
      <c r="B10" s="1636" t="s">
        <v>3374</v>
      </c>
      <c r="C10" s="1636" t="s">
        <v>3375</v>
      </c>
      <c r="D10" s="1636">
        <v>8333</v>
      </c>
      <c r="E10" s="1636">
        <v>25832.3</v>
      </c>
      <c r="F10" s="1636" t="s">
        <v>3376</v>
      </c>
      <c r="G10" s="1636" t="s">
        <v>3377</v>
      </c>
      <c r="H10" s="1636" t="s">
        <v>3384</v>
      </c>
      <c r="I10" s="1636">
        <v>10463</v>
      </c>
      <c r="J10" s="1636">
        <v>10463</v>
      </c>
      <c r="K10" s="1636">
        <v>4050.36</v>
      </c>
      <c r="L10" s="1636">
        <v>0</v>
      </c>
      <c r="M10" s="1636" t="s">
        <v>3386</v>
      </c>
    </row>
    <row r="11" spans="1:13" s="2959" customFormat="1">
      <c r="A11" s="2959" t="s">
        <v>3486</v>
      </c>
      <c r="B11" s="2959" t="s">
        <v>3374</v>
      </c>
      <c r="C11" s="2959" t="s">
        <v>3375</v>
      </c>
      <c r="D11" s="2959">
        <v>32640</v>
      </c>
      <c r="E11" s="2959">
        <v>81600</v>
      </c>
      <c r="F11" s="2959" t="s">
        <v>3380</v>
      </c>
      <c r="G11" s="2959" t="s">
        <v>3377</v>
      </c>
      <c r="H11" s="2959" t="s">
        <v>3381</v>
      </c>
      <c r="I11" s="2959">
        <v>32640</v>
      </c>
      <c r="J11" s="2959">
        <v>32640</v>
      </c>
      <c r="K11" s="2959">
        <v>4000</v>
      </c>
      <c r="L11" s="2959">
        <v>0</v>
      </c>
      <c r="M11" s="2959" t="s">
        <v>3382</v>
      </c>
    </row>
    <row r="12" spans="1:13">
      <c r="A12" s="1636" t="s">
        <v>3393</v>
      </c>
      <c r="B12" s="1636" t="s">
        <v>3374</v>
      </c>
      <c r="C12" s="1636" t="s">
        <v>3375</v>
      </c>
      <c r="D12" s="1636">
        <v>6817</v>
      </c>
      <c r="E12" s="1636">
        <v>21132.7</v>
      </c>
      <c r="F12" s="1636" t="s">
        <v>3394</v>
      </c>
      <c r="G12" s="1636" t="s">
        <v>3377</v>
      </c>
      <c r="H12" s="1636" t="s">
        <v>3389</v>
      </c>
      <c r="I12" s="1636">
        <v>4882</v>
      </c>
      <c r="J12" s="1636">
        <v>8299.39</v>
      </c>
      <c r="K12" s="1636">
        <v>3927.28</v>
      </c>
      <c r="L12" s="1636">
        <v>70</v>
      </c>
      <c r="M12" s="1636" t="s">
        <v>3392</v>
      </c>
    </row>
    <row r="13" spans="1:13" s="2959" customFormat="1">
      <c r="A13" s="2959" t="s">
        <v>3485</v>
      </c>
      <c r="B13" s="2959" t="s">
        <v>3374</v>
      </c>
      <c r="C13" s="2959" t="s">
        <v>3375</v>
      </c>
      <c r="D13" s="2959">
        <v>15423</v>
      </c>
      <c r="E13" s="2959">
        <v>53980.5</v>
      </c>
      <c r="F13" s="2959" t="s">
        <v>3395</v>
      </c>
      <c r="G13" s="2959" t="s">
        <v>3377</v>
      </c>
      <c r="H13" s="2959" t="s">
        <v>3389</v>
      </c>
      <c r="I13" s="2959">
        <v>12362</v>
      </c>
      <c r="J13" s="2959">
        <v>21015.4</v>
      </c>
      <c r="K13" s="2959">
        <v>3893.15</v>
      </c>
      <c r="L13" s="2959">
        <v>70</v>
      </c>
      <c r="M13" s="2959" t="s">
        <v>3396</v>
      </c>
    </row>
    <row r="14" spans="1:13">
      <c r="A14" s="2958" t="s">
        <v>3484</v>
      </c>
      <c r="B14" s="1636" t="s">
        <v>3374</v>
      </c>
      <c r="C14" s="1636" t="s">
        <v>3375</v>
      </c>
      <c r="D14" s="1636">
        <v>21525</v>
      </c>
      <c r="E14" s="1636">
        <v>73185</v>
      </c>
      <c r="F14" s="1636" t="s">
        <v>3391</v>
      </c>
      <c r="G14" s="1636" t="s">
        <v>3377</v>
      </c>
      <c r="H14" s="1636" t="s">
        <v>3389</v>
      </c>
      <c r="I14" s="1636">
        <v>16174</v>
      </c>
      <c r="J14" s="1636">
        <v>27495.79</v>
      </c>
      <c r="K14" s="1636">
        <v>3757.03</v>
      </c>
      <c r="L14" s="1636">
        <v>70</v>
      </c>
      <c r="M14" s="1636" t="s">
        <v>3392</v>
      </c>
    </row>
    <row r="15" spans="1:13">
      <c r="A15" s="1636" t="s">
        <v>3451</v>
      </c>
      <c r="B15" s="1636" t="s">
        <v>3374</v>
      </c>
      <c r="C15" s="1636" t="s">
        <v>3375</v>
      </c>
      <c r="D15" s="1636">
        <v>4940</v>
      </c>
      <c r="E15" s="1636">
        <v>3952</v>
      </c>
      <c r="F15" s="1636" t="s">
        <v>3452</v>
      </c>
      <c r="G15" s="1636" t="s">
        <v>3377</v>
      </c>
      <c r="H15" s="1636" t="s">
        <v>3449</v>
      </c>
      <c r="I15" s="1636">
        <v>1468</v>
      </c>
      <c r="J15" s="1636">
        <v>1468</v>
      </c>
      <c r="K15" s="1636">
        <v>3714.57</v>
      </c>
      <c r="L15" s="1636">
        <v>0</v>
      </c>
      <c r="M15" s="1636" t="s">
        <v>3379</v>
      </c>
    </row>
    <row r="16" spans="1:13">
      <c r="A16" s="1636" t="s">
        <v>3419</v>
      </c>
      <c r="B16" s="1636" t="s">
        <v>3374</v>
      </c>
      <c r="C16" s="1636" t="s">
        <v>3375</v>
      </c>
      <c r="D16" s="1636">
        <v>3509</v>
      </c>
      <c r="E16" s="1636">
        <v>5614.4</v>
      </c>
      <c r="F16" s="1636">
        <v>1.6</v>
      </c>
      <c r="G16" s="1636" t="s">
        <v>3377</v>
      </c>
      <c r="H16" s="1636" t="s">
        <v>3417</v>
      </c>
      <c r="I16" s="1636">
        <v>1974</v>
      </c>
      <c r="J16" s="1636">
        <v>1974</v>
      </c>
      <c r="K16" s="1636">
        <v>3515.96</v>
      </c>
      <c r="L16" s="1636">
        <v>0</v>
      </c>
      <c r="M16" s="1636" t="s">
        <v>3420</v>
      </c>
    </row>
    <row r="17" spans="1:13">
      <c r="A17" s="2958" t="s">
        <v>3483</v>
      </c>
      <c r="B17" s="1636" t="s">
        <v>3374</v>
      </c>
      <c r="C17" s="1636" t="s">
        <v>3375</v>
      </c>
      <c r="D17" s="1636">
        <v>7098</v>
      </c>
      <c r="E17" s="1636">
        <v>20584.2</v>
      </c>
      <c r="F17" s="1636" t="s">
        <v>3383</v>
      </c>
      <c r="G17" s="1636" t="s">
        <v>3377</v>
      </c>
      <c r="H17" s="1636" t="s">
        <v>3384</v>
      </c>
      <c r="I17" s="1636">
        <v>4220</v>
      </c>
      <c r="J17" s="1636">
        <v>6620</v>
      </c>
      <c r="K17" s="1636">
        <v>3216.05</v>
      </c>
      <c r="L17" s="1636">
        <v>56.87</v>
      </c>
      <c r="M17" s="1636" t="s">
        <v>3385</v>
      </c>
    </row>
    <row r="18" spans="1:13">
      <c r="A18" s="2958" t="s">
        <v>3482</v>
      </c>
      <c r="B18" s="1636" t="s">
        <v>3374</v>
      </c>
      <c r="C18" s="1636" t="s">
        <v>3375</v>
      </c>
      <c r="D18" s="1636">
        <v>11595</v>
      </c>
      <c r="E18" s="1636">
        <v>12800</v>
      </c>
      <c r="F18" s="1636" t="s">
        <v>3405</v>
      </c>
      <c r="G18" s="1636" t="s">
        <v>3377</v>
      </c>
      <c r="H18" s="1636" t="s">
        <v>3403</v>
      </c>
      <c r="I18" s="1636">
        <v>2957</v>
      </c>
      <c r="J18" s="1636">
        <v>2957</v>
      </c>
      <c r="K18" s="1636">
        <v>2310.15</v>
      </c>
      <c r="L18" s="1636">
        <v>0</v>
      </c>
      <c r="M18" s="1636" t="s">
        <v>3406</v>
      </c>
    </row>
    <row r="19" spans="1:13">
      <c r="A19" s="1636" t="s">
        <v>3401</v>
      </c>
      <c r="B19" s="1636" t="s">
        <v>3374</v>
      </c>
      <c r="C19" s="1636" t="s">
        <v>3375</v>
      </c>
      <c r="D19" s="1636">
        <v>35677</v>
      </c>
      <c r="E19" s="1636">
        <v>35000</v>
      </c>
      <c r="F19" s="1636" t="s">
        <v>3402</v>
      </c>
      <c r="G19" s="1636" t="s">
        <v>3377</v>
      </c>
      <c r="H19" s="1636" t="s">
        <v>3403</v>
      </c>
      <c r="I19" s="1636">
        <v>7493</v>
      </c>
      <c r="J19" s="1636">
        <v>7493</v>
      </c>
      <c r="K19" s="1636">
        <v>2140.86</v>
      </c>
      <c r="L19" s="1636">
        <v>0</v>
      </c>
      <c r="M19" s="1636" t="s">
        <v>3404</v>
      </c>
    </row>
    <row r="20" spans="1:13">
      <c r="A20" s="1636" t="s">
        <v>3461</v>
      </c>
      <c r="B20" s="1636" t="s">
        <v>3374</v>
      </c>
      <c r="C20" s="1636" t="s">
        <v>3375</v>
      </c>
      <c r="D20" s="1636">
        <v>11940</v>
      </c>
      <c r="E20" s="1636">
        <v>11940</v>
      </c>
      <c r="F20" s="1636" t="s">
        <v>3462</v>
      </c>
      <c r="G20" s="1636" t="s">
        <v>3377</v>
      </c>
      <c r="H20" s="1636" t="s">
        <v>3459</v>
      </c>
      <c r="I20" s="1636">
        <v>2382</v>
      </c>
      <c r="J20" s="1636">
        <v>2382</v>
      </c>
      <c r="K20" s="1636">
        <v>1994.97</v>
      </c>
      <c r="L20" s="1636">
        <v>0</v>
      </c>
      <c r="M20" s="1636" t="s">
        <v>3463</v>
      </c>
    </row>
    <row r="21" spans="1:13">
      <c r="A21" s="1636" t="s">
        <v>3468</v>
      </c>
      <c r="B21" s="1636" t="s">
        <v>3374</v>
      </c>
      <c r="C21" s="1636" t="s">
        <v>3375</v>
      </c>
      <c r="D21" s="1636">
        <v>16668</v>
      </c>
      <c r="E21" s="1636">
        <v>25168.68</v>
      </c>
      <c r="F21" s="1636" t="s">
        <v>3469</v>
      </c>
      <c r="G21" s="1636" t="s">
        <v>3377</v>
      </c>
      <c r="H21" s="1636" t="s">
        <v>3470</v>
      </c>
      <c r="I21" s="1636">
        <v>4551</v>
      </c>
      <c r="J21" s="1636">
        <v>4551</v>
      </c>
      <c r="K21" s="1636">
        <v>1808.2</v>
      </c>
      <c r="L21" s="1636">
        <v>0</v>
      </c>
      <c r="M21" s="1636" t="s">
        <v>3471</v>
      </c>
    </row>
    <row r="22" spans="1:13">
      <c r="A22" s="1636" t="s">
        <v>3429</v>
      </c>
      <c r="B22" s="1636" t="s">
        <v>3374</v>
      </c>
      <c r="C22" s="1636" t="s">
        <v>3375</v>
      </c>
      <c r="D22" s="1636">
        <v>16532</v>
      </c>
      <c r="E22" s="1636">
        <v>33064</v>
      </c>
      <c r="F22" s="1636" t="s">
        <v>3426</v>
      </c>
      <c r="G22" s="1636" t="s">
        <v>3377</v>
      </c>
      <c r="H22" s="1636" t="s">
        <v>3430</v>
      </c>
      <c r="I22" s="1636">
        <v>5704</v>
      </c>
      <c r="J22" s="1636">
        <v>5704</v>
      </c>
      <c r="K22" s="1636">
        <v>1725.14</v>
      </c>
      <c r="L22" s="1636">
        <v>0</v>
      </c>
      <c r="M22" s="1636" t="s">
        <v>3431</v>
      </c>
    </row>
    <row r="23" spans="1:13">
      <c r="A23" s="1636" t="s">
        <v>3444</v>
      </c>
      <c r="B23" s="1636" t="s">
        <v>3374</v>
      </c>
      <c r="C23" s="1636" t="s">
        <v>3375</v>
      </c>
      <c r="D23" s="1636">
        <v>16673</v>
      </c>
      <c r="E23" s="1636">
        <v>41682.5</v>
      </c>
      <c r="F23" s="1636" t="s">
        <v>3445</v>
      </c>
      <c r="G23" s="1636" t="s">
        <v>3377</v>
      </c>
      <c r="H23" s="1636" t="s">
        <v>3446</v>
      </c>
      <c r="I23" s="1636">
        <v>7028</v>
      </c>
      <c r="J23" s="1636">
        <v>7028</v>
      </c>
      <c r="K23" s="1636">
        <v>1686.07</v>
      </c>
      <c r="L23" s="1636">
        <v>0</v>
      </c>
      <c r="M23" s="1636" t="s">
        <v>3447</v>
      </c>
    </row>
    <row r="24" spans="1:13">
      <c r="A24" s="1636" t="s">
        <v>3472</v>
      </c>
      <c r="B24" s="1636" t="s">
        <v>3374</v>
      </c>
      <c r="C24" s="1636" t="s">
        <v>3375</v>
      </c>
      <c r="D24" s="1636">
        <v>8799</v>
      </c>
      <c r="E24" s="1636">
        <v>20237.7</v>
      </c>
      <c r="F24" s="1636" t="s">
        <v>3473</v>
      </c>
      <c r="G24" s="1636" t="s">
        <v>3377</v>
      </c>
      <c r="H24" s="1636" t="s">
        <v>3474</v>
      </c>
      <c r="I24" s="1636">
        <v>3300</v>
      </c>
      <c r="J24" s="1636">
        <v>3300</v>
      </c>
      <c r="K24" s="1636">
        <v>1630.61</v>
      </c>
      <c r="L24" s="1636">
        <v>0</v>
      </c>
      <c r="M24" s="1636" t="s">
        <v>3475</v>
      </c>
    </row>
    <row r="25" spans="1:13">
      <c r="A25" s="1636" t="s">
        <v>3440</v>
      </c>
      <c r="B25" s="1636" t="s">
        <v>3374</v>
      </c>
      <c r="C25" s="1636" t="s">
        <v>3375</v>
      </c>
      <c r="D25" s="1636">
        <v>17634</v>
      </c>
      <c r="E25" s="1636">
        <v>88170</v>
      </c>
      <c r="F25" s="1636" t="s">
        <v>3441</v>
      </c>
      <c r="G25" s="1636" t="s">
        <v>3377</v>
      </c>
      <c r="H25" s="1636" t="s">
        <v>3442</v>
      </c>
      <c r="I25" s="1636">
        <v>13226</v>
      </c>
      <c r="J25" s="1636">
        <v>13226</v>
      </c>
      <c r="K25" s="1636">
        <v>1500.05</v>
      </c>
      <c r="L25" s="1636">
        <v>0</v>
      </c>
      <c r="M25" s="1636" t="s">
        <v>3443</v>
      </c>
    </row>
    <row r="26" spans="1:13">
      <c r="A26" s="1636" t="s">
        <v>3436</v>
      </c>
      <c r="B26" s="1636" t="s">
        <v>3374</v>
      </c>
      <c r="C26" s="1636" t="s">
        <v>3375</v>
      </c>
      <c r="D26" s="1636">
        <v>51452</v>
      </c>
      <c r="E26" s="1636">
        <v>102904</v>
      </c>
      <c r="F26" s="1636" t="s">
        <v>3437</v>
      </c>
      <c r="G26" s="1636" t="s">
        <v>3377</v>
      </c>
      <c r="H26" s="1636" t="s">
        <v>3438</v>
      </c>
      <c r="I26" s="1636">
        <v>15436</v>
      </c>
      <c r="J26" s="1636">
        <v>15436</v>
      </c>
      <c r="K26" s="1636">
        <v>1500.03</v>
      </c>
      <c r="L26" s="1636">
        <v>0</v>
      </c>
      <c r="M26" s="1636" t="s">
        <v>3439</v>
      </c>
    </row>
    <row r="27" spans="1:13">
      <c r="A27" s="1636" t="s">
        <v>3476</v>
      </c>
      <c r="B27" s="1636" t="s">
        <v>3374</v>
      </c>
      <c r="C27" s="1636" t="s">
        <v>3375</v>
      </c>
      <c r="D27" s="1636">
        <v>14200</v>
      </c>
      <c r="E27" s="1636">
        <v>42600</v>
      </c>
      <c r="F27" s="1636" t="s">
        <v>3458</v>
      </c>
      <c r="G27" s="1636" t="s">
        <v>3377</v>
      </c>
      <c r="H27" s="1636" t="s">
        <v>3477</v>
      </c>
      <c r="I27" s="1636">
        <v>6390</v>
      </c>
      <c r="J27" s="1636">
        <v>6390</v>
      </c>
      <c r="K27" s="1636">
        <v>1500</v>
      </c>
      <c r="L27" s="1636">
        <v>0</v>
      </c>
      <c r="M27" s="1636" t="s">
        <v>3478</v>
      </c>
    </row>
    <row r="28" spans="1:13">
      <c r="A28" s="1636" t="s">
        <v>3457</v>
      </c>
      <c r="B28" s="1636" t="s">
        <v>3374</v>
      </c>
      <c r="C28" s="1636" t="s">
        <v>3375</v>
      </c>
      <c r="D28" s="1636">
        <v>12232</v>
      </c>
      <c r="E28" s="1636">
        <v>36696</v>
      </c>
      <c r="F28" s="1636" t="s">
        <v>3458</v>
      </c>
      <c r="G28" s="1636" t="s">
        <v>3377</v>
      </c>
      <c r="H28" s="1636" t="s">
        <v>3459</v>
      </c>
      <c r="I28" s="1636">
        <v>5504</v>
      </c>
      <c r="J28" s="1636">
        <v>5504</v>
      </c>
      <c r="K28" s="1636">
        <v>1499.89</v>
      </c>
      <c r="L28" s="1636">
        <v>0</v>
      </c>
      <c r="M28" s="1636" t="s">
        <v>3460</v>
      </c>
    </row>
    <row r="29" spans="1:13">
      <c r="A29" s="1636" t="s">
        <v>3416</v>
      </c>
      <c r="B29" s="1636" t="s">
        <v>3374</v>
      </c>
      <c r="C29" s="1636" t="s">
        <v>3375</v>
      </c>
      <c r="D29" s="1636">
        <v>8027</v>
      </c>
      <c r="E29" s="1636">
        <v>16054</v>
      </c>
      <c r="F29" s="1636">
        <v>2</v>
      </c>
      <c r="G29" s="1636" t="s">
        <v>3377</v>
      </c>
      <c r="H29" s="1636" t="s">
        <v>3417</v>
      </c>
      <c r="I29" s="1636">
        <v>1807</v>
      </c>
      <c r="J29" s="1636">
        <v>1807</v>
      </c>
      <c r="K29" s="1636">
        <v>1125.57</v>
      </c>
      <c r="L29" s="1636">
        <v>0</v>
      </c>
      <c r="M29" s="1636" t="s">
        <v>3418</v>
      </c>
    </row>
    <row r="30" spans="1:13">
      <c r="A30" s="1636" t="s">
        <v>3448</v>
      </c>
      <c r="B30" s="1636" t="s">
        <v>3374</v>
      </c>
      <c r="C30" s="1636" t="s">
        <v>3375</v>
      </c>
      <c r="D30" s="1636">
        <v>1289</v>
      </c>
      <c r="E30" s="1636">
        <v>1417.9</v>
      </c>
      <c r="F30" s="1636" t="s">
        <v>3422</v>
      </c>
      <c r="G30" s="1636" t="s">
        <v>3377</v>
      </c>
      <c r="H30" s="1636" t="s">
        <v>3449</v>
      </c>
      <c r="I30" s="1636">
        <v>136</v>
      </c>
      <c r="J30" s="1636">
        <v>136</v>
      </c>
      <c r="K30" s="1636">
        <v>959.15</v>
      </c>
      <c r="L30" s="1636">
        <v>0</v>
      </c>
      <c r="M30" s="1636" t="s">
        <v>3450</v>
      </c>
    </row>
    <row r="31" spans="1:13">
      <c r="A31" s="1636" t="s">
        <v>3479</v>
      </c>
      <c r="B31" s="1636" t="s">
        <v>3374</v>
      </c>
      <c r="C31" s="1636" t="s">
        <v>3375</v>
      </c>
      <c r="D31" s="1636">
        <v>18521</v>
      </c>
      <c r="E31" s="1636">
        <v>37042</v>
      </c>
      <c r="F31" s="1636" t="s">
        <v>3426</v>
      </c>
      <c r="G31" s="1636" t="s">
        <v>3377</v>
      </c>
      <c r="H31" s="1636" t="s">
        <v>3480</v>
      </c>
      <c r="I31" s="1636">
        <v>3195</v>
      </c>
      <c r="J31" s="1636">
        <v>3195</v>
      </c>
      <c r="K31" s="1636">
        <v>862.52</v>
      </c>
      <c r="L31" s="1636">
        <v>0</v>
      </c>
      <c r="M31" s="1636" t="s">
        <v>3481</v>
      </c>
    </row>
    <row r="32" spans="1:13">
      <c r="A32" s="1636" t="s">
        <v>3425</v>
      </c>
      <c r="B32" s="1636" t="s">
        <v>3374</v>
      </c>
      <c r="C32" s="1636" t="s">
        <v>3375</v>
      </c>
      <c r="D32" s="1636">
        <v>13661</v>
      </c>
      <c r="E32" s="1636">
        <v>27322</v>
      </c>
      <c r="F32" s="1636" t="s">
        <v>3426</v>
      </c>
      <c r="G32" s="1636" t="s">
        <v>3377</v>
      </c>
      <c r="H32" s="1636" t="s">
        <v>3427</v>
      </c>
      <c r="I32" s="1636">
        <v>893</v>
      </c>
      <c r="J32" s="1636">
        <v>893</v>
      </c>
      <c r="K32" s="1636">
        <v>326.83</v>
      </c>
      <c r="L32" s="1636">
        <v>0</v>
      </c>
      <c r="M32" s="1636" t="s">
        <v>3428</v>
      </c>
    </row>
    <row r="33" spans="1:13">
      <c r="A33" s="1636" t="s">
        <v>3453</v>
      </c>
      <c r="B33" s="1636" t="s">
        <v>3374</v>
      </c>
      <c r="C33" s="1636" t="s">
        <v>3375</v>
      </c>
      <c r="D33" s="1636">
        <v>23762</v>
      </c>
      <c r="E33" s="1636">
        <v>90295.6</v>
      </c>
      <c r="F33" s="1636" t="s">
        <v>3454</v>
      </c>
      <c r="G33" s="1636" t="s">
        <v>3377</v>
      </c>
      <c r="H33" s="1636" t="s">
        <v>3455</v>
      </c>
      <c r="I33" s="1636">
        <v>1945</v>
      </c>
      <c r="J33" s="1636">
        <v>1945</v>
      </c>
      <c r="K33" s="1636">
        <v>215.4</v>
      </c>
      <c r="L33" s="1636">
        <v>0</v>
      </c>
      <c r="M33" s="1636" t="s">
        <v>3456</v>
      </c>
    </row>
    <row r="34" spans="1:13">
      <c r="A34" s="1636" t="s">
        <v>3464</v>
      </c>
      <c r="B34" s="1636" t="s">
        <v>3374</v>
      </c>
      <c r="C34" s="1636" t="s">
        <v>3375</v>
      </c>
      <c r="D34" s="1636">
        <v>11666</v>
      </c>
      <c r="E34" s="1636">
        <v>47013.98</v>
      </c>
      <c r="F34" s="1636" t="s">
        <v>3465</v>
      </c>
      <c r="G34" s="1636" t="s">
        <v>3377</v>
      </c>
      <c r="H34" s="1636" t="s">
        <v>3466</v>
      </c>
      <c r="I34" s="1636">
        <v>953</v>
      </c>
      <c r="J34" s="1636">
        <v>953</v>
      </c>
      <c r="K34" s="1636">
        <v>202.71</v>
      </c>
      <c r="L34" s="1636">
        <v>0</v>
      </c>
      <c r="M34" s="1636" t="s">
        <v>3467</v>
      </c>
    </row>
    <row r="35" spans="1:13">
      <c r="A35" s="1636" t="s">
        <v>3413</v>
      </c>
      <c r="B35" s="1636" t="s">
        <v>3374</v>
      </c>
      <c r="C35" s="1636" t="s">
        <v>3375</v>
      </c>
      <c r="D35" s="1636">
        <v>36492</v>
      </c>
      <c r="E35" s="1636">
        <v>127722</v>
      </c>
      <c r="F35" s="1636" t="s">
        <v>3395</v>
      </c>
      <c r="G35" s="1636" t="s">
        <v>3377</v>
      </c>
      <c r="H35" s="1636" t="s">
        <v>3414</v>
      </c>
      <c r="I35" s="1636">
        <v>1643</v>
      </c>
      <c r="J35" s="1636">
        <v>1643</v>
      </c>
      <c r="K35" s="1636">
        <v>128.63</v>
      </c>
      <c r="L35" s="1636">
        <v>0</v>
      </c>
      <c r="M35" s="1636" t="s">
        <v>3415</v>
      </c>
    </row>
  </sheetData>
  <sortState ref="A2:M38">
    <sortCondition descending="1" ref="K1"/>
  </sortState>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topLeftCell="A268" workbookViewId="0">
      <selection sqref="A1:I285"/>
    </sheetView>
  </sheetViews>
  <sheetFormatPr defaultRowHeight="20.100000000000001" customHeight="1"/>
  <cols>
    <col min="1" max="1" width="9" style="2966"/>
    <col min="2" max="2" width="29.625" style="2966" customWidth="1"/>
    <col min="3" max="4" width="9" style="2966"/>
    <col min="5" max="5" width="9" style="2976"/>
    <col min="6" max="6" width="9" style="2966"/>
    <col min="7" max="7" width="9" style="2976"/>
    <col min="8" max="16384" width="9" style="2966"/>
  </cols>
  <sheetData>
    <row r="1" spans="1:9" ht="20.100000000000001" customHeight="1" thickBot="1">
      <c r="A1" s="2977" t="s">
        <v>3514</v>
      </c>
      <c r="B1" s="2978" t="s">
        <v>3515</v>
      </c>
      <c r="C1" s="2979" t="s">
        <v>3516</v>
      </c>
      <c r="D1" s="2964" t="s">
        <v>3507</v>
      </c>
      <c r="E1" s="2973" t="s">
        <v>3508</v>
      </c>
      <c r="F1" s="2964" t="s">
        <v>3506</v>
      </c>
      <c r="G1" s="2973" t="s">
        <v>3508</v>
      </c>
      <c r="H1" s="2965" t="s">
        <v>3509</v>
      </c>
      <c r="I1" s="2964" t="s">
        <v>3510</v>
      </c>
    </row>
    <row r="2" spans="1:9" ht="20.100000000000001" customHeight="1" thickBot="1">
      <c r="A2" s="2966">
        <v>1</v>
      </c>
      <c r="B2" s="2980" t="s">
        <v>3517</v>
      </c>
      <c r="C2" s="717">
        <v>101</v>
      </c>
      <c r="D2" s="717">
        <v>30.09</v>
      </c>
      <c r="E2" s="2974">
        <v>1</v>
      </c>
      <c r="F2" s="717" t="s">
        <v>3511</v>
      </c>
      <c r="G2" s="2974">
        <v>1</v>
      </c>
      <c r="H2" s="2968">
        <v>19669</v>
      </c>
      <c r="I2" s="2967">
        <v>59</v>
      </c>
    </row>
    <row r="3" spans="1:9" ht="20.100000000000001" customHeight="1" thickBot="1">
      <c r="A3" s="2966">
        <v>2</v>
      </c>
      <c r="B3" s="2981" t="s">
        <v>3518</v>
      </c>
      <c r="C3" s="2969">
        <v>102</v>
      </c>
      <c r="D3" s="2970">
        <v>57.27</v>
      </c>
      <c r="E3" s="2975">
        <v>1</v>
      </c>
      <c r="F3" s="717" t="s">
        <v>3511</v>
      </c>
      <c r="G3" s="2975">
        <v>1</v>
      </c>
      <c r="H3" s="2971">
        <v>19669</v>
      </c>
      <c r="I3" s="2972">
        <v>113</v>
      </c>
    </row>
    <row r="4" spans="1:9" ht="20.100000000000001" customHeight="1" thickBot="1">
      <c r="A4" s="2966">
        <v>3</v>
      </c>
      <c r="B4" s="2981" t="s">
        <v>3519</v>
      </c>
      <c r="C4" s="2969">
        <v>103</v>
      </c>
      <c r="D4" s="2970">
        <v>27.94</v>
      </c>
      <c r="E4" s="2975">
        <v>1</v>
      </c>
      <c r="F4" s="717" t="s">
        <v>3511</v>
      </c>
      <c r="G4" s="2975">
        <v>1</v>
      </c>
      <c r="H4" s="2971">
        <v>19669</v>
      </c>
      <c r="I4" s="2972">
        <v>55</v>
      </c>
    </row>
    <row r="5" spans="1:9" ht="20.100000000000001" customHeight="1" thickBot="1">
      <c r="A5" s="2966">
        <v>4</v>
      </c>
      <c r="B5" s="2981" t="s">
        <v>3520</v>
      </c>
      <c r="C5" s="2969">
        <v>104</v>
      </c>
      <c r="D5" s="2970">
        <v>36.28</v>
      </c>
      <c r="E5" s="2975">
        <v>1</v>
      </c>
      <c r="F5" s="717" t="s">
        <v>3511</v>
      </c>
      <c r="G5" s="2975">
        <v>1</v>
      </c>
      <c r="H5" s="2971">
        <v>19669</v>
      </c>
      <c r="I5" s="2972">
        <v>71</v>
      </c>
    </row>
    <row r="6" spans="1:9" ht="20.100000000000001" customHeight="1" thickBot="1">
      <c r="A6" s="2966">
        <v>5</v>
      </c>
      <c r="B6" s="2981" t="s">
        <v>3521</v>
      </c>
      <c r="C6" s="2969">
        <v>105</v>
      </c>
      <c r="D6" s="2970">
        <v>36.380000000000003</v>
      </c>
      <c r="E6" s="2975">
        <v>1</v>
      </c>
      <c r="F6" s="717" t="s">
        <v>3511</v>
      </c>
      <c r="G6" s="2975">
        <v>1</v>
      </c>
      <c r="H6" s="2971">
        <v>19669</v>
      </c>
      <c r="I6" s="2972">
        <v>72</v>
      </c>
    </row>
    <row r="7" spans="1:9" ht="20.100000000000001" customHeight="1" thickBot="1">
      <c r="A7" s="2966">
        <v>6</v>
      </c>
      <c r="B7" s="2981" t="s">
        <v>3522</v>
      </c>
      <c r="C7" s="2969">
        <v>106</v>
      </c>
      <c r="D7" s="2970">
        <v>33.36</v>
      </c>
      <c r="E7" s="2975">
        <v>1</v>
      </c>
      <c r="F7" s="717" t="s">
        <v>3511</v>
      </c>
      <c r="G7" s="2975">
        <v>1</v>
      </c>
      <c r="H7" s="2971">
        <v>19669</v>
      </c>
      <c r="I7" s="2972">
        <v>66</v>
      </c>
    </row>
    <row r="8" spans="1:9" ht="20.100000000000001" customHeight="1" thickBot="1">
      <c r="A8" s="2966">
        <v>7</v>
      </c>
      <c r="B8" s="2981" t="s">
        <v>3523</v>
      </c>
      <c r="C8" s="2969">
        <v>107</v>
      </c>
      <c r="D8" s="2970">
        <v>24.72</v>
      </c>
      <c r="E8" s="2975">
        <v>1</v>
      </c>
      <c r="F8" s="717" t="s">
        <v>3511</v>
      </c>
      <c r="G8" s="2975">
        <v>1</v>
      </c>
      <c r="H8" s="2971">
        <v>19669</v>
      </c>
      <c r="I8" s="2972">
        <v>49</v>
      </c>
    </row>
    <row r="9" spans="1:9" ht="20.100000000000001" customHeight="1" thickBot="1">
      <c r="A9" s="2966">
        <v>8</v>
      </c>
      <c r="B9" s="2981" t="s">
        <v>3524</v>
      </c>
      <c r="C9" s="2969">
        <v>108</v>
      </c>
      <c r="D9" s="2970">
        <v>40.409999999999997</v>
      </c>
      <c r="E9" s="2975">
        <v>1</v>
      </c>
      <c r="F9" s="717" t="s">
        <v>3511</v>
      </c>
      <c r="G9" s="2975">
        <v>1</v>
      </c>
      <c r="H9" s="2971">
        <v>19669</v>
      </c>
      <c r="I9" s="2972">
        <v>79</v>
      </c>
    </row>
    <row r="10" spans="1:9" ht="20.100000000000001" customHeight="1" thickBot="1">
      <c r="A10" s="2966">
        <v>9</v>
      </c>
      <c r="B10" s="2981" t="s">
        <v>3525</v>
      </c>
      <c r="C10" s="2969">
        <v>109</v>
      </c>
      <c r="D10" s="2970">
        <v>36.590000000000003</v>
      </c>
      <c r="E10" s="2975">
        <v>1</v>
      </c>
      <c r="F10" s="717" t="s">
        <v>3511</v>
      </c>
      <c r="G10" s="2975">
        <v>1</v>
      </c>
      <c r="H10" s="2971">
        <v>19669</v>
      </c>
      <c r="I10" s="2972">
        <v>72</v>
      </c>
    </row>
    <row r="11" spans="1:9" ht="20.100000000000001" customHeight="1" thickBot="1">
      <c r="A11" s="2966">
        <v>10</v>
      </c>
      <c r="B11" s="2981" t="s">
        <v>3526</v>
      </c>
      <c r="C11" s="2969">
        <v>110</v>
      </c>
      <c r="D11" s="2970">
        <v>32.49</v>
      </c>
      <c r="E11" s="2975">
        <v>1</v>
      </c>
      <c r="F11" s="717" t="s">
        <v>3511</v>
      </c>
      <c r="G11" s="2975">
        <v>1</v>
      </c>
      <c r="H11" s="2971">
        <v>19669</v>
      </c>
      <c r="I11" s="2972">
        <v>64</v>
      </c>
    </row>
    <row r="12" spans="1:9" ht="20.100000000000001" customHeight="1" thickBot="1">
      <c r="A12" s="2966">
        <v>11</v>
      </c>
      <c r="B12" s="2981" t="s">
        <v>3527</v>
      </c>
      <c r="C12" s="2969">
        <v>111</v>
      </c>
      <c r="D12" s="2970">
        <v>34.42</v>
      </c>
      <c r="E12" s="2975">
        <v>1</v>
      </c>
      <c r="F12" s="717" t="s">
        <v>3511</v>
      </c>
      <c r="G12" s="2975">
        <v>1</v>
      </c>
      <c r="H12" s="2971">
        <v>19669</v>
      </c>
      <c r="I12" s="2972">
        <v>68</v>
      </c>
    </row>
    <row r="13" spans="1:9" ht="20.100000000000001" customHeight="1" thickBot="1">
      <c r="A13" s="2966">
        <v>12</v>
      </c>
      <c r="B13" s="2981" t="s">
        <v>3528</v>
      </c>
      <c r="C13" s="2969">
        <v>112</v>
      </c>
      <c r="D13" s="2970">
        <v>32.83</v>
      </c>
      <c r="E13" s="2975">
        <v>1</v>
      </c>
      <c r="F13" s="717" t="s">
        <v>3511</v>
      </c>
      <c r="G13" s="2975">
        <v>1</v>
      </c>
      <c r="H13" s="2971">
        <v>19669</v>
      </c>
      <c r="I13" s="2972">
        <v>65</v>
      </c>
    </row>
    <row r="14" spans="1:9" ht="20.100000000000001" customHeight="1" thickBot="1">
      <c r="A14" s="2966">
        <v>13</v>
      </c>
      <c r="B14" s="2981" t="s">
        <v>3529</v>
      </c>
      <c r="C14" s="2969">
        <v>113</v>
      </c>
      <c r="D14" s="2970">
        <v>36.6</v>
      </c>
      <c r="E14" s="2975">
        <v>1</v>
      </c>
      <c r="F14" s="717" t="s">
        <v>3511</v>
      </c>
      <c r="G14" s="2975">
        <v>1</v>
      </c>
      <c r="H14" s="2971">
        <v>19669</v>
      </c>
      <c r="I14" s="2972">
        <v>72</v>
      </c>
    </row>
    <row r="15" spans="1:9" ht="20.100000000000001" customHeight="1" thickBot="1">
      <c r="A15" s="2966">
        <v>14</v>
      </c>
      <c r="B15" s="2981" t="s">
        <v>3530</v>
      </c>
      <c r="C15" s="2969">
        <v>114</v>
      </c>
      <c r="D15" s="2970">
        <v>46.19</v>
      </c>
      <c r="E15" s="2975">
        <v>1</v>
      </c>
      <c r="F15" s="717" t="s">
        <v>3511</v>
      </c>
      <c r="G15" s="2975">
        <v>1</v>
      </c>
      <c r="H15" s="2971">
        <v>19669</v>
      </c>
      <c r="I15" s="2972">
        <v>91</v>
      </c>
    </row>
    <row r="16" spans="1:9" ht="20.100000000000001" customHeight="1" thickBot="1">
      <c r="A16" s="2966">
        <v>15</v>
      </c>
      <c r="B16" s="2981" t="s">
        <v>3531</v>
      </c>
      <c r="C16" s="2969">
        <v>115</v>
      </c>
      <c r="D16" s="2970">
        <v>60.07</v>
      </c>
      <c r="E16" s="2975">
        <v>1</v>
      </c>
      <c r="F16" s="717" t="s">
        <v>3511</v>
      </c>
      <c r="G16" s="2975">
        <v>1</v>
      </c>
      <c r="H16" s="2971">
        <v>19669</v>
      </c>
      <c r="I16" s="2972">
        <v>118</v>
      </c>
    </row>
    <row r="17" spans="1:9" ht="20.100000000000001" customHeight="1" thickBot="1">
      <c r="A17" s="2966">
        <v>16</v>
      </c>
      <c r="B17" s="2981" t="s">
        <v>3532</v>
      </c>
      <c r="C17" s="2969">
        <v>116</v>
      </c>
      <c r="D17" s="2970">
        <v>31.37</v>
      </c>
      <c r="E17" s="2975">
        <v>1</v>
      </c>
      <c r="F17" s="717" t="s">
        <v>3511</v>
      </c>
      <c r="G17" s="2975">
        <v>1</v>
      </c>
      <c r="H17" s="2971">
        <v>19669</v>
      </c>
      <c r="I17" s="2972">
        <v>62</v>
      </c>
    </row>
    <row r="18" spans="1:9" ht="20.100000000000001" customHeight="1" thickBot="1">
      <c r="A18" s="2966">
        <v>17</v>
      </c>
      <c r="B18" s="2981" t="s">
        <v>3533</v>
      </c>
      <c r="C18" s="2969">
        <v>117</v>
      </c>
      <c r="D18" s="2970">
        <v>38.270000000000003</v>
      </c>
      <c r="E18" s="2975">
        <v>1</v>
      </c>
      <c r="F18" s="717" t="s">
        <v>3511</v>
      </c>
      <c r="G18" s="2975">
        <v>1</v>
      </c>
      <c r="H18" s="2971">
        <v>19669</v>
      </c>
      <c r="I18" s="2972">
        <v>75</v>
      </c>
    </row>
    <row r="19" spans="1:9" ht="20.100000000000001" customHeight="1" thickBot="1">
      <c r="A19" s="2966">
        <v>18</v>
      </c>
      <c r="B19" s="2981" t="s">
        <v>3534</v>
      </c>
      <c r="C19" s="2969">
        <v>118</v>
      </c>
      <c r="D19" s="2970">
        <v>45.22</v>
      </c>
      <c r="E19" s="2975">
        <v>1</v>
      </c>
      <c r="F19" s="717" t="s">
        <v>3511</v>
      </c>
      <c r="G19" s="2975">
        <v>1</v>
      </c>
      <c r="H19" s="2971">
        <v>19669</v>
      </c>
      <c r="I19" s="2972">
        <v>89</v>
      </c>
    </row>
    <row r="20" spans="1:9" ht="20.100000000000001" customHeight="1" thickBot="1">
      <c r="A20" s="2966">
        <v>19</v>
      </c>
      <c r="B20" s="2981" t="s">
        <v>3535</v>
      </c>
      <c r="C20" s="2969">
        <v>119</v>
      </c>
      <c r="D20" s="2970">
        <v>43.86</v>
      </c>
      <c r="E20" s="2975">
        <v>1</v>
      </c>
      <c r="F20" s="717" t="s">
        <v>3511</v>
      </c>
      <c r="G20" s="2975">
        <v>1</v>
      </c>
      <c r="H20" s="2971">
        <v>19669</v>
      </c>
      <c r="I20" s="2972">
        <v>86</v>
      </c>
    </row>
    <row r="21" spans="1:9" ht="20.100000000000001" customHeight="1" thickBot="1">
      <c r="A21" s="2966">
        <v>20</v>
      </c>
      <c r="B21" s="2981" t="s">
        <v>3536</v>
      </c>
      <c r="C21" s="2969">
        <v>120</v>
      </c>
      <c r="D21" s="2970">
        <v>30.94</v>
      </c>
      <c r="E21" s="2975">
        <v>1</v>
      </c>
      <c r="F21" s="717" t="s">
        <v>3511</v>
      </c>
      <c r="G21" s="2975">
        <v>1</v>
      </c>
      <c r="H21" s="2971">
        <v>19669</v>
      </c>
      <c r="I21" s="2972">
        <v>61</v>
      </c>
    </row>
    <row r="22" spans="1:9" ht="20.100000000000001" customHeight="1" thickBot="1">
      <c r="A22" s="2966">
        <v>21</v>
      </c>
      <c r="B22" s="2981" t="s">
        <v>3537</v>
      </c>
      <c r="C22" s="2969">
        <v>121</v>
      </c>
      <c r="D22" s="2970">
        <v>53.69</v>
      </c>
      <c r="E22" s="2975">
        <v>1</v>
      </c>
      <c r="F22" s="717" t="s">
        <v>3511</v>
      </c>
      <c r="G22" s="2975">
        <v>1</v>
      </c>
      <c r="H22" s="2971">
        <v>19669</v>
      </c>
      <c r="I22" s="2972">
        <v>106</v>
      </c>
    </row>
    <row r="23" spans="1:9" ht="20.100000000000001" customHeight="1" thickBot="1">
      <c r="A23" s="2966">
        <v>22</v>
      </c>
      <c r="B23" s="2981" t="s">
        <v>3538</v>
      </c>
      <c r="C23" s="2969">
        <v>122</v>
      </c>
      <c r="D23" s="2970">
        <v>39.86</v>
      </c>
      <c r="E23" s="2975">
        <v>1</v>
      </c>
      <c r="F23" s="717" t="s">
        <v>3511</v>
      </c>
      <c r="G23" s="2975">
        <v>1</v>
      </c>
      <c r="H23" s="2971">
        <v>19669</v>
      </c>
      <c r="I23" s="2972">
        <v>78</v>
      </c>
    </row>
    <row r="24" spans="1:9" ht="20.100000000000001" customHeight="1" thickBot="1">
      <c r="A24" s="2966">
        <v>23</v>
      </c>
      <c r="B24" s="2981" t="s">
        <v>3539</v>
      </c>
      <c r="C24" s="2969">
        <v>123</v>
      </c>
      <c r="D24" s="2970">
        <v>34.03</v>
      </c>
      <c r="E24" s="2975">
        <v>1</v>
      </c>
      <c r="F24" s="717" t="s">
        <v>3511</v>
      </c>
      <c r="G24" s="2975">
        <v>1</v>
      </c>
      <c r="H24" s="2971">
        <v>19669</v>
      </c>
      <c r="I24" s="2972">
        <v>67</v>
      </c>
    </row>
    <row r="25" spans="1:9" ht="20.100000000000001" customHeight="1" thickBot="1">
      <c r="A25" s="2966">
        <v>24</v>
      </c>
      <c r="B25" s="2981" t="s">
        <v>3540</v>
      </c>
      <c r="C25" s="2969">
        <v>124</v>
      </c>
      <c r="D25" s="2970">
        <v>29.35</v>
      </c>
      <c r="E25" s="2975">
        <v>1</v>
      </c>
      <c r="F25" s="717" t="s">
        <v>3511</v>
      </c>
      <c r="G25" s="2975">
        <v>1</v>
      </c>
      <c r="H25" s="2971">
        <v>19669</v>
      </c>
      <c r="I25" s="2972">
        <v>58</v>
      </c>
    </row>
    <row r="26" spans="1:9" ht="20.100000000000001" customHeight="1" thickBot="1">
      <c r="A26" s="2966">
        <v>25</v>
      </c>
      <c r="B26" s="2981" t="s">
        <v>3541</v>
      </c>
      <c r="C26" s="2969">
        <v>125</v>
      </c>
      <c r="D26" s="2970">
        <v>30.62</v>
      </c>
      <c r="E26" s="2975">
        <v>1</v>
      </c>
      <c r="F26" s="717" t="s">
        <v>3511</v>
      </c>
      <c r="G26" s="2975">
        <v>1</v>
      </c>
      <c r="H26" s="2971">
        <v>19669</v>
      </c>
      <c r="I26" s="2972">
        <v>60</v>
      </c>
    </row>
    <row r="27" spans="1:9" ht="20.100000000000001" customHeight="1" thickBot="1">
      <c r="A27" s="2966">
        <v>26</v>
      </c>
      <c r="B27" s="2981" t="s">
        <v>3542</v>
      </c>
      <c r="C27" s="2969">
        <v>126</v>
      </c>
      <c r="D27" s="2970">
        <v>31</v>
      </c>
      <c r="E27" s="2975">
        <v>1</v>
      </c>
      <c r="F27" s="717" t="s">
        <v>3511</v>
      </c>
      <c r="G27" s="2975">
        <v>1</v>
      </c>
      <c r="H27" s="2971">
        <v>19669</v>
      </c>
      <c r="I27" s="2972">
        <v>61</v>
      </c>
    </row>
    <row r="28" spans="1:9" ht="20.100000000000001" customHeight="1" thickBot="1">
      <c r="A28" s="2966">
        <v>27</v>
      </c>
      <c r="B28" s="2981" t="s">
        <v>3543</v>
      </c>
      <c r="C28" s="2969">
        <v>127</v>
      </c>
      <c r="D28" s="2970">
        <v>48.93</v>
      </c>
      <c r="E28" s="2975">
        <v>1</v>
      </c>
      <c r="F28" s="717" t="s">
        <v>3511</v>
      </c>
      <c r="G28" s="2975">
        <v>1</v>
      </c>
      <c r="H28" s="2971">
        <v>19669</v>
      </c>
      <c r="I28" s="2972">
        <v>96</v>
      </c>
    </row>
    <row r="29" spans="1:9" ht="20.100000000000001" customHeight="1" thickBot="1">
      <c r="A29" s="2966">
        <v>28</v>
      </c>
      <c r="B29" s="2981" t="s">
        <v>3544</v>
      </c>
      <c r="C29" s="2969">
        <v>128</v>
      </c>
      <c r="D29" s="2970">
        <v>39.270000000000003</v>
      </c>
      <c r="E29" s="2975">
        <v>1</v>
      </c>
      <c r="F29" s="717" t="s">
        <v>3511</v>
      </c>
      <c r="G29" s="2975">
        <v>1</v>
      </c>
      <c r="H29" s="2971">
        <v>19669</v>
      </c>
      <c r="I29" s="2972">
        <v>77</v>
      </c>
    </row>
    <row r="30" spans="1:9" ht="20.100000000000001" customHeight="1" thickBot="1">
      <c r="A30" s="2966">
        <v>29</v>
      </c>
      <c r="B30" s="2981" t="s">
        <v>3545</v>
      </c>
      <c r="C30" s="2969">
        <v>129</v>
      </c>
      <c r="D30" s="2970">
        <v>35.56</v>
      </c>
      <c r="E30" s="2975">
        <v>1</v>
      </c>
      <c r="F30" s="717" t="s">
        <v>3511</v>
      </c>
      <c r="G30" s="2975">
        <v>1</v>
      </c>
      <c r="H30" s="2971">
        <v>19669</v>
      </c>
      <c r="I30" s="2972">
        <v>70</v>
      </c>
    </row>
    <row r="31" spans="1:9" ht="20.100000000000001" customHeight="1" thickBot="1">
      <c r="A31" s="2966">
        <v>30</v>
      </c>
      <c r="B31" s="2981" t="s">
        <v>3546</v>
      </c>
      <c r="C31" s="2969">
        <v>130</v>
      </c>
      <c r="D31" s="2970">
        <v>75.41</v>
      </c>
      <c r="E31" s="2975">
        <v>1</v>
      </c>
      <c r="F31" s="717" t="s">
        <v>3511</v>
      </c>
      <c r="G31" s="2975">
        <v>1</v>
      </c>
      <c r="H31" s="2971">
        <v>19669</v>
      </c>
      <c r="I31" s="2972">
        <v>148</v>
      </c>
    </row>
    <row r="32" spans="1:9" ht="20.100000000000001" customHeight="1" thickBot="1">
      <c r="A32" s="2966">
        <v>31</v>
      </c>
      <c r="B32" s="2981" t="s">
        <v>3547</v>
      </c>
      <c r="C32" s="2969">
        <v>131</v>
      </c>
      <c r="D32" s="2970">
        <v>77.03</v>
      </c>
      <c r="E32" s="2975">
        <v>1</v>
      </c>
      <c r="F32" s="717" t="s">
        <v>3511</v>
      </c>
      <c r="G32" s="2975">
        <v>1</v>
      </c>
      <c r="H32" s="2971">
        <v>19669</v>
      </c>
      <c r="I32" s="2972">
        <v>152</v>
      </c>
    </row>
    <row r="33" spans="1:9" ht="20.100000000000001" customHeight="1" thickBot="1">
      <c r="A33" s="2966">
        <v>32</v>
      </c>
      <c r="B33" s="2981" t="s">
        <v>3548</v>
      </c>
      <c r="C33" s="2969">
        <v>132</v>
      </c>
      <c r="D33" s="2970">
        <v>64.760000000000005</v>
      </c>
      <c r="E33" s="2975">
        <v>1</v>
      </c>
      <c r="F33" s="717" t="s">
        <v>3511</v>
      </c>
      <c r="G33" s="2975">
        <v>1</v>
      </c>
      <c r="H33" s="2971">
        <v>19669</v>
      </c>
      <c r="I33" s="2972">
        <v>127</v>
      </c>
    </row>
    <row r="34" spans="1:9" ht="20.100000000000001" customHeight="1" thickBot="1">
      <c r="A34" s="2966">
        <v>33</v>
      </c>
      <c r="B34" s="2981" t="s">
        <v>3549</v>
      </c>
      <c r="C34" s="2969">
        <v>133</v>
      </c>
      <c r="D34" s="2970">
        <v>43.01</v>
      </c>
      <c r="E34" s="2975">
        <v>1</v>
      </c>
      <c r="F34" s="717" t="s">
        <v>3511</v>
      </c>
      <c r="G34" s="2975">
        <v>1</v>
      </c>
      <c r="H34" s="2971">
        <v>19669</v>
      </c>
      <c r="I34" s="2972">
        <v>85</v>
      </c>
    </row>
    <row r="35" spans="1:9" ht="20.100000000000001" customHeight="1" thickBot="1">
      <c r="A35" s="2966">
        <v>34</v>
      </c>
      <c r="B35" s="2981" t="s">
        <v>3550</v>
      </c>
      <c r="C35" s="2969">
        <v>134</v>
      </c>
      <c r="D35" s="2970">
        <v>48.91</v>
      </c>
      <c r="E35" s="2975">
        <v>1</v>
      </c>
      <c r="F35" s="717" t="s">
        <v>3511</v>
      </c>
      <c r="G35" s="2975">
        <v>1</v>
      </c>
      <c r="H35" s="2971">
        <v>19669</v>
      </c>
      <c r="I35" s="2972">
        <v>96</v>
      </c>
    </row>
    <row r="36" spans="1:9" ht="20.100000000000001" customHeight="1" thickBot="1">
      <c r="A36" s="2966">
        <v>35</v>
      </c>
      <c r="B36" s="2981" t="s">
        <v>3551</v>
      </c>
      <c r="C36" s="2969">
        <v>135</v>
      </c>
      <c r="D36" s="2970">
        <v>32.42</v>
      </c>
      <c r="E36" s="2975">
        <v>1</v>
      </c>
      <c r="F36" s="717" t="s">
        <v>3511</v>
      </c>
      <c r="G36" s="2975">
        <v>1</v>
      </c>
      <c r="H36" s="2971">
        <v>19669</v>
      </c>
      <c r="I36" s="2972">
        <v>64</v>
      </c>
    </row>
    <row r="37" spans="1:9" ht="20.100000000000001" customHeight="1" thickBot="1">
      <c r="A37" s="2966">
        <v>36</v>
      </c>
      <c r="B37" s="2981" t="s">
        <v>3552</v>
      </c>
      <c r="C37" s="2969">
        <v>136</v>
      </c>
      <c r="D37" s="2970">
        <v>29.67</v>
      </c>
      <c r="E37" s="2975">
        <v>1</v>
      </c>
      <c r="F37" s="717" t="s">
        <v>3511</v>
      </c>
      <c r="G37" s="2975">
        <v>1</v>
      </c>
      <c r="H37" s="2971">
        <v>19669</v>
      </c>
      <c r="I37" s="2972">
        <v>58</v>
      </c>
    </row>
    <row r="38" spans="1:9" ht="20.100000000000001" customHeight="1" thickBot="1">
      <c r="A38" s="2966">
        <v>37</v>
      </c>
      <c r="B38" s="2981" t="s">
        <v>3553</v>
      </c>
      <c r="C38" s="2969">
        <v>137</v>
      </c>
      <c r="D38" s="2970">
        <v>24.8</v>
      </c>
      <c r="E38" s="2975">
        <v>1</v>
      </c>
      <c r="F38" s="717" t="s">
        <v>3511</v>
      </c>
      <c r="G38" s="2975">
        <v>1</v>
      </c>
      <c r="H38" s="2971">
        <v>19669</v>
      </c>
      <c r="I38" s="2972">
        <v>49</v>
      </c>
    </row>
    <row r="39" spans="1:9" ht="20.100000000000001" customHeight="1" thickBot="1">
      <c r="A39" s="2966">
        <v>38</v>
      </c>
      <c r="B39" s="2981" t="s">
        <v>3554</v>
      </c>
      <c r="C39" s="2969">
        <v>138</v>
      </c>
      <c r="D39" s="2970">
        <v>66.08</v>
      </c>
      <c r="E39" s="2975">
        <v>1</v>
      </c>
      <c r="F39" s="717" t="s">
        <v>3511</v>
      </c>
      <c r="G39" s="2975">
        <v>1</v>
      </c>
      <c r="H39" s="2971">
        <v>19669</v>
      </c>
      <c r="I39" s="2972">
        <v>130</v>
      </c>
    </row>
    <row r="40" spans="1:9" ht="20.100000000000001" customHeight="1" thickBot="1">
      <c r="A40" s="2966">
        <v>39</v>
      </c>
      <c r="B40" s="2981" t="s">
        <v>3555</v>
      </c>
      <c r="C40" s="2969">
        <v>139</v>
      </c>
      <c r="D40" s="2970">
        <v>48.39</v>
      </c>
      <c r="E40" s="2975">
        <v>1</v>
      </c>
      <c r="F40" s="717" t="s">
        <v>3511</v>
      </c>
      <c r="G40" s="2975">
        <v>1</v>
      </c>
      <c r="H40" s="2971">
        <v>19669</v>
      </c>
      <c r="I40" s="2972">
        <v>95</v>
      </c>
    </row>
    <row r="41" spans="1:9" ht="20.100000000000001" customHeight="1" thickBot="1">
      <c r="A41" s="2966">
        <v>40</v>
      </c>
      <c r="B41" s="2981" t="s">
        <v>3556</v>
      </c>
      <c r="C41" s="2969">
        <v>140</v>
      </c>
      <c r="D41" s="2970">
        <v>66.08</v>
      </c>
      <c r="E41" s="2975">
        <v>1</v>
      </c>
      <c r="F41" s="717" t="s">
        <v>3511</v>
      </c>
      <c r="G41" s="2975">
        <v>1</v>
      </c>
      <c r="H41" s="2971">
        <v>19669</v>
      </c>
      <c r="I41" s="2972">
        <v>130</v>
      </c>
    </row>
    <row r="42" spans="1:9" ht="20.100000000000001" customHeight="1" thickBot="1">
      <c r="A42" s="2966">
        <v>41</v>
      </c>
      <c r="B42" s="2981" t="s">
        <v>3557</v>
      </c>
      <c r="C42" s="2969">
        <v>141</v>
      </c>
      <c r="D42" s="2970">
        <v>94.68</v>
      </c>
      <c r="E42" s="2975">
        <v>1</v>
      </c>
      <c r="F42" s="717" t="s">
        <v>3511</v>
      </c>
      <c r="G42" s="2975">
        <v>1</v>
      </c>
      <c r="H42" s="2971">
        <v>19669</v>
      </c>
      <c r="I42" s="2972">
        <v>186</v>
      </c>
    </row>
    <row r="43" spans="1:9" ht="20.100000000000001" customHeight="1" thickBot="1">
      <c r="A43" s="2966">
        <v>42</v>
      </c>
      <c r="B43" s="2981" t="s">
        <v>3558</v>
      </c>
      <c r="C43" s="2969">
        <v>142</v>
      </c>
      <c r="D43" s="2970">
        <v>44.92</v>
      </c>
      <c r="E43" s="2975">
        <v>1</v>
      </c>
      <c r="F43" s="717" t="s">
        <v>3511</v>
      </c>
      <c r="G43" s="2975">
        <v>1</v>
      </c>
      <c r="H43" s="2971">
        <v>19669</v>
      </c>
      <c r="I43" s="2972">
        <v>88</v>
      </c>
    </row>
    <row r="44" spans="1:9" ht="20.100000000000001" customHeight="1" thickBot="1">
      <c r="A44" s="2966">
        <v>43</v>
      </c>
      <c r="B44" s="2981" t="s">
        <v>3559</v>
      </c>
      <c r="C44" s="2969">
        <v>143</v>
      </c>
      <c r="D44" s="2970">
        <v>10795.99</v>
      </c>
      <c r="E44" s="2975">
        <v>0.93</v>
      </c>
      <c r="F44" s="717" t="s">
        <v>3511</v>
      </c>
      <c r="G44" s="2975">
        <v>1</v>
      </c>
      <c r="H44" s="2971">
        <v>18292</v>
      </c>
      <c r="I44" s="2972">
        <v>19748</v>
      </c>
    </row>
    <row r="45" spans="1:9" ht="20.100000000000001" customHeight="1" thickBot="1">
      <c r="A45" s="2966">
        <v>44</v>
      </c>
      <c r="B45" s="2981" t="s">
        <v>3560</v>
      </c>
      <c r="C45" s="2969">
        <v>144</v>
      </c>
      <c r="D45" s="2970">
        <v>38.57</v>
      </c>
      <c r="E45" s="2975">
        <v>1</v>
      </c>
      <c r="F45" s="717" t="s">
        <v>3511</v>
      </c>
      <c r="G45" s="2975">
        <v>1</v>
      </c>
      <c r="H45" s="2971">
        <v>19669</v>
      </c>
      <c r="I45" s="2972">
        <v>76</v>
      </c>
    </row>
    <row r="46" spans="1:9" ht="20.100000000000001" customHeight="1" thickBot="1">
      <c r="A46" s="2966">
        <v>45</v>
      </c>
      <c r="B46" s="2981" t="s">
        <v>3561</v>
      </c>
      <c r="C46" s="2969">
        <v>145</v>
      </c>
      <c r="D46" s="2970">
        <v>25.2</v>
      </c>
      <c r="E46" s="2975">
        <v>1</v>
      </c>
      <c r="F46" s="717" t="s">
        <v>3511</v>
      </c>
      <c r="G46" s="2975">
        <v>1</v>
      </c>
      <c r="H46" s="2971">
        <v>19669</v>
      </c>
      <c r="I46" s="2972">
        <v>50</v>
      </c>
    </row>
    <row r="47" spans="1:9" ht="20.100000000000001" customHeight="1" thickBot="1">
      <c r="A47" s="2966">
        <v>46</v>
      </c>
      <c r="B47" s="2981" t="s">
        <v>3562</v>
      </c>
      <c r="C47" s="2969">
        <v>146</v>
      </c>
      <c r="D47" s="2970">
        <v>31.64</v>
      </c>
      <c r="E47" s="2975">
        <v>1</v>
      </c>
      <c r="F47" s="717" t="s">
        <v>3511</v>
      </c>
      <c r="G47" s="2975">
        <v>1</v>
      </c>
      <c r="H47" s="2971">
        <v>19669</v>
      </c>
      <c r="I47" s="2972">
        <v>62</v>
      </c>
    </row>
    <row r="48" spans="1:9" ht="20.100000000000001" customHeight="1" thickBot="1">
      <c r="A48" s="2966">
        <v>47</v>
      </c>
      <c r="B48" s="2981" t="s">
        <v>3563</v>
      </c>
      <c r="C48" s="2969">
        <v>147</v>
      </c>
      <c r="D48" s="2970">
        <v>40.18</v>
      </c>
      <c r="E48" s="2975">
        <v>1</v>
      </c>
      <c r="F48" s="717" t="s">
        <v>3511</v>
      </c>
      <c r="G48" s="2975">
        <v>1</v>
      </c>
      <c r="H48" s="2971">
        <v>19669</v>
      </c>
      <c r="I48" s="2972">
        <v>79</v>
      </c>
    </row>
    <row r="49" spans="1:9" ht="20.100000000000001" customHeight="1" thickBot="1">
      <c r="A49" s="2966">
        <v>48</v>
      </c>
      <c r="B49" s="2981" t="s">
        <v>3564</v>
      </c>
      <c r="C49" s="2969">
        <v>148</v>
      </c>
      <c r="D49" s="2970">
        <v>51.17</v>
      </c>
      <c r="E49" s="2975">
        <v>1</v>
      </c>
      <c r="F49" s="717" t="s">
        <v>3511</v>
      </c>
      <c r="G49" s="2975">
        <v>1</v>
      </c>
      <c r="H49" s="2971">
        <v>19669</v>
      </c>
      <c r="I49" s="2972">
        <v>101</v>
      </c>
    </row>
    <row r="50" spans="1:9" ht="20.100000000000001" customHeight="1" thickBot="1">
      <c r="A50" s="2966">
        <v>49</v>
      </c>
      <c r="B50" s="2981" t="s">
        <v>3565</v>
      </c>
      <c r="C50" s="2969">
        <v>149</v>
      </c>
      <c r="D50" s="2970">
        <v>63.98</v>
      </c>
      <c r="E50" s="2975">
        <v>1</v>
      </c>
      <c r="F50" s="717" t="s">
        <v>3511</v>
      </c>
      <c r="G50" s="2975">
        <v>1</v>
      </c>
      <c r="H50" s="2971">
        <v>19669</v>
      </c>
      <c r="I50" s="2972">
        <v>126</v>
      </c>
    </row>
    <row r="51" spans="1:9" ht="20.100000000000001" customHeight="1" thickBot="1">
      <c r="A51" s="2966">
        <v>50</v>
      </c>
      <c r="B51" s="2981" t="s">
        <v>3566</v>
      </c>
      <c r="C51" s="2969">
        <v>150</v>
      </c>
      <c r="D51" s="2970">
        <v>76.760000000000005</v>
      </c>
      <c r="E51" s="2975">
        <v>1</v>
      </c>
      <c r="F51" s="717" t="s">
        <v>3511</v>
      </c>
      <c r="G51" s="2975">
        <v>1</v>
      </c>
      <c r="H51" s="2971">
        <v>19669</v>
      </c>
      <c r="I51" s="2972">
        <v>151</v>
      </c>
    </row>
    <row r="52" spans="1:9" ht="20.100000000000001" customHeight="1" thickBot="1">
      <c r="A52" s="2966">
        <v>51</v>
      </c>
      <c r="B52" s="2981" t="s">
        <v>3567</v>
      </c>
      <c r="C52" s="2969">
        <v>151</v>
      </c>
      <c r="D52" s="2970">
        <v>51.11</v>
      </c>
      <c r="E52" s="2975">
        <v>1</v>
      </c>
      <c r="F52" s="717" t="s">
        <v>3511</v>
      </c>
      <c r="G52" s="2975">
        <v>1</v>
      </c>
      <c r="H52" s="2971">
        <v>19669</v>
      </c>
      <c r="I52" s="2972">
        <v>101</v>
      </c>
    </row>
    <row r="53" spans="1:9" ht="20.100000000000001" customHeight="1" thickBot="1">
      <c r="A53" s="2966">
        <v>52</v>
      </c>
      <c r="B53" s="2981" t="s">
        <v>3568</v>
      </c>
      <c r="C53" s="2969">
        <v>152</v>
      </c>
      <c r="D53" s="2970">
        <v>65.8</v>
      </c>
      <c r="E53" s="2975">
        <v>1</v>
      </c>
      <c r="F53" s="717" t="s">
        <v>3511</v>
      </c>
      <c r="G53" s="2975">
        <v>1</v>
      </c>
      <c r="H53" s="2971">
        <v>19669</v>
      </c>
      <c r="I53" s="2972">
        <v>129</v>
      </c>
    </row>
    <row r="54" spans="1:9" ht="20.100000000000001" customHeight="1" thickBot="1">
      <c r="A54" s="2966">
        <v>53</v>
      </c>
      <c r="B54" s="2981" t="s">
        <v>3569</v>
      </c>
      <c r="C54" s="2969">
        <v>153</v>
      </c>
      <c r="D54" s="2970">
        <v>73.42</v>
      </c>
      <c r="E54" s="2975">
        <v>1</v>
      </c>
      <c r="F54" s="717" t="s">
        <v>3511</v>
      </c>
      <c r="G54" s="2975">
        <v>1</v>
      </c>
      <c r="H54" s="2971">
        <v>19669</v>
      </c>
      <c r="I54" s="2972">
        <v>144</v>
      </c>
    </row>
    <row r="55" spans="1:9" ht="20.100000000000001" customHeight="1" thickBot="1">
      <c r="A55" s="2966">
        <v>54</v>
      </c>
      <c r="B55" s="2981" t="s">
        <v>3570</v>
      </c>
      <c r="C55" s="2969">
        <v>154</v>
      </c>
      <c r="D55" s="2970">
        <v>72.069999999999993</v>
      </c>
      <c r="E55" s="2975">
        <v>1</v>
      </c>
      <c r="F55" s="717" t="s">
        <v>3511</v>
      </c>
      <c r="G55" s="2975">
        <v>1</v>
      </c>
      <c r="H55" s="2971">
        <v>19669</v>
      </c>
      <c r="I55" s="2972">
        <v>142</v>
      </c>
    </row>
    <row r="56" spans="1:9" ht="20.100000000000001" customHeight="1" thickBot="1">
      <c r="A56" s="2966">
        <v>55</v>
      </c>
      <c r="B56" s="2981" t="s">
        <v>3571</v>
      </c>
      <c r="C56" s="2969">
        <v>155</v>
      </c>
      <c r="D56" s="2970">
        <v>99.64</v>
      </c>
      <c r="E56" s="2975">
        <v>1</v>
      </c>
      <c r="F56" s="717" t="s">
        <v>3511</v>
      </c>
      <c r="G56" s="2975">
        <v>1</v>
      </c>
      <c r="H56" s="2971">
        <v>19669</v>
      </c>
      <c r="I56" s="2972">
        <v>196</v>
      </c>
    </row>
    <row r="57" spans="1:9" ht="20.100000000000001" customHeight="1" thickBot="1">
      <c r="A57" s="2966">
        <v>56</v>
      </c>
      <c r="B57" s="2981" t="s">
        <v>3572</v>
      </c>
      <c r="C57" s="2969">
        <v>156</v>
      </c>
      <c r="D57" s="2970">
        <v>32.65</v>
      </c>
      <c r="E57" s="2975">
        <v>1</v>
      </c>
      <c r="F57" s="717" t="s">
        <v>3511</v>
      </c>
      <c r="G57" s="2975">
        <v>1</v>
      </c>
      <c r="H57" s="2971">
        <v>19669</v>
      </c>
      <c r="I57" s="2972">
        <v>64</v>
      </c>
    </row>
    <row r="58" spans="1:9" ht="20.100000000000001" customHeight="1" thickBot="1">
      <c r="A58" s="2966">
        <v>57</v>
      </c>
      <c r="B58" s="2981" t="s">
        <v>3573</v>
      </c>
      <c r="C58" s="2969">
        <v>157</v>
      </c>
      <c r="D58" s="2970">
        <v>94.64</v>
      </c>
      <c r="E58" s="2975">
        <v>1</v>
      </c>
      <c r="F58" s="717" t="s">
        <v>3511</v>
      </c>
      <c r="G58" s="2975">
        <v>1</v>
      </c>
      <c r="H58" s="2971">
        <v>19669</v>
      </c>
      <c r="I58" s="2972">
        <v>186</v>
      </c>
    </row>
    <row r="59" spans="1:9" ht="20.100000000000001" customHeight="1" thickBot="1">
      <c r="A59" s="2966">
        <v>58</v>
      </c>
      <c r="B59" s="2981" t="s">
        <v>3574</v>
      </c>
      <c r="C59" s="2969">
        <v>158</v>
      </c>
      <c r="D59" s="2970">
        <v>70.959999999999994</v>
      </c>
      <c r="E59" s="2975">
        <v>1</v>
      </c>
      <c r="F59" s="717" t="s">
        <v>3511</v>
      </c>
      <c r="G59" s="2975">
        <v>1</v>
      </c>
      <c r="H59" s="2971">
        <v>19669</v>
      </c>
      <c r="I59" s="2972">
        <v>140</v>
      </c>
    </row>
    <row r="60" spans="1:9" ht="20.100000000000001" customHeight="1" thickBot="1">
      <c r="A60" s="2966">
        <v>59</v>
      </c>
      <c r="B60" s="2981" t="s">
        <v>3575</v>
      </c>
      <c r="C60" s="2969">
        <v>159</v>
      </c>
      <c r="D60" s="2970">
        <v>64.33</v>
      </c>
      <c r="E60" s="2975">
        <v>1</v>
      </c>
      <c r="F60" s="717" t="s">
        <v>3511</v>
      </c>
      <c r="G60" s="2975">
        <v>1</v>
      </c>
      <c r="H60" s="2971">
        <v>19669</v>
      </c>
      <c r="I60" s="2972">
        <v>127</v>
      </c>
    </row>
    <row r="61" spans="1:9" ht="20.100000000000001" customHeight="1" thickBot="1">
      <c r="A61" s="2966">
        <v>60</v>
      </c>
      <c r="B61" s="2981" t="s">
        <v>3576</v>
      </c>
      <c r="C61" s="2969">
        <v>160</v>
      </c>
      <c r="D61" s="2970">
        <v>59.54</v>
      </c>
      <c r="E61" s="2975">
        <v>1</v>
      </c>
      <c r="F61" s="717" t="s">
        <v>3511</v>
      </c>
      <c r="G61" s="2975">
        <v>1</v>
      </c>
      <c r="H61" s="2971">
        <v>19669</v>
      </c>
      <c r="I61" s="2972">
        <v>117</v>
      </c>
    </row>
    <row r="62" spans="1:9" ht="20.100000000000001" customHeight="1" thickBot="1">
      <c r="A62" s="2966">
        <v>61</v>
      </c>
      <c r="B62" s="2981" t="s">
        <v>3577</v>
      </c>
      <c r="C62" s="2969">
        <v>161</v>
      </c>
      <c r="D62" s="2970">
        <v>84.02</v>
      </c>
      <c r="E62" s="2975">
        <v>1</v>
      </c>
      <c r="F62" s="717" t="s">
        <v>3511</v>
      </c>
      <c r="G62" s="2975">
        <v>1</v>
      </c>
      <c r="H62" s="2971">
        <v>19669</v>
      </c>
      <c r="I62" s="2972">
        <v>165</v>
      </c>
    </row>
    <row r="63" spans="1:9" ht="20.100000000000001" customHeight="1" thickBot="1">
      <c r="A63" s="2966">
        <v>62</v>
      </c>
      <c r="B63" s="2981" t="s">
        <v>3578</v>
      </c>
      <c r="C63" s="2969">
        <v>162</v>
      </c>
      <c r="D63" s="2970">
        <v>54.78</v>
      </c>
      <c r="E63" s="2975">
        <v>1</v>
      </c>
      <c r="F63" s="717" t="s">
        <v>3511</v>
      </c>
      <c r="G63" s="2975">
        <v>1</v>
      </c>
      <c r="H63" s="2971">
        <v>19669</v>
      </c>
      <c r="I63" s="2972">
        <v>108</v>
      </c>
    </row>
    <row r="64" spans="1:9" ht="20.100000000000001" customHeight="1" thickBot="1">
      <c r="A64" s="2966">
        <v>63</v>
      </c>
      <c r="B64" s="2981" t="s">
        <v>3579</v>
      </c>
      <c r="C64" s="2969">
        <v>163</v>
      </c>
      <c r="D64" s="2970">
        <v>54.79</v>
      </c>
      <c r="E64" s="2975">
        <v>1</v>
      </c>
      <c r="F64" s="717" t="s">
        <v>3511</v>
      </c>
      <c r="G64" s="2975">
        <v>1</v>
      </c>
      <c r="H64" s="2971">
        <v>19669</v>
      </c>
      <c r="I64" s="2972">
        <v>108</v>
      </c>
    </row>
    <row r="65" spans="1:9" ht="20.100000000000001" customHeight="1" thickBot="1">
      <c r="A65" s="2966">
        <v>64</v>
      </c>
      <c r="B65" s="2981" t="s">
        <v>3580</v>
      </c>
      <c r="C65" s="2969">
        <v>164</v>
      </c>
      <c r="D65" s="2970">
        <v>55.44</v>
      </c>
      <c r="E65" s="2975">
        <v>1</v>
      </c>
      <c r="F65" s="717" t="s">
        <v>3511</v>
      </c>
      <c r="G65" s="2975">
        <v>1</v>
      </c>
      <c r="H65" s="2971">
        <v>19669</v>
      </c>
      <c r="I65" s="2972">
        <v>109</v>
      </c>
    </row>
    <row r="66" spans="1:9" ht="20.100000000000001" customHeight="1" thickBot="1">
      <c r="A66" s="2966">
        <v>65</v>
      </c>
      <c r="B66" s="2981" t="s">
        <v>3581</v>
      </c>
      <c r="C66" s="2969">
        <v>165</v>
      </c>
      <c r="D66" s="2970">
        <v>64.58</v>
      </c>
      <c r="E66" s="2975">
        <v>1</v>
      </c>
      <c r="F66" s="717" t="s">
        <v>3511</v>
      </c>
      <c r="G66" s="2975">
        <v>1</v>
      </c>
      <c r="H66" s="2971">
        <v>19669</v>
      </c>
      <c r="I66" s="2972">
        <v>127</v>
      </c>
    </row>
    <row r="67" spans="1:9" ht="20.100000000000001" customHeight="1" thickBot="1">
      <c r="A67" s="2966">
        <v>66</v>
      </c>
      <c r="B67" s="2981" t="s">
        <v>3582</v>
      </c>
      <c r="C67" s="2969">
        <v>166</v>
      </c>
      <c r="D67" s="2970">
        <v>63.31</v>
      </c>
      <c r="E67" s="2975">
        <v>1</v>
      </c>
      <c r="F67" s="717" t="s">
        <v>3511</v>
      </c>
      <c r="G67" s="2975">
        <v>1</v>
      </c>
      <c r="H67" s="2971">
        <v>19669</v>
      </c>
      <c r="I67" s="2972">
        <v>125</v>
      </c>
    </row>
    <row r="68" spans="1:9" ht="20.100000000000001" customHeight="1" thickBot="1">
      <c r="A68" s="2966">
        <v>67</v>
      </c>
      <c r="B68" s="2981" t="s">
        <v>3583</v>
      </c>
      <c r="C68" s="2969">
        <v>167</v>
      </c>
      <c r="D68" s="2970">
        <v>75.08</v>
      </c>
      <c r="E68" s="2975">
        <v>1</v>
      </c>
      <c r="F68" s="717" t="s">
        <v>3511</v>
      </c>
      <c r="G68" s="2975">
        <v>1</v>
      </c>
      <c r="H68" s="2971">
        <v>19669</v>
      </c>
      <c r="I68" s="2972">
        <v>148</v>
      </c>
    </row>
    <row r="69" spans="1:9" ht="20.100000000000001" customHeight="1" thickBot="1">
      <c r="A69" s="2966">
        <v>68</v>
      </c>
      <c r="B69" s="2981" t="s">
        <v>3584</v>
      </c>
      <c r="C69" s="2969">
        <v>168</v>
      </c>
      <c r="D69" s="2970">
        <v>54.24</v>
      </c>
      <c r="E69" s="2975">
        <v>1</v>
      </c>
      <c r="F69" s="717" t="s">
        <v>3511</v>
      </c>
      <c r="G69" s="2975">
        <v>1</v>
      </c>
      <c r="H69" s="2971">
        <v>19669</v>
      </c>
      <c r="I69" s="2972">
        <v>107</v>
      </c>
    </row>
    <row r="70" spans="1:9" ht="20.100000000000001" customHeight="1" thickBot="1">
      <c r="A70" s="2966">
        <v>69</v>
      </c>
      <c r="B70" s="2981" t="s">
        <v>3585</v>
      </c>
      <c r="C70" s="2969">
        <v>169</v>
      </c>
      <c r="D70" s="2970">
        <v>54.24</v>
      </c>
      <c r="E70" s="2975">
        <v>1</v>
      </c>
      <c r="F70" s="717" t="s">
        <v>3511</v>
      </c>
      <c r="G70" s="2975">
        <v>1</v>
      </c>
      <c r="H70" s="2971">
        <v>19669</v>
      </c>
      <c r="I70" s="2972">
        <v>107</v>
      </c>
    </row>
    <row r="71" spans="1:9" ht="20.100000000000001" customHeight="1" thickBot="1">
      <c r="A71" s="2966">
        <v>70</v>
      </c>
      <c r="B71" s="2981" t="s">
        <v>3586</v>
      </c>
      <c r="C71" s="2969">
        <v>170</v>
      </c>
      <c r="D71" s="2970">
        <v>72.709999999999994</v>
      </c>
      <c r="E71" s="2975">
        <v>1</v>
      </c>
      <c r="F71" s="717" t="s">
        <v>3511</v>
      </c>
      <c r="G71" s="2975">
        <v>1</v>
      </c>
      <c r="H71" s="2971">
        <v>19669</v>
      </c>
      <c r="I71" s="2972">
        <v>143</v>
      </c>
    </row>
    <row r="72" spans="1:9" ht="20.100000000000001" customHeight="1" thickBot="1">
      <c r="A72" s="2966">
        <v>71</v>
      </c>
      <c r="B72" s="2981" t="s">
        <v>3587</v>
      </c>
      <c r="C72" s="2969">
        <v>171</v>
      </c>
      <c r="D72" s="2970">
        <v>127.65</v>
      </c>
      <c r="E72" s="2975">
        <v>0.99</v>
      </c>
      <c r="F72" s="717" t="s">
        <v>3511</v>
      </c>
      <c r="G72" s="2975">
        <v>1</v>
      </c>
      <c r="H72" s="2971">
        <v>19472</v>
      </c>
      <c r="I72" s="2972">
        <v>249</v>
      </c>
    </row>
    <row r="73" spans="1:9" ht="20.100000000000001" customHeight="1" thickBot="1">
      <c r="A73" s="2966">
        <v>72</v>
      </c>
      <c r="B73" s="2981" t="s">
        <v>3588</v>
      </c>
      <c r="C73" s="2969">
        <v>172</v>
      </c>
      <c r="D73" s="2970">
        <v>61.36</v>
      </c>
      <c r="E73" s="2975">
        <v>1</v>
      </c>
      <c r="F73" s="717" t="s">
        <v>3511</v>
      </c>
      <c r="G73" s="2975">
        <v>1</v>
      </c>
      <c r="H73" s="2971">
        <v>19669</v>
      </c>
      <c r="I73" s="2972">
        <v>121</v>
      </c>
    </row>
    <row r="74" spans="1:9" ht="20.100000000000001" customHeight="1" thickBot="1">
      <c r="A74" s="2966">
        <v>73</v>
      </c>
      <c r="B74" s="2981" t="s">
        <v>3589</v>
      </c>
      <c r="C74" s="2969">
        <v>173</v>
      </c>
      <c r="D74" s="2970">
        <v>77.17</v>
      </c>
      <c r="E74" s="2975">
        <v>1</v>
      </c>
      <c r="F74" s="717" t="s">
        <v>3511</v>
      </c>
      <c r="G74" s="2975">
        <v>1</v>
      </c>
      <c r="H74" s="2971">
        <v>19669</v>
      </c>
      <c r="I74" s="2972">
        <v>152</v>
      </c>
    </row>
    <row r="75" spans="1:9" ht="20.100000000000001" customHeight="1" thickBot="1">
      <c r="A75" s="2966">
        <v>74</v>
      </c>
      <c r="B75" s="2981" t="s">
        <v>3590</v>
      </c>
      <c r="C75" s="2969">
        <v>174</v>
      </c>
      <c r="D75" s="2970">
        <v>72.61</v>
      </c>
      <c r="E75" s="2975">
        <v>1</v>
      </c>
      <c r="F75" s="717" t="s">
        <v>3511</v>
      </c>
      <c r="G75" s="2975">
        <v>1</v>
      </c>
      <c r="H75" s="2971">
        <v>19669</v>
      </c>
      <c r="I75" s="2972">
        <v>143</v>
      </c>
    </row>
    <row r="76" spans="1:9" ht="20.100000000000001" customHeight="1" thickBot="1">
      <c r="A76" s="2966">
        <v>75</v>
      </c>
      <c r="B76" s="2981" t="s">
        <v>3591</v>
      </c>
      <c r="C76" s="2969">
        <v>175</v>
      </c>
      <c r="D76" s="2970">
        <v>62.08</v>
      </c>
      <c r="E76" s="2975">
        <v>1</v>
      </c>
      <c r="F76" s="717" t="s">
        <v>3511</v>
      </c>
      <c r="G76" s="2975">
        <v>1</v>
      </c>
      <c r="H76" s="2971">
        <v>19669</v>
      </c>
      <c r="I76" s="2972">
        <v>122</v>
      </c>
    </row>
    <row r="77" spans="1:9" ht="20.100000000000001" customHeight="1" thickBot="1">
      <c r="A77" s="2966">
        <v>76</v>
      </c>
      <c r="B77" s="2981" t="s">
        <v>3592</v>
      </c>
      <c r="C77" s="2969">
        <v>176</v>
      </c>
      <c r="D77" s="2970">
        <v>41.97</v>
      </c>
      <c r="E77" s="2975">
        <v>1</v>
      </c>
      <c r="F77" s="717" t="s">
        <v>3511</v>
      </c>
      <c r="G77" s="2975">
        <v>1</v>
      </c>
      <c r="H77" s="2971">
        <v>19669</v>
      </c>
      <c r="I77" s="2972">
        <v>83</v>
      </c>
    </row>
    <row r="78" spans="1:9" ht="20.100000000000001" customHeight="1" thickBot="1">
      <c r="A78" s="2966">
        <v>77</v>
      </c>
      <c r="B78" s="2981" t="s">
        <v>3593</v>
      </c>
      <c r="C78" s="2969">
        <v>177</v>
      </c>
      <c r="D78" s="2970">
        <v>62.38</v>
      </c>
      <c r="E78" s="2975">
        <v>1</v>
      </c>
      <c r="F78" s="717" t="s">
        <v>3511</v>
      </c>
      <c r="G78" s="2975">
        <v>1</v>
      </c>
      <c r="H78" s="2971">
        <v>19669</v>
      </c>
      <c r="I78" s="2972">
        <v>123</v>
      </c>
    </row>
    <row r="79" spans="1:9" ht="20.100000000000001" customHeight="1" thickBot="1">
      <c r="A79" s="2966">
        <v>78</v>
      </c>
      <c r="B79" s="2981" t="s">
        <v>3594</v>
      </c>
      <c r="C79" s="2969">
        <v>178</v>
      </c>
      <c r="D79" s="2970">
        <v>52.87</v>
      </c>
      <c r="E79" s="2975">
        <v>1</v>
      </c>
      <c r="F79" s="717" t="s">
        <v>3511</v>
      </c>
      <c r="G79" s="2975">
        <v>1</v>
      </c>
      <c r="H79" s="2971">
        <v>19669</v>
      </c>
      <c r="I79" s="2972">
        <v>104</v>
      </c>
    </row>
    <row r="80" spans="1:9" ht="20.100000000000001" customHeight="1" thickBot="1">
      <c r="A80" s="2966">
        <v>79</v>
      </c>
      <c r="B80" s="2981" t="s">
        <v>3595</v>
      </c>
      <c r="C80" s="2969">
        <v>179</v>
      </c>
      <c r="D80" s="2970">
        <v>53.31</v>
      </c>
      <c r="E80" s="2975">
        <v>1</v>
      </c>
      <c r="F80" s="717" t="s">
        <v>3511</v>
      </c>
      <c r="G80" s="2975">
        <v>1</v>
      </c>
      <c r="H80" s="2971">
        <v>19669</v>
      </c>
      <c r="I80" s="2972">
        <v>105</v>
      </c>
    </row>
    <row r="81" spans="1:9" ht="20.100000000000001" customHeight="1" thickBot="1">
      <c r="A81" s="2966">
        <v>80</v>
      </c>
      <c r="B81" s="2981" t="s">
        <v>3596</v>
      </c>
      <c r="C81" s="2969">
        <v>180</v>
      </c>
      <c r="D81" s="2970">
        <v>54.94</v>
      </c>
      <c r="E81" s="2975">
        <v>1</v>
      </c>
      <c r="F81" s="717" t="s">
        <v>3511</v>
      </c>
      <c r="G81" s="2975">
        <v>1</v>
      </c>
      <c r="H81" s="2971">
        <v>19669</v>
      </c>
      <c r="I81" s="2972">
        <v>108</v>
      </c>
    </row>
    <row r="82" spans="1:9" ht="20.100000000000001" customHeight="1" thickBot="1">
      <c r="A82" s="2966">
        <v>81</v>
      </c>
      <c r="B82" s="2981" t="s">
        <v>3597</v>
      </c>
      <c r="C82" s="2969">
        <v>181</v>
      </c>
      <c r="D82" s="2970">
        <v>55.19</v>
      </c>
      <c r="E82" s="2975">
        <v>1</v>
      </c>
      <c r="F82" s="717" t="s">
        <v>3511</v>
      </c>
      <c r="G82" s="2975">
        <v>1</v>
      </c>
      <c r="H82" s="2971">
        <v>19669</v>
      </c>
      <c r="I82" s="2972">
        <v>109</v>
      </c>
    </row>
    <row r="83" spans="1:9" ht="20.100000000000001" customHeight="1" thickBot="1">
      <c r="A83" s="2966">
        <v>82</v>
      </c>
      <c r="B83" s="2981" t="s">
        <v>3598</v>
      </c>
      <c r="C83" s="2969">
        <v>182</v>
      </c>
      <c r="D83" s="2970">
        <v>28.44</v>
      </c>
      <c r="E83" s="2975">
        <v>1</v>
      </c>
      <c r="F83" s="717" t="s">
        <v>3511</v>
      </c>
      <c r="G83" s="2975">
        <v>1</v>
      </c>
      <c r="H83" s="2971">
        <v>19669</v>
      </c>
      <c r="I83" s="2972">
        <v>56</v>
      </c>
    </row>
    <row r="84" spans="1:9" ht="20.100000000000001" customHeight="1" thickBot="1">
      <c r="A84" s="2966">
        <v>83</v>
      </c>
      <c r="B84" s="2981" t="s">
        <v>3599</v>
      </c>
      <c r="C84" s="2969">
        <v>183</v>
      </c>
      <c r="D84" s="2970">
        <v>64.45</v>
      </c>
      <c r="E84" s="2975">
        <v>1</v>
      </c>
      <c r="F84" s="717" t="s">
        <v>3511</v>
      </c>
      <c r="G84" s="2975">
        <v>1</v>
      </c>
      <c r="H84" s="2971">
        <v>19669</v>
      </c>
      <c r="I84" s="2972">
        <v>127</v>
      </c>
    </row>
    <row r="85" spans="1:9" ht="20.100000000000001" customHeight="1" thickBot="1">
      <c r="A85" s="2966">
        <v>84</v>
      </c>
      <c r="B85" s="2981" t="s">
        <v>3600</v>
      </c>
      <c r="C85" s="2969">
        <v>184</v>
      </c>
      <c r="D85" s="2970">
        <v>27.71</v>
      </c>
      <c r="E85" s="2975">
        <v>1</v>
      </c>
      <c r="F85" s="717" t="s">
        <v>3511</v>
      </c>
      <c r="G85" s="2975">
        <v>1</v>
      </c>
      <c r="H85" s="2971">
        <v>19669</v>
      </c>
      <c r="I85" s="2972">
        <v>55</v>
      </c>
    </row>
    <row r="86" spans="1:9" ht="20.100000000000001" customHeight="1" thickBot="1">
      <c r="A86" s="2966">
        <v>85</v>
      </c>
      <c r="B86" s="2981" t="s">
        <v>3601</v>
      </c>
      <c r="C86" s="2969">
        <v>185</v>
      </c>
      <c r="D86" s="2970">
        <v>40.700000000000003</v>
      </c>
      <c r="E86" s="2975">
        <v>1</v>
      </c>
      <c r="F86" s="717" t="s">
        <v>3511</v>
      </c>
      <c r="G86" s="2975">
        <v>1</v>
      </c>
      <c r="H86" s="2971">
        <v>19669</v>
      </c>
      <c r="I86" s="2972">
        <v>80</v>
      </c>
    </row>
    <row r="87" spans="1:9" ht="20.100000000000001" customHeight="1" thickBot="1">
      <c r="A87" s="2966">
        <v>86</v>
      </c>
      <c r="B87" s="2981" t="s">
        <v>3602</v>
      </c>
      <c r="C87" s="2969">
        <v>186</v>
      </c>
      <c r="D87" s="2970">
        <v>36.090000000000003</v>
      </c>
      <c r="E87" s="2975">
        <v>1</v>
      </c>
      <c r="F87" s="717" t="s">
        <v>3511</v>
      </c>
      <c r="G87" s="2975">
        <v>1</v>
      </c>
      <c r="H87" s="2971">
        <v>19669</v>
      </c>
      <c r="I87" s="2972">
        <v>71</v>
      </c>
    </row>
    <row r="88" spans="1:9" ht="20.100000000000001" customHeight="1" thickBot="1">
      <c r="A88" s="2966">
        <v>87</v>
      </c>
      <c r="B88" s="2981" t="s">
        <v>3603</v>
      </c>
      <c r="C88" s="2969">
        <v>187</v>
      </c>
      <c r="D88" s="2970">
        <v>46.01</v>
      </c>
      <c r="E88" s="2975">
        <v>1</v>
      </c>
      <c r="F88" s="717" t="s">
        <v>3511</v>
      </c>
      <c r="G88" s="2975">
        <v>1</v>
      </c>
      <c r="H88" s="2971">
        <v>19669</v>
      </c>
      <c r="I88" s="2972">
        <v>90</v>
      </c>
    </row>
    <row r="89" spans="1:9" ht="20.100000000000001" customHeight="1" thickBot="1">
      <c r="A89" s="2966">
        <v>88</v>
      </c>
      <c r="B89" s="2981" t="s">
        <v>3604</v>
      </c>
      <c r="C89" s="2969">
        <v>188</v>
      </c>
      <c r="D89" s="2970">
        <v>65.040000000000006</v>
      </c>
      <c r="E89" s="2975">
        <v>1</v>
      </c>
      <c r="F89" s="717" t="s">
        <v>3511</v>
      </c>
      <c r="G89" s="2975">
        <v>1</v>
      </c>
      <c r="H89" s="2971">
        <v>19669</v>
      </c>
      <c r="I89" s="2972">
        <v>128</v>
      </c>
    </row>
    <row r="90" spans="1:9" ht="20.100000000000001" customHeight="1" thickBot="1">
      <c r="A90" s="2966">
        <v>89</v>
      </c>
      <c r="B90" s="2981" t="s">
        <v>3605</v>
      </c>
      <c r="C90" s="2969">
        <v>189</v>
      </c>
      <c r="D90" s="2970">
        <v>38.61</v>
      </c>
      <c r="E90" s="2975">
        <v>1</v>
      </c>
      <c r="F90" s="717" t="s">
        <v>3511</v>
      </c>
      <c r="G90" s="2975">
        <v>1</v>
      </c>
      <c r="H90" s="2971">
        <v>19669</v>
      </c>
      <c r="I90" s="2972">
        <v>76</v>
      </c>
    </row>
    <row r="91" spans="1:9" ht="20.100000000000001" customHeight="1" thickBot="1">
      <c r="A91" s="2966">
        <v>90</v>
      </c>
      <c r="B91" s="2981" t="s">
        <v>3606</v>
      </c>
      <c r="C91" s="2969">
        <v>190</v>
      </c>
      <c r="D91" s="2970">
        <v>39.53</v>
      </c>
      <c r="E91" s="2975">
        <v>1</v>
      </c>
      <c r="F91" s="717" t="s">
        <v>3511</v>
      </c>
      <c r="G91" s="2975">
        <v>1</v>
      </c>
      <c r="H91" s="2971">
        <v>19669</v>
      </c>
      <c r="I91" s="2972">
        <v>78</v>
      </c>
    </row>
    <row r="92" spans="1:9" ht="20.100000000000001" customHeight="1" thickBot="1">
      <c r="A92" s="2966">
        <v>91</v>
      </c>
      <c r="B92" s="2981" t="s">
        <v>3607</v>
      </c>
      <c r="C92" s="2969">
        <v>191</v>
      </c>
      <c r="D92" s="2970">
        <v>35.67</v>
      </c>
      <c r="E92" s="2975">
        <v>1</v>
      </c>
      <c r="F92" s="717" t="s">
        <v>3511</v>
      </c>
      <c r="G92" s="2975">
        <v>1</v>
      </c>
      <c r="H92" s="2971">
        <v>19669</v>
      </c>
      <c r="I92" s="2972">
        <v>70</v>
      </c>
    </row>
    <row r="93" spans="1:9" ht="20.100000000000001" customHeight="1" thickBot="1">
      <c r="A93" s="2966">
        <v>92</v>
      </c>
      <c r="B93" s="2981" t="s">
        <v>3608</v>
      </c>
      <c r="C93" s="2969">
        <v>192</v>
      </c>
      <c r="D93" s="2970">
        <v>41.17</v>
      </c>
      <c r="E93" s="2975">
        <v>1</v>
      </c>
      <c r="F93" s="717" t="s">
        <v>3511</v>
      </c>
      <c r="G93" s="2975">
        <v>1</v>
      </c>
      <c r="H93" s="2971">
        <v>19669</v>
      </c>
      <c r="I93" s="2972">
        <v>81</v>
      </c>
    </row>
    <row r="94" spans="1:9" ht="20.100000000000001" customHeight="1" thickBot="1">
      <c r="A94" s="2966">
        <v>93</v>
      </c>
      <c r="B94" s="2981" t="s">
        <v>3609</v>
      </c>
      <c r="C94" s="2969">
        <v>193</v>
      </c>
      <c r="D94" s="2970">
        <v>47.49</v>
      </c>
      <c r="E94" s="2975">
        <v>1</v>
      </c>
      <c r="F94" s="717" t="s">
        <v>3511</v>
      </c>
      <c r="G94" s="2975">
        <v>1</v>
      </c>
      <c r="H94" s="2971">
        <v>19669</v>
      </c>
      <c r="I94" s="2972">
        <v>93</v>
      </c>
    </row>
    <row r="95" spans="1:9" ht="20.100000000000001" customHeight="1" thickBot="1">
      <c r="A95" s="2966">
        <v>94</v>
      </c>
      <c r="B95" s="2981" t="s">
        <v>3610</v>
      </c>
      <c r="C95" s="2969">
        <v>194</v>
      </c>
      <c r="D95" s="2970">
        <v>38.57</v>
      </c>
      <c r="E95" s="2975">
        <v>1</v>
      </c>
      <c r="F95" s="717" t="s">
        <v>3511</v>
      </c>
      <c r="G95" s="2975">
        <v>1</v>
      </c>
      <c r="H95" s="2971">
        <v>19669</v>
      </c>
      <c r="I95" s="2972">
        <v>76</v>
      </c>
    </row>
    <row r="96" spans="1:9" ht="20.100000000000001" customHeight="1" thickBot="1">
      <c r="A96" s="2966">
        <v>95</v>
      </c>
      <c r="B96" s="2981" t="s">
        <v>3611</v>
      </c>
      <c r="C96" s="2969">
        <v>195</v>
      </c>
      <c r="D96" s="2970">
        <v>41.34</v>
      </c>
      <c r="E96" s="2975">
        <v>1</v>
      </c>
      <c r="F96" s="717" t="s">
        <v>3511</v>
      </c>
      <c r="G96" s="2975">
        <v>1</v>
      </c>
      <c r="H96" s="2971">
        <v>19669</v>
      </c>
      <c r="I96" s="2972">
        <v>81</v>
      </c>
    </row>
    <row r="97" spans="1:9" ht="20.100000000000001" customHeight="1" thickBot="1">
      <c r="A97" s="2966">
        <v>96</v>
      </c>
      <c r="B97" s="2981" t="s">
        <v>3612</v>
      </c>
      <c r="C97" s="2969">
        <v>196</v>
      </c>
      <c r="D97" s="2970">
        <v>32.18</v>
      </c>
      <c r="E97" s="2975">
        <v>1</v>
      </c>
      <c r="F97" s="717" t="s">
        <v>3511</v>
      </c>
      <c r="G97" s="2975">
        <v>1</v>
      </c>
      <c r="H97" s="2971">
        <v>19669</v>
      </c>
      <c r="I97" s="2972">
        <v>63</v>
      </c>
    </row>
    <row r="98" spans="1:9" ht="20.100000000000001" customHeight="1" thickBot="1">
      <c r="A98" s="2966">
        <v>97</v>
      </c>
      <c r="B98" s="2981" t="s">
        <v>3613</v>
      </c>
      <c r="C98" s="2969">
        <v>197</v>
      </c>
      <c r="D98" s="2970">
        <v>37.090000000000003</v>
      </c>
      <c r="E98" s="2975">
        <v>1</v>
      </c>
      <c r="F98" s="717" t="s">
        <v>3511</v>
      </c>
      <c r="G98" s="2975">
        <v>1</v>
      </c>
      <c r="H98" s="2971">
        <v>19669</v>
      </c>
      <c r="I98" s="2972">
        <v>73</v>
      </c>
    </row>
    <row r="99" spans="1:9" ht="20.100000000000001" customHeight="1" thickBot="1">
      <c r="A99" s="2966">
        <v>98</v>
      </c>
      <c r="B99" s="2981" t="s">
        <v>3614</v>
      </c>
      <c r="C99" s="2969">
        <v>198</v>
      </c>
      <c r="D99" s="2970">
        <v>30.5</v>
      </c>
      <c r="E99" s="2975">
        <v>1</v>
      </c>
      <c r="F99" s="717" t="s">
        <v>3511</v>
      </c>
      <c r="G99" s="2975">
        <v>1</v>
      </c>
      <c r="H99" s="2971">
        <v>19669</v>
      </c>
      <c r="I99" s="2972">
        <v>60</v>
      </c>
    </row>
    <row r="100" spans="1:9" ht="20.100000000000001" customHeight="1" thickBot="1">
      <c r="A100" s="2966">
        <v>99</v>
      </c>
      <c r="B100" s="2981" t="s">
        <v>3615</v>
      </c>
      <c r="C100" s="2969">
        <v>199</v>
      </c>
      <c r="D100" s="2970">
        <v>47.16</v>
      </c>
      <c r="E100" s="2975">
        <v>1</v>
      </c>
      <c r="F100" s="717" t="s">
        <v>3511</v>
      </c>
      <c r="G100" s="2975">
        <v>1</v>
      </c>
      <c r="H100" s="2971">
        <v>19669</v>
      </c>
      <c r="I100" s="2972">
        <v>93</v>
      </c>
    </row>
    <row r="101" spans="1:9" ht="20.100000000000001" customHeight="1" thickBot="1">
      <c r="A101" s="2966">
        <v>100</v>
      </c>
      <c r="B101" s="2981" t="s">
        <v>3616</v>
      </c>
      <c r="C101" s="2969">
        <v>1100</v>
      </c>
      <c r="D101" s="2970">
        <v>67.33</v>
      </c>
      <c r="E101" s="2975">
        <v>1</v>
      </c>
      <c r="F101" s="717" t="s">
        <v>3511</v>
      </c>
      <c r="G101" s="2975">
        <v>1</v>
      </c>
      <c r="H101" s="2971">
        <v>19669</v>
      </c>
      <c r="I101" s="2972">
        <v>132</v>
      </c>
    </row>
    <row r="102" spans="1:9" ht="20.100000000000001" customHeight="1" thickBot="1">
      <c r="A102" s="2966">
        <v>101</v>
      </c>
      <c r="B102" s="2981" t="s">
        <v>3617</v>
      </c>
      <c r="C102" s="2969">
        <v>1101</v>
      </c>
      <c r="D102" s="2970">
        <v>45.79</v>
      </c>
      <c r="E102" s="2975">
        <v>1</v>
      </c>
      <c r="F102" s="717" t="s">
        <v>3511</v>
      </c>
      <c r="G102" s="2975">
        <v>1</v>
      </c>
      <c r="H102" s="2971">
        <v>19669</v>
      </c>
      <c r="I102" s="2972">
        <v>90</v>
      </c>
    </row>
    <row r="103" spans="1:9" ht="20.100000000000001" customHeight="1" thickBot="1">
      <c r="A103" s="2966">
        <v>102</v>
      </c>
      <c r="B103" s="2981" t="s">
        <v>3618</v>
      </c>
      <c r="C103" s="2969">
        <v>1102</v>
      </c>
      <c r="D103" s="2970">
        <v>45.58</v>
      </c>
      <c r="E103" s="2975">
        <v>1</v>
      </c>
      <c r="F103" s="717" t="s">
        <v>3511</v>
      </c>
      <c r="G103" s="2975">
        <v>1</v>
      </c>
      <c r="H103" s="2971">
        <v>19669</v>
      </c>
      <c r="I103" s="2972">
        <v>90</v>
      </c>
    </row>
    <row r="104" spans="1:9" ht="20.100000000000001" customHeight="1" thickBot="1">
      <c r="A104" s="2966">
        <v>103</v>
      </c>
      <c r="B104" s="2981" t="s">
        <v>3619</v>
      </c>
      <c r="C104" s="2969">
        <v>1103</v>
      </c>
      <c r="D104" s="2970">
        <v>45.11</v>
      </c>
      <c r="E104" s="2975">
        <v>1</v>
      </c>
      <c r="F104" s="717" t="s">
        <v>3511</v>
      </c>
      <c r="G104" s="2975">
        <v>1</v>
      </c>
      <c r="H104" s="2971">
        <v>19669</v>
      </c>
      <c r="I104" s="2972">
        <v>89</v>
      </c>
    </row>
    <row r="105" spans="1:9" ht="20.100000000000001" customHeight="1" thickBot="1">
      <c r="A105" s="2966">
        <v>104</v>
      </c>
      <c r="B105" s="2981" t="s">
        <v>3620</v>
      </c>
      <c r="C105" s="2969">
        <v>1104</v>
      </c>
      <c r="D105" s="2970">
        <v>26.18</v>
      </c>
      <c r="E105" s="2975">
        <v>1</v>
      </c>
      <c r="F105" s="717" t="s">
        <v>3511</v>
      </c>
      <c r="G105" s="2975">
        <v>1</v>
      </c>
      <c r="H105" s="2971">
        <v>19669</v>
      </c>
      <c r="I105" s="2972">
        <v>51</v>
      </c>
    </row>
    <row r="106" spans="1:9" ht="20.100000000000001" customHeight="1" thickBot="1">
      <c r="A106" s="2966">
        <v>105</v>
      </c>
      <c r="B106" s="2981" t="s">
        <v>3621</v>
      </c>
      <c r="C106" s="2969">
        <v>1105</v>
      </c>
      <c r="D106" s="2970">
        <v>21.2</v>
      </c>
      <c r="E106" s="2975">
        <v>1</v>
      </c>
      <c r="F106" s="717" t="s">
        <v>3511</v>
      </c>
      <c r="G106" s="2975">
        <v>1</v>
      </c>
      <c r="H106" s="2971">
        <v>19669</v>
      </c>
      <c r="I106" s="2972">
        <v>42</v>
      </c>
    </row>
    <row r="107" spans="1:9" ht="20.100000000000001" customHeight="1" thickBot="1">
      <c r="A107" s="2966">
        <v>106</v>
      </c>
      <c r="B107" s="2981" t="s">
        <v>3622</v>
      </c>
      <c r="C107" s="2969">
        <v>1106</v>
      </c>
      <c r="D107" s="2970">
        <v>55.34</v>
      </c>
      <c r="E107" s="2975">
        <v>1</v>
      </c>
      <c r="F107" s="717" t="s">
        <v>3511</v>
      </c>
      <c r="G107" s="2975">
        <v>1</v>
      </c>
      <c r="H107" s="2971">
        <v>19669</v>
      </c>
      <c r="I107" s="2972">
        <v>109</v>
      </c>
    </row>
    <row r="108" spans="1:9" ht="20.100000000000001" customHeight="1" thickBot="1">
      <c r="A108" s="2966">
        <v>107</v>
      </c>
      <c r="B108" s="2981" t="s">
        <v>3623</v>
      </c>
      <c r="C108" s="2969">
        <v>1107</v>
      </c>
      <c r="D108" s="2970">
        <v>47.17</v>
      </c>
      <c r="E108" s="2975">
        <v>1</v>
      </c>
      <c r="F108" s="717" t="s">
        <v>3511</v>
      </c>
      <c r="G108" s="2975">
        <v>1</v>
      </c>
      <c r="H108" s="2971">
        <v>19669</v>
      </c>
      <c r="I108" s="2972">
        <v>93</v>
      </c>
    </row>
    <row r="109" spans="1:9" ht="20.100000000000001" customHeight="1" thickBot="1">
      <c r="A109" s="2966">
        <v>108</v>
      </c>
      <c r="B109" s="2981" t="s">
        <v>3624</v>
      </c>
      <c r="C109" s="2969">
        <v>1108</v>
      </c>
      <c r="D109" s="2970">
        <v>51.19</v>
      </c>
      <c r="E109" s="2975">
        <v>1</v>
      </c>
      <c r="F109" s="717" t="s">
        <v>3511</v>
      </c>
      <c r="G109" s="2975">
        <v>1</v>
      </c>
      <c r="H109" s="2971">
        <v>19669</v>
      </c>
      <c r="I109" s="2972">
        <v>101</v>
      </c>
    </row>
    <row r="110" spans="1:9" ht="20.100000000000001" customHeight="1" thickBot="1">
      <c r="A110" s="2966">
        <v>109</v>
      </c>
      <c r="B110" s="2981" t="s">
        <v>3625</v>
      </c>
      <c r="C110" s="2969">
        <v>1109</v>
      </c>
      <c r="D110" s="2970">
        <v>47.16</v>
      </c>
      <c r="E110" s="2975">
        <v>1</v>
      </c>
      <c r="F110" s="717" t="s">
        <v>3511</v>
      </c>
      <c r="G110" s="2975">
        <v>1</v>
      </c>
      <c r="H110" s="2971">
        <v>19669</v>
      </c>
      <c r="I110" s="2972">
        <v>93</v>
      </c>
    </row>
    <row r="111" spans="1:9" ht="20.100000000000001" customHeight="1" thickBot="1">
      <c r="A111" s="2966">
        <v>110</v>
      </c>
      <c r="B111" s="2981" t="s">
        <v>3626</v>
      </c>
      <c r="C111" s="2969">
        <v>1110</v>
      </c>
      <c r="D111" s="2970">
        <v>31.3</v>
      </c>
      <c r="E111" s="2975">
        <v>1</v>
      </c>
      <c r="F111" s="717" t="s">
        <v>3511</v>
      </c>
      <c r="G111" s="2975">
        <v>1</v>
      </c>
      <c r="H111" s="2971">
        <v>19669</v>
      </c>
      <c r="I111" s="2972">
        <v>62</v>
      </c>
    </row>
    <row r="112" spans="1:9" ht="20.100000000000001" customHeight="1" thickBot="1">
      <c r="A112" s="2966">
        <v>111</v>
      </c>
      <c r="B112" s="2981" t="s">
        <v>3627</v>
      </c>
      <c r="C112" s="2969">
        <v>1111</v>
      </c>
      <c r="D112" s="2970">
        <v>32.18</v>
      </c>
      <c r="E112" s="2975">
        <v>1</v>
      </c>
      <c r="F112" s="717" t="s">
        <v>3511</v>
      </c>
      <c r="G112" s="2975">
        <v>1</v>
      </c>
      <c r="H112" s="2971">
        <v>19669</v>
      </c>
      <c r="I112" s="2972">
        <v>63</v>
      </c>
    </row>
    <row r="113" spans="1:9" ht="20.100000000000001" customHeight="1" thickBot="1">
      <c r="A113" s="2966">
        <v>112</v>
      </c>
      <c r="B113" s="2981" t="s">
        <v>3628</v>
      </c>
      <c r="C113" s="2969">
        <v>1112</v>
      </c>
      <c r="D113" s="2970">
        <v>47.16</v>
      </c>
      <c r="E113" s="2975">
        <v>1</v>
      </c>
      <c r="F113" s="717" t="s">
        <v>3511</v>
      </c>
      <c r="G113" s="2975">
        <v>1</v>
      </c>
      <c r="H113" s="2971">
        <v>19669</v>
      </c>
      <c r="I113" s="2972">
        <v>93</v>
      </c>
    </row>
    <row r="114" spans="1:9" ht="20.100000000000001" customHeight="1" thickBot="1">
      <c r="A114" s="2966">
        <v>113</v>
      </c>
      <c r="B114" s="2981" t="s">
        <v>3629</v>
      </c>
      <c r="C114" s="2969">
        <v>1113</v>
      </c>
      <c r="D114" s="2970">
        <v>37.1</v>
      </c>
      <c r="E114" s="2975">
        <v>1</v>
      </c>
      <c r="F114" s="717" t="s">
        <v>3511</v>
      </c>
      <c r="G114" s="2975">
        <v>1</v>
      </c>
      <c r="H114" s="2971">
        <v>19669</v>
      </c>
      <c r="I114" s="2972">
        <v>73</v>
      </c>
    </row>
    <row r="115" spans="1:9" ht="20.100000000000001" customHeight="1" thickBot="1">
      <c r="A115" s="2966">
        <v>114</v>
      </c>
      <c r="B115" s="2981" t="s">
        <v>3630</v>
      </c>
      <c r="C115" s="2969">
        <v>1114</v>
      </c>
      <c r="D115" s="2970">
        <v>54.94</v>
      </c>
      <c r="E115" s="2975">
        <v>1</v>
      </c>
      <c r="F115" s="717" t="s">
        <v>3511</v>
      </c>
      <c r="G115" s="2975">
        <v>1</v>
      </c>
      <c r="H115" s="2971">
        <v>19669</v>
      </c>
      <c r="I115" s="2972">
        <v>108</v>
      </c>
    </row>
    <row r="116" spans="1:9" ht="20.100000000000001" customHeight="1" thickBot="1">
      <c r="A116" s="2966">
        <v>115</v>
      </c>
      <c r="B116" s="2981" t="s">
        <v>3631</v>
      </c>
      <c r="C116" s="2969">
        <v>1115</v>
      </c>
      <c r="D116" s="2970">
        <v>28.38</v>
      </c>
      <c r="E116" s="2975">
        <v>1</v>
      </c>
      <c r="F116" s="717" t="s">
        <v>3511</v>
      </c>
      <c r="G116" s="2975">
        <v>1</v>
      </c>
      <c r="H116" s="2971">
        <v>19669</v>
      </c>
      <c r="I116" s="2972">
        <v>56</v>
      </c>
    </row>
    <row r="117" spans="1:9" ht="20.100000000000001" customHeight="1" thickBot="1">
      <c r="A117" s="2966">
        <v>116</v>
      </c>
      <c r="B117" s="2981" t="s">
        <v>3632</v>
      </c>
      <c r="C117" s="2969">
        <v>1116</v>
      </c>
      <c r="D117" s="2970">
        <v>26.45</v>
      </c>
      <c r="E117" s="2975">
        <v>1</v>
      </c>
      <c r="F117" s="717" t="s">
        <v>3511</v>
      </c>
      <c r="G117" s="2975">
        <v>1</v>
      </c>
      <c r="H117" s="2971">
        <v>19669</v>
      </c>
      <c r="I117" s="2972">
        <v>52</v>
      </c>
    </row>
    <row r="118" spans="1:9" ht="20.100000000000001" customHeight="1" thickBot="1">
      <c r="A118" s="2966">
        <v>117</v>
      </c>
      <c r="B118" s="2981" t="s">
        <v>3633</v>
      </c>
      <c r="C118" s="2969">
        <v>1117</v>
      </c>
      <c r="D118" s="2970">
        <v>40.049999999999997</v>
      </c>
      <c r="E118" s="2975">
        <v>1</v>
      </c>
      <c r="F118" s="717" t="s">
        <v>3511</v>
      </c>
      <c r="G118" s="2975">
        <v>1</v>
      </c>
      <c r="H118" s="2971">
        <v>19669</v>
      </c>
      <c r="I118" s="2972">
        <v>79</v>
      </c>
    </row>
    <row r="119" spans="1:9" ht="20.100000000000001" customHeight="1" thickBot="1">
      <c r="A119" s="2966">
        <v>118</v>
      </c>
      <c r="B119" s="2981" t="s">
        <v>3634</v>
      </c>
      <c r="C119" s="2969">
        <v>1118</v>
      </c>
      <c r="D119" s="2970">
        <v>44.26</v>
      </c>
      <c r="E119" s="2975">
        <v>1</v>
      </c>
      <c r="F119" s="717" t="s">
        <v>3511</v>
      </c>
      <c r="G119" s="2975">
        <v>1</v>
      </c>
      <c r="H119" s="2971">
        <v>19669</v>
      </c>
      <c r="I119" s="2972">
        <v>87</v>
      </c>
    </row>
    <row r="120" spans="1:9" ht="20.100000000000001" customHeight="1" thickBot="1">
      <c r="A120" s="2966">
        <v>119</v>
      </c>
      <c r="B120" s="2981" t="s">
        <v>3635</v>
      </c>
      <c r="C120" s="2969">
        <v>1119</v>
      </c>
      <c r="D120" s="2970">
        <v>44.92</v>
      </c>
      <c r="E120" s="2975">
        <v>1</v>
      </c>
      <c r="F120" s="717" t="s">
        <v>3511</v>
      </c>
      <c r="G120" s="2975">
        <v>1</v>
      </c>
      <c r="H120" s="2971">
        <v>19669</v>
      </c>
      <c r="I120" s="2972">
        <v>88</v>
      </c>
    </row>
    <row r="121" spans="1:9" ht="20.100000000000001" customHeight="1" thickBot="1">
      <c r="A121" s="2966">
        <v>120</v>
      </c>
      <c r="B121" s="2981" t="s">
        <v>3636</v>
      </c>
      <c r="C121" s="2969">
        <v>1120</v>
      </c>
      <c r="D121" s="2970">
        <v>33.659999999999997</v>
      </c>
      <c r="E121" s="2975">
        <v>1</v>
      </c>
      <c r="F121" s="717" t="s">
        <v>3511</v>
      </c>
      <c r="G121" s="2975">
        <v>1</v>
      </c>
      <c r="H121" s="2971">
        <v>19669</v>
      </c>
      <c r="I121" s="2972">
        <v>66</v>
      </c>
    </row>
    <row r="122" spans="1:9" ht="20.100000000000001" customHeight="1" thickBot="1">
      <c r="A122" s="2966">
        <v>121</v>
      </c>
      <c r="B122" s="2981" t="s">
        <v>3637</v>
      </c>
      <c r="C122" s="2969">
        <v>1121</v>
      </c>
      <c r="D122" s="2970">
        <v>64.11</v>
      </c>
      <c r="E122" s="2975">
        <v>1</v>
      </c>
      <c r="F122" s="717" t="s">
        <v>3511</v>
      </c>
      <c r="G122" s="2975">
        <v>1</v>
      </c>
      <c r="H122" s="2971">
        <v>19669</v>
      </c>
      <c r="I122" s="2972">
        <v>126</v>
      </c>
    </row>
    <row r="123" spans="1:9" ht="20.100000000000001" customHeight="1" thickBot="1">
      <c r="A123" s="2966">
        <v>122</v>
      </c>
      <c r="B123" s="2981" t="s">
        <v>3638</v>
      </c>
      <c r="C123" s="2969">
        <v>1122</v>
      </c>
      <c r="D123" s="2970">
        <v>54.83</v>
      </c>
      <c r="E123" s="2975">
        <v>1</v>
      </c>
      <c r="F123" s="717" t="s">
        <v>3511</v>
      </c>
      <c r="G123" s="2975">
        <v>1</v>
      </c>
      <c r="H123" s="2971">
        <v>19669</v>
      </c>
      <c r="I123" s="2972">
        <v>108</v>
      </c>
    </row>
    <row r="124" spans="1:9" ht="20.100000000000001" customHeight="1" thickBot="1">
      <c r="A124" s="2966">
        <v>123</v>
      </c>
      <c r="B124" s="2981" t="s">
        <v>3639</v>
      </c>
      <c r="C124" s="2969">
        <v>1123</v>
      </c>
      <c r="D124" s="2970">
        <v>54.82</v>
      </c>
      <c r="E124" s="2975">
        <v>1</v>
      </c>
      <c r="F124" s="717" t="s">
        <v>3511</v>
      </c>
      <c r="G124" s="2975">
        <v>1</v>
      </c>
      <c r="H124" s="2971">
        <v>19669</v>
      </c>
      <c r="I124" s="2972">
        <v>108</v>
      </c>
    </row>
    <row r="125" spans="1:9" ht="20.100000000000001" customHeight="1" thickBot="1">
      <c r="A125" s="2966">
        <v>124</v>
      </c>
      <c r="B125" s="2981" t="s">
        <v>3640</v>
      </c>
      <c r="C125" s="2969">
        <v>1124</v>
      </c>
      <c r="D125" s="2970">
        <v>54.82</v>
      </c>
      <c r="E125" s="2975">
        <v>1</v>
      </c>
      <c r="F125" s="717" t="s">
        <v>3511</v>
      </c>
      <c r="G125" s="2975">
        <v>1</v>
      </c>
      <c r="H125" s="2971">
        <v>19669</v>
      </c>
      <c r="I125" s="2972">
        <v>108</v>
      </c>
    </row>
    <row r="126" spans="1:9" ht="20.100000000000001" customHeight="1" thickBot="1">
      <c r="A126" s="2966">
        <v>125</v>
      </c>
      <c r="B126" s="2981" t="s">
        <v>3641</v>
      </c>
      <c r="C126" s="2969">
        <v>1125</v>
      </c>
      <c r="D126" s="2970">
        <v>50.31</v>
      </c>
      <c r="E126" s="2975">
        <v>1</v>
      </c>
      <c r="F126" s="717" t="s">
        <v>3511</v>
      </c>
      <c r="G126" s="2975">
        <v>1</v>
      </c>
      <c r="H126" s="2971">
        <v>19669</v>
      </c>
      <c r="I126" s="2972">
        <v>99</v>
      </c>
    </row>
    <row r="127" spans="1:9" ht="20.100000000000001" customHeight="1" thickBot="1">
      <c r="A127" s="2966">
        <v>126</v>
      </c>
      <c r="B127" s="2981" t="s">
        <v>3642</v>
      </c>
      <c r="C127" s="2969">
        <v>1126</v>
      </c>
      <c r="D127" s="2970">
        <v>30.93</v>
      </c>
      <c r="E127" s="2975">
        <v>1</v>
      </c>
      <c r="F127" s="717" t="s">
        <v>3511</v>
      </c>
      <c r="G127" s="2975">
        <v>1</v>
      </c>
      <c r="H127" s="2971">
        <v>19669</v>
      </c>
      <c r="I127" s="2972">
        <v>61</v>
      </c>
    </row>
    <row r="128" spans="1:9" ht="20.100000000000001" customHeight="1" thickBot="1">
      <c r="A128" s="2966">
        <v>127</v>
      </c>
      <c r="B128" s="2981" t="s">
        <v>3643</v>
      </c>
      <c r="C128" s="2969">
        <v>1127</v>
      </c>
      <c r="D128" s="2970">
        <v>53.44</v>
      </c>
      <c r="E128" s="2975">
        <v>1</v>
      </c>
      <c r="F128" s="717" t="s">
        <v>3511</v>
      </c>
      <c r="G128" s="2975">
        <v>1</v>
      </c>
      <c r="H128" s="2971">
        <v>19669</v>
      </c>
      <c r="I128" s="2972">
        <v>105</v>
      </c>
    </row>
    <row r="129" spans="1:9" ht="20.100000000000001" customHeight="1" thickBot="1">
      <c r="A129" s="2966">
        <v>128</v>
      </c>
      <c r="B129" s="2981" t="s">
        <v>3644</v>
      </c>
      <c r="C129" s="2969">
        <v>1128</v>
      </c>
      <c r="D129" s="2970">
        <v>35.119999999999997</v>
      </c>
      <c r="E129" s="2975">
        <v>1</v>
      </c>
      <c r="F129" s="717" t="s">
        <v>3511</v>
      </c>
      <c r="G129" s="2975">
        <v>1</v>
      </c>
      <c r="H129" s="2971">
        <v>19669</v>
      </c>
      <c r="I129" s="2972">
        <v>69</v>
      </c>
    </row>
    <row r="130" spans="1:9" ht="20.100000000000001" customHeight="1" thickBot="1">
      <c r="A130" s="2966">
        <v>129</v>
      </c>
      <c r="B130" s="2981" t="s">
        <v>3645</v>
      </c>
      <c r="C130" s="2969">
        <v>1129</v>
      </c>
      <c r="D130" s="2970">
        <v>59.89</v>
      </c>
      <c r="E130" s="2975">
        <v>1</v>
      </c>
      <c r="F130" s="717" t="s">
        <v>3511</v>
      </c>
      <c r="G130" s="2975">
        <v>1</v>
      </c>
      <c r="H130" s="2971">
        <v>19669</v>
      </c>
      <c r="I130" s="2972">
        <v>118</v>
      </c>
    </row>
    <row r="131" spans="1:9" ht="20.100000000000001" customHeight="1" thickBot="1">
      <c r="A131" s="2966">
        <v>130</v>
      </c>
      <c r="B131" s="2981" t="s">
        <v>3646</v>
      </c>
      <c r="C131" s="2969">
        <v>1130</v>
      </c>
      <c r="D131" s="2970">
        <v>29.24</v>
      </c>
      <c r="E131" s="2975">
        <v>1</v>
      </c>
      <c r="F131" s="717" t="s">
        <v>3511</v>
      </c>
      <c r="G131" s="2975">
        <v>1</v>
      </c>
      <c r="H131" s="2971">
        <v>19669</v>
      </c>
      <c r="I131" s="2972">
        <v>58</v>
      </c>
    </row>
    <row r="132" spans="1:9" ht="20.100000000000001" customHeight="1" thickBot="1">
      <c r="A132" s="2966">
        <v>131</v>
      </c>
      <c r="B132" s="2981" t="s">
        <v>3647</v>
      </c>
      <c r="C132" s="2969">
        <v>1131</v>
      </c>
      <c r="D132" s="2970">
        <v>48.98</v>
      </c>
      <c r="E132" s="2975">
        <v>1</v>
      </c>
      <c r="F132" s="717" t="s">
        <v>3511</v>
      </c>
      <c r="G132" s="2975">
        <v>1</v>
      </c>
      <c r="H132" s="2971">
        <v>19669</v>
      </c>
      <c r="I132" s="2972">
        <v>96</v>
      </c>
    </row>
    <row r="133" spans="1:9" ht="20.100000000000001" customHeight="1" thickBot="1">
      <c r="A133" s="2966">
        <v>132</v>
      </c>
      <c r="B133" s="2981" t="s">
        <v>3648</v>
      </c>
      <c r="C133" s="2969">
        <v>1132</v>
      </c>
      <c r="D133" s="2970">
        <v>28.96</v>
      </c>
      <c r="E133" s="2975">
        <v>1</v>
      </c>
      <c r="F133" s="717" t="s">
        <v>3511</v>
      </c>
      <c r="G133" s="2975">
        <v>1</v>
      </c>
      <c r="H133" s="2971">
        <v>19669</v>
      </c>
      <c r="I133" s="2972">
        <v>57</v>
      </c>
    </row>
    <row r="134" spans="1:9" ht="20.100000000000001" customHeight="1" thickBot="1">
      <c r="A134" s="2966">
        <v>133</v>
      </c>
      <c r="B134" s="2981" t="s">
        <v>3649</v>
      </c>
      <c r="C134" s="2969">
        <v>1133</v>
      </c>
      <c r="D134" s="2970">
        <v>52.75</v>
      </c>
      <c r="E134" s="2975">
        <v>1</v>
      </c>
      <c r="F134" s="717" t="s">
        <v>3511</v>
      </c>
      <c r="G134" s="2975">
        <v>1</v>
      </c>
      <c r="H134" s="2971">
        <v>19669</v>
      </c>
      <c r="I134" s="2972">
        <v>104</v>
      </c>
    </row>
    <row r="135" spans="1:9" ht="20.100000000000001" customHeight="1" thickBot="1">
      <c r="A135" s="2966">
        <v>134</v>
      </c>
      <c r="B135" s="2981" t="s">
        <v>3650</v>
      </c>
      <c r="C135" s="2969">
        <v>1134</v>
      </c>
      <c r="D135" s="2970">
        <v>31.3</v>
      </c>
      <c r="E135" s="2975">
        <v>1</v>
      </c>
      <c r="F135" s="717" t="s">
        <v>3511</v>
      </c>
      <c r="G135" s="2975">
        <v>1</v>
      </c>
      <c r="H135" s="2971">
        <v>19669</v>
      </c>
      <c r="I135" s="2972">
        <v>62</v>
      </c>
    </row>
    <row r="136" spans="1:9" ht="20.100000000000001" customHeight="1" thickBot="1">
      <c r="A136" s="2966">
        <v>135</v>
      </c>
      <c r="B136" s="2981" t="s">
        <v>3651</v>
      </c>
      <c r="C136" s="2969">
        <v>1135</v>
      </c>
      <c r="D136" s="2970">
        <v>54.53</v>
      </c>
      <c r="E136" s="2975">
        <v>1</v>
      </c>
      <c r="F136" s="717" t="s">
        <v>3511</v>
      </c>
      <c r="G136" s="2975">
        <v>1</v>
      </c>
      <c r="H136" s="2971">
        <v>19669</v>
      </c>
      <c r="I136" s="2972">
        <v>107</v>
      </c>
    </row>
    <row r="137" spans="1:9" ht="20.100000000000001" customHeight="1" thickBot="1">
      <c r="A137" s="2966">
        <v>136</v>
      </c>
      <c r="B137" s="2981" t="s">
        <v>3652</v>
      </c>
      <c r="C137" s="2969">
        <v>1136</v>
      </c>
      <c r="D137" s="2970">
        <v>36.39</v>
      </c>
      <c r="E137" s="2975">
        <v>1</v>
      </c>
      <c r="F137" s="717" t="s">
        <v>3511</v>
      </c>
      <c r="G137" s="2975">
        <v>1</v>
      </c>
      <c r="H137" s="2971">
        <v>19669</v>
      </c>
      <c r="I137" s="2972">
        <v>72</v>
      </c>
    </row>
    <row r="138" spans="1:9" ht="20.100000000000001" customHeight="1" thickBot="1">
      <c r="A138" s="2966">
        <v>137</v>
      </c>
      <c r="B138" s="2981" t="s">
        <v>3653</v>
      </c>
      <c r="C138" s="2969">
        <v>1137</v>
      </c>
      <c r="D138" s="2970">
        <v>54.78</v>
      </c>
      <c r="E138" s="2975">
        <v>1</v>
      </c>
      <c r="F138" s="717" t="s">
        <v>3511</v>
      </c>
      <c r="G138" s="2975">
        <v>1</v>
      </c>
      <c r="H138" s="2971">
        <v>19669</v>
      </c>
      <c r="I138" s="2972">
        <v>108</v>
      </c>
    </row>
    <row r="139" spans="1:9" ht="20.100000000000001" customHeight="1" thickBot="1">
      <c r="A139" s="2966">
        <v>138</v>
      </c>
      <c r="B139" s="2981" t="s">
        <v>3654</v>
      </c>
      <c r="C139" s="2969">
        <v>1138</v>
      </c>
      <c r="D139" s="2970">
        <v>44.64</v>
      </c>
      <c r="E139" s="2975">
        <v>1</v>
      </c>
      <c r="F139" s="717" t="s">
        <v>3511</v>
      </c>
      <c r="G139" s="2975">
        <v>1</v>
      </c>
      <c r="H139" s="2971">
        <v>19669</v>
      </c>
      <c r="I139" s="2972">
        <v>88</v>
      </c>
    </row>
    <row r="140" spans="1:9" ht="20.100000000000001" customHeight="1" thickBot="1">
      <c r="A140" s="2966">
        <v>139</v>
      </c>
      <c r="B140" s="2981" t="s">
        <v>3655</v>
      </c>
      <c r="C140" s="2969">
        <v>1139</v>
      </c>
      <c r="D140" s="2970">
        <v>54.77</v>
      </c>
      <c r="E140" s="2975">
        <v>1</v>
      </c>
      <c r="F140" s="717" t="s">
        <v>3511</v>
      </c>
      <c r="G140" s="2975">
        <v>1</v>
      </c>
      <c r="H140" s="2971">
        <v>19669</v>
      </c>
      <c r="I140" s="2972">
        <v>108</v>
      </c>
    </row>
    <row r="141" spans="1:9" ht="20.100000000000001" customHeight="1" thickBot="1">
      <c r="A141" s="2966">
        <v>140</v>
      </c>
      <c r="B141" s="2981" t="s">
        <v>3656</v>
      </c>
      <c r="C141" s="2969">
        <v>1140</v>
      </c>
      <c r="D141" s="2970">
        <v>53.93</v>
      </c>
      <c r="E141" s="2975">
        <v>1</v>
      </c>
      <c r="F141" s="717" t="s">
        <v>3511</v>
      </c>
      <c r="G141" s="2975">
        <v>1</v>
      </c>
      <c r="H141" s="2971">
        <v>19669</v>
      </c>
      <c r="I141" s="2972">
        <v>106</v>
      </c>
    </row>
    <row r="142" spans="1:9" ht="20.100000000000001" customHeight="1" thickBot="1">
      <c r="A142" s="2966">
        <v>141</v>
      </c>
      <c r="B142" s="2981" t="s">
        <v>3657</v>
      </c>
      <c r="C142" s="2969">
        <v>1141</v>
      </c>
      <c r="D142" s="2970">
        <v>55.86</v>
      </c>
      <c r="E142" s="2975">
        <v>1</v>
      </c>
      <c r="F142" s="717" t="s">
        <v>3511</v>
      </c>
      <c r="G142" s="2975">
        <v>1</v>
      </c>
      <c r="H142" s="2971">
        <v>19669</v>
      </c>
      <c r="I142" s="2972">
        <v>110</v>
      </c>
    </row>
    <row r="143" spans="1:9" ht="20.100000000000001" customHeight="1" thickBot="1">
      <c r="A143" s="2966">
        <v>142</v>
      </c>
      <c r="B143" s="2981" t="s">
        <v>3658</v>
      </c>
      <c r="C143" s="2969">
        <v>1142</v>
      </c>
      <c r="D143" s="2970">
        <v>66.28</v>
      </c>
      <c r="E143" s="2975">
        <v>1</v>
      </c>
      <c r="F143" s="717" t="s">
        <v>3511</v>
      </c>
      <c r="G143" s="2975">
        <v>1</v>
      </c>
      <c r="H143" s="2971">
        <v>19669</v>
      </c>
      <c r="I143" s="2972">
        <v>130</v>
      </c>
    </row>
    <row r="144" spans="1:9" ht="20.100000000000001" customHeight="1" thickBot="1">
      <c r="A144" s="2966">
        <v>143</v>
      </c>
      <c r="B144" s="2981" t="s">
        <v>3659</v>
      </c>
      <c r="C144" s="2969">
        <v>1143</v>
      </c>
      <c r="D144" s="2970">
        <v>30</v>
      </c>
      <c r="E144" s="2975">
        <v>1</v>
      </c>
      <c r="F144" s="717" t="s">
        <v>3511</v>
      </c>
      <c r="G144" s="2975">
        <v>1</v>
      </c>
      <c r="H144" s="2971">
        <v>19669</v>
      </c>
      <c r="I144" s="2972">
        <v>59</v>
      </c>
    </row>
    <row r="145" spans="1:9" ht="20.100000000000001" customHeight="1" thickBot="1">
      <c r="A145" s="2966">
        <v>144</v>
      </c>
      <c r="B145" s="2981" t="s">
        <v>3660</v>
      </c>
      <c r="C145" s="2969">
        <v>1144</v>
      </c>
      <c r="D145" s="2970">
        <v>60.77</v>
      </c>
      <c r="E145" s="2975">
        <v>1</v>
      </c>
      <c r="F145" s="717" t="s">
        <v>3511</v>
      </c>
      <c r="G145" s="2975">
        <v>1</v>
      </c>
      <c r="H145" s="2971">
        <v>19669</v>
      </c>
      <c r="I145" s="2972">
        <v>120</v>
      </c>
    </row>
    <row r="146" spans="1:9" ht="20.100000000000001" customHeight="1" thickBot="1">
      <c r="A146" s="2966">
        <v>145</v>
      </c>
      <c r="B146" s="2981" t="s">
        <v>3661</v>
      </c>
      <c r="C146" s="2969">
        <v>1145</v>
      </c>
      <c r="D146" s="2970">
        <v>36.200000000000003</v>
      </c>
      <c r="E146" s="2975">
        <v>1</v>
      </c>
      <c r="F146" s="717" t="s">
        <v>3511</v>
      </c>
      <c r="G146" s="2975">
        <v>1</v>
      </c>
      <c r="H146" s="2971">
        <v>19669</v>
      </c>
      <c r="I146" s="2972">
        <v>71</v>
      </c>
    </row>
    <row r="147" spans="1:9" ht="20.100000000000001" customHeight="1" thickBot="1">
      <c r="A147" s="2966">
        <v>146</v>
      </c>
      <c r="B147" s="2981" t="s">
        <v>3662</v>
      </c>
      <c r="C147" s="2969">
        <v>1146</v>
      </c>
      <c r="D147" s="2970">
        <v>27.64</v>
      </c>
      <c r="E147" s="2975">
        <v>1</v>
      </c>
      <c r="F147" s="717" t="s">
        <v>3511</v>
      </c>
      <c r="G147" s="2975">
        <v>1</v>
      </c>
      <c r="H147" s="2971">
        <v>19669</v>
      </c>
      <c r="I147" s="2972">
        <v>54</v>
      </c>
    </row>
    <row r="148" spans="1:9" ht="20.100000000000001" customHeight="1" thickBot="1">
      <c r="A148" s="2966">
        <v>147</v>
      </c>
      <c r="B148" s="2981" t="s">
        <v>3663</v>
      </c>
      <c r="C148" s="2969">
        <v>1147</v>
      </c>
      <c r="D148" s="2970">
        <v>27.64</v>
      </c>
      <c r="E148" s="2975">
        <v>1</v>
      </c>
      <c r="F148" s="717" t="s">
        <v>3511</v>
      </c>
      <c r="G148" s="2975">
        <v>1</v>
      </c>
      <c r="H148" s="2971">
        <v>19669</v>
      </c>
      <c r="I148" s="2972">
        <v>54</v>
      </c>
    </row>
    <row r="149" spans="1:9" ht="20.100000000000001" customHeight="1" thickBot="1">
      <c r="A149" s="2966">
        <v>148</v>
      </c>
      <c r="B149" s="2981" t="s">
        <v>3664</v>
      </c>
      <c r="C149" s="2969">
        <v>1148</v>
      </c>
      <c r="D149" s="2970">
        <v>22.93</v>
      </c>
      <c r="E149" s="2975">
        <v>1</v>
      </c>
      <c r="F149" s="717" t="s">
        <v>3511</v>
      </c>
      <c r="G149" s="2975">
        <v>1</v>
      </c>
      <c r="H149" s="2971">
        <v>19669</v>
      </c>
      <c r="I149" s="2972">
        <v>45</v>
      </c>
    </row>
    <row r="150" spans="1:9" ht="20.100000000000001" customHeight="1" thickBot="1">
      <c r="A150" s="2966">
        <v>149</v>
      </c>
      <c r="B150" s="2981" t="s">
        <v>3665</v>
      </c>
      <c r="C150" s="2969">
        <v>1149</v>
      </c>
      <c r="D150" s="2970">
        <v>25.89</v>
      </c>
      <c r="E150" s="2975">
        <v>1</v>
      </c>
      <c r="F150" s="717" t="s">
        <v>3511</v>
      </c>
      <c r="G150" s="2975">
        <v>1</v>
      </c>
      <c r="H150" s="2971">
        <v>19669</v>
      </c>
      <c r="I150" s="2972">
        <v>51</v>
      </c>
    </row>
    <row r="151" spans="1:9" ht="20.100000000000001" customHeight="1" thickBot="1">
      <c r="A151" s="2966">
        <v>150</v>
      </c>
      <c r="B151" s="2981" t="s">
        <v>3666</v>
      </c>
      <c r="C151" s="2969">
        <v>1150</v>
      </c>
      <c r="D151" s="2970">
        <v>83.98</v>
      </c>
      <c r="E151" s="2975">
        <v>1</v>
      </c>
      <c r="F151" s="717" t="s">
        <v>3511</v>
      </c>
      <c r="G151" s="2975">
        <v>1</v>
      </c>
      <c r="H151" s="2971">
        <v>19669</v>
      </c>
      <c r="I151" s="2972">
        <v>165</v>
      </c>
    </row>
    <row r="152" spans="1:9" ht="20.100000000000001" customHeight="1" thickBot="1">
      <c r="A152" s="2966">
        <v>151</v>
      </c>
      <c r="B152" s="2981" t="s">
        <v>3667</v>
      </c>
      <c r="C152" s="2969">
        <v>1151</v>
      </c>
      <c r="D152" s="2970">
        <v>79.459999999999994</v>
      </c>
      <c r="E152" s="2975">
        <v>1</v>
      </c>
      <c r="F152" s="717" t="s">
        <v>3511</v>
      </c>
      <c r="G152" s="2975">
        <v>1</v>
      </c>
      <c r="H152" s="2971">
        <v>19669</v>
      </c>
      <c r="I152" s="2972">
        <v>156</v>
      </c>
    </row>
    <row r="153" spans="1:9" ht="20.100000000000001" customHeight="1" thickBot="1">
      <c r="A153" s="2966">
        <v>152</v>
      </c>
      <c r="B153" s="2981" t="s">
        <v>3668</v>
      </c>
      <c r="C153" s="2969">
        <v>1152</v>
      </c>
      <c r="D153" s="2970">
        <v>49.84</v>
      </c>
      <c r="E153" s="2975">
        <v>1</v>
      </c>
      <c r="F153" s="717" t="s">
        <v>3511</v>
      </c>
      <c r="G153" s="2975">
        <v>1</v>
      </c>
      <c r="H153" s="2971">
        <v>19669</v>
      </c>
      <c r="I153" s="2972">
        <v>98</v>
      </c>
    </row>
    <row r="154" spans="1:9" ht="20.100000000000001" customHeight="1" thickBot="1">
      <c r="A154" s="2966">
        <v>153</v>
      </c>
      <c r="B154" s="2981" t="s">
        <v>3669</v>
      </c>
      <c r="C154" s="2969">
        <v>1153</v>
      </c>
      <c r="D154" s="2970">
        <v>35.630000000000003</v>
      </c>
      <c r="E154" s="2975">
        <v>1</v>
      </c>
      <c r="F154" s="717" t="s">
        <v>3511</v>
      </c>
      <c r="G154" s="2975">
        <v>1</v>
      </c>
      <c r="H154" s="2971">
        <v>19669</v>
      </c>
      <c r="I154" s="2972">
        <v>70</v>
      </c>
    </row>
    <row r="155" spans="1:9" ht="20.100000000000001" customHeight="1" thickBot="1">
      <c r="A155" s="2966">
        <v>154</v>
      </c>
      <c r="B155" s="2981" t="s">
        <v>3670</v>
      </c>
      <c r="C155" s="2969">
        <v>1154</v>
      </c>
      <c r="D155" s="2970">
        <v>25.88</v>
      </c>
      <c r="E155" s="2975">
        <v>1</v>
      </c>
      <c r="F155" s="717" t="s">
        <v>3511</v>
      </c>
      <c r="G155" s="2975">
        <v>1</v>
      </c>
      <c r="H155" s="2971">
        <v>19669</v>
      </c>
      <c r="I155" s="2972">
        <v>51</v>
      </c>
    </row>
    <row r="156" spans="1:9" ht="20.100000000000001" customHeight="1" thickBot="1">
      <c r="A156" s="2966">
        <v>155</v>
      </c>
      <c r="B156" s="2981" t="s">
        <v>3671</v>
      </c>
      <c r="C156" s="2969">
        <v>1156</v>
      </c>
      <c r="D156" s="2970">
        <v>41.16</v>
      </c>
      <c r="E156" s="2975">
        <v>1</v>
      </c>
      <c r="F156" s="717" t="s">
        <v>3511</v>
      </c>
      <c r="G156" s="2975">
        <v>1</v>
      </c>
      <c r="H156" s="2971">
        <v>19669</v>
      </c>
      <c r="I156" s="2972">
        <v>81</v>
      </c>
    </row>
    <row r="157" spans="1:9" ht="20.100000000000001" customHeight="1" thickBot="1">
      <c r="A157" s="2966">
        <v>156</v>
      </c>
      <c r="B157" s="2981" t="s">
        <v>3672</v>
      </c>
      <c r="C157" s="2969">
        <v>1157</v>
      </c>
      <c r="D157" s="2970">
        <v>41.31</v>
      </c>
      <c r="E157" s="2975">
        <v>1</v>
      </c>
      <c r="F157" s="717" t="s">
        <v>3511</v>
      </c>
      <c r="G157" s="2975">
        <v>1</v>
      </c>
      <c r="H157" s="2971">
        <v>19669</v>
      </c>
      <c r="I157" s="2972">
        <v>81</v>
      </c>
    </row>
    <row r="158" spans="1:9" ht="20.100000000000001" customHeight="1" thickBot="1">
      <c r="A158" s="2966">
        <v>157</v>
      </c>
      <c r="B158" s="2981" t="s">
        <v>3673</v>
      </c>
      <c r="C158" s="2969">
        <v>1158</v>
      </c>
      <c r="D158" s="2970">
        <v>41.23</v>
      </c>
      <c r="E158" s="2975">
        <v>1</v>
      </c>
      <c r="F158" s="717" t="s">
        <v>3511</v>
      </c>
      <c r="G158" s="2975">
        <v>1</v>
      </c>
      <c r="H158" s="2971">
        <v>19669</v>
      </c>
      <c r="I158" s="2972">
        <v>81</v>
      </c>
    </row>
    <row r="159" spans="1:9" ht="20.100000000000001" customHeight="1" thickBot="1">
      <c r="A159" s="2966">
        <v>158</v>
      </c>
      <c r="B159" s="2981" t="s">
        <v>3674</v>
      </c>
      <c r="C159" s="2969">
        <v>1159</v>
      </c>
      <c r="D159" s="2970">
        <v>49.43</v>
      </c>
      <c r="E159" s="2975">
        <v>1</v>
      </c>
      <c r="F159" s="717" t="s">
        <v>3511</v>
      </c>
      <c r="G159" s="2975">
        <v>1</v>
      </c>
      <c r="H159" s="2971">
        <v>19669</v>
      </c>
      <c r="I159" s="2972">
        <v>97</v>
      </c>
    </row>
    <row r="160" spans="1:9" ht="20.100000000000001" customHeight="1" thickBot="1">
      <c r="A160" s="2966">
        <v>159</v>
      </c>
      <c r="B160" s="2981" t="s">
        <v>3675</v>
      </c>
      <c r="C160" s="2969">
        <v>1160</v>
      </c>
      <c r="D160" s="2970">
        <v>60.76</v>
      </c>
      <c r="E160" s="2975">
        <v>1</v>
      </c>
      <c r="F160" s="717" t="s">
        <v>3511</v>
      </c>
      <c r="G160" s="2975">
        <v>1</v>
      </c>
      <c r="H160" s="2971">
        <v>19669</v>
      </c>
      <c r="I160" s="2972">
        <v>120</v>
      </c>
    </row>
    <row r="161" spans="1:9" ht="20.100000000000001" customHeight="1" thickBot="1">
      <c r="A161" s="2966">
        <v>160</v>
      </c>
      <c r="B161" s="2981" t="s">
        <v>3676</v>
      </c>
      <c r="C161" s="2969">
        <v>1161</v>
      </c>
      <c r="D161" s="2970">
        <v>33.950000000000003</v>
      </c>
      <c r="E161" s="2975">
        <v>1</v>
      </c>
      <c r="F161" s="717" t="s">
        <v>3511</v>
      </c>
      <c r="G161" s="2975">
        <v>1</v>
      </c>
      <c r="H161" s="2971">
        <v>19669</v>
      </c>
      <c r="I161" s="2972">
        <v>67</v>
      </c>
    </row>
    <row r="162" spans="1:9" ht="20.100000000000001" customHeight="1" thickBot="1">
      <c r="A162" s="2966">
        <v>161</v>
      </c>
      <c r="B162" s="2981" t="s">
        <v>3677</v>
      </c>
      <c r="C162" s="2969">
        <v>1162</v>
      </c>
      <c r="D162" s="2970">
        <v>24.61</v>
      </c>
      <c r="E162" s="2975">
        <v>1</v>
      </c>
      <c r="F162" s="717" t="s">
        <v>3511</v>
      </c>
      <c r="G162" s="2975">
        <v>1</v>
      </c>
      <c r="H162" s="2971">
        <v>19669</v>
      </c>
      <c r="I162" s="2972">
        <v>48</v>
      </c>
    </row>
    <row r="163" spans="1:9" ht="20.100000000000001" customHeight="1" thickBot="1">
      <c r="A163" s="2966">
        <v>162</v>
      </c>
      <c r="B163" s="2981" t="s">
        <v>3678</v>
      </c>
      <c r="C163" s="2969">
        <v>1163</v>
      </c>
      <c r="D163" s="2970">
        <v>38.520000000000003</v>
      </c>
      <c r="E163" s="2975">
        <v>1</v>
      </c>
      <c r="F163" s="717" t="s">
        <v>3511</v>
      </c>
      <c r="G163" s="2975">
        <v>1</v>
      </c>
      <c r="H163" s="2971">
        <v>19669</v>
      </c>
      <c r="I163" s="2972">
        <v>76</v>
      </c>
    </row>
    <row r="164" spans="1:9" ht="20.100000000000001" customHeight="1" thickBot="1">
      <c r="A164" s="2966">
        <v>163</v>
      </c>
      <c r="B164" s="2981" t="s">
        <v>3679</v>
      </c>
      <c r="C164" s="2969">
        <v>1164</v>
      </c>
      <c r="D164" s="2970">
        <v>50.36</v>
      </c>
      <c r="E164" s="2975">
        <v>1</v>
      </c>
      <c r="F164" s="717" t="s">
        <v>3511</v>
      </c>
      <c r="G164" s="2975">
        <v>1</v>
      </c>
      <c r="H164" s="2971">
        <v>19669</v>
      </c>
      <c r="I164" s="2972">
        <v>99</v>
      </c>
    </row>
    <row r="165" spans="1:9" ht="20.100000000000001" customHeight="1" thickBot="1">
      <c r="A165" s="2966">
        <v>164</v>
      </c>
      <c r="B165" s="2981" t="s">
        <v>3680</v>
      </c>
      <c r="C165" s="2969">
        <v>201</v>
      </c>
      <c r="D165" s="2970">
        <v>170.7</v>
      </c>
      <c r="E165" s="2975">
        <v>0.99</v>
      </c>
      <c r="F165" s="717" t="s">
        <v>3512</v>
      </c>
      <c r="G165" s="2975">
        <v>0.7</v>
      </c>
      <c r="H165" s="2971">
        <v>13631</v>
      </c>
      <c r="I165" s="2972">
        <v>233</v>
      </c>
    </row>
    <row r="166" spans="1:9" ht="20.100000000000001" customHeight="1" thickBot="1">
      <c r="A166" s="2966">
        <v>165</v>
      </c>
      <c r="B166" s="2981" t="s">
        <v>3681</v>
      </c>
      <c r="C166" s="2969">
        <v>202</v>
      </c>
      <c r="D166" s="2970">
        <v>33.369999999999997</v>
      </c>
      <c r="E166" s="2975">
        <v>1</v>
      </c>
      <c r="F166" s="717" t="s">
        <v>3512</v>
      </c>
      <c r="G166" s="2975">
        <v>0.7</v>
      </c>
      <c r="H166" s="2971">
        <v>13768</v>
      </c>
      <c r="I166" s="2972">
        <v>46</v>
      </c>
    </row>
    <row r="167" spans="1:9" ht="20.100000000000001" customHeight="1" thickBot="1">
      <c r="A167" s="2966">
        <v>166</v>
      </c>
      <c r="B167" s="2981" t="s">
        <v>3682</v>
      </c>
      <c r="C167" s="2969">
        <v>204</v>
      </c>
      <c r="D167" s="2970">
        <v>48.22</v>
      </c>
      <c r="E167" s="2975">
        <v>1</v>
      </c>
      <c r="F167" s="717" t="s">
        <v>3512</v>
      </c>
      <c r="G167" s="2975">
        <v>0.7</v>
      </c>
      <c r="H167" s="2971">
        <v>13768</v>
      </c>
      <c r="I167" s="2972">
        <v>66</v>
      </c>
    </row>
    <row r="168" spans="1:9" ht="20.100000000000001" customHeight="1" thickBot="1">
      <c r="A168" s="2966">
        <v>167</v>
      </c>
      <c r="B168" s="2981" t="s">
        <v>3683</v>
      </c>
      <c r="C168" s="2969">
        <v>205</v>
      </c>
      <c r="D168" s="2970">
        <v>44.04</v>
      </c>
      <c r="E168" s="2975">
        <v>1</v>
      </c>
      <c r="F168" s="717" t="s">
        <v>3512</v>
      </c>
      <c r="G168" s="2975">
        <v>0.7</v>
      </c>
      <c r="H168" s="2971">
        <v>13768</v>
      </c>
      <c r="I168" s="2972">
        <v>61</v>
      </c>
    </row>
    <row r="169" spans="1:9" ht="20.100000000000001" customHeight="1" thickBot="1">
      <c r="A169" s="2966">
        <v>168</v>
      </c>
      <c r="B169" s="2981" t="s">
        <v>3684</v>
      </c>
      <c r="C169" s="2969">
        <v>207</v>
      </c>
      <c r="D169" s="2970">
        <v>41.41</v>
      </c>
      <c r="E169" s="2975">
        <v>1</v>
      </c>
      <c r="F169" s="717" t="s">
        <v>3512</v>
      </c>
      <c r="G169" s="2975">
        <v>0.7</v>
      </c>
      <c r="H169" s="2971">
        <v>13768</v>
      </c>
      <c r="I169" s="2972">
        <v>57</v>
      </c>
    </row>
    <row r="170" spans="1:9" ht="20.100000000000001" customHeight="1" thickBot="1">
      <c r="A170" s="2966">
        <v>169</v>
      </c>
      <c r="B170" s="2981" t="s">
        <v>3685</v>
      </c>
      <c r="C170" s="2969">
        <v>208</v>
      </c>
      <c r="D170" s="2970">
        <v>38.83</v>
      </c>
      <c r="E170" s="2975">
        <v>1</v>
      </c>
      <c r="F170" s="717" t="s">
        <v>3512</v>
      </c>
      <c r="G170" s="2975">
        <v>0.7</v>
      </c>
      <c r="H170" s="2971">
        <v>13768</v>
      </c>
      <c r="I170" s="2972">
        <v>53</v>
      </c>
    </row>
    <row r="171" spans="1:9" ht="20.100000000000001" customHeight="1" thickBot="1">
      <c r="A171" s="2966">
        <v>170</v>
      </c>
      <c r="B171" s="2981" t="s">
        <v>3686</v>
      </c>
      <c r="C171" s="2969">
        <v>209</v>
      </c>
      <c r="D171" s="2970">
        <v>43.68</v>
      </c>
      <c r="E171" s="2975">
        <v>1</v>
      </c>
      <c r="F171" s="717" t="s">
        <v>3512</v>
      </c>
      <c r="G171" s="2975">
        <v>0.7</v>
      </c>
      <c r="H171" s="2971">
        <v>13768</v>
      </c>
      <c r="I171" s="2972">
        <v>60</v>
      </c>
    </row>
    <row r="172" spans="1:9" ht="20.100000000000001" customHeight="1" thickBot="1">
      <c r="A172" s="2966">
        <v>171</v>
      </c>
      <c r="B172" s="2981" t="s">
        <v>3687</v>
      </c>
      <c r="C172" s="2969">
        <v>210</v>
      </c>
      <c r="D172" s="2970">
        <v>54.28</v>
      </c>
      <c r="E172" s="2975">
        <v>1</v>
      </c>
      <c r="F172" s="717" t="s">
        <v>3512</v>
      </c>
      <c r="G172" s="2975">
        <v>0.7</v>
      </c>
      <c r="H172" s="2971">
        <v>13768</v>
      </c>
      <c r="I172" s="2972">
        <v>75</v>
      </c>
    </row>
    <row r="173" spans="1:9" ht="20.100000000000001" customHeight="1" thickBot="1">
      <c r="A173" s="2966">
        <v>172</v>
      </c>
      <c r="B173" s="2981" t="s">
        <v>3688</v>
      </c>
      <c r="C173" s="2969">
        <v>211</v>
      </c>
      <c r="D173" s="2970">
        <v>71.66</v>
      </c>
      <c r="E173" s="2975">
        <v>1</v>
      </c>
      <c r="F173" s="717" t="s">
        <v>3512</v>
      </c>
      <c r="G173" s="2975">
        <v>0.7</v>
      </c>
      <c r="H173" s="2971">
        <v>13768</v>
      </c>
      <c r="I173" s="2972">
        <v>99</v>
      </c>
    </row>
    <row r="174" spans="1:9" ht="20.100000000000001" customHeight="1" thickBot="1">
      <c r="A174" s="2966">
        <v>173</v>
      </c>
      <c r="B174" s="2981" t="s">
        <v>3689</v>
      </c>
      <c r="C174" s="2969">
        <v>212</v>
      </c>
      <c r="D174" s="2970">
        <v>33.22</v>
      </c>
      <c r="E174" s="2975">
        <v>1</v>
      </c>
      <c r="F174" s="717" t="s">
        <v>3512</v>
      </c>
      <c r="G174" s="2975">
        <v>0.7</v>
      </c>
      <c r="H174" s="2971">
        <v>13768</v>
      </c>
      <c r="I174" s="2972">
        <v>46</v>
      </c>
    </row>
    <row r="175" spans="1:9" ht="20.100000000000001" customHeight="1" thickBot="1">
      <c r="A175" s="2966">
        <v>174</v>
      </c>
      <c r="B175" s="2981" t="s">
        <v>3690</v>
      </c>
      <c r="C175" s="2969">
        <v>213</v>
      </c>
      <c r="D175" s="2970">
        <v>41.57</v>
      </c>
      <c r="E175" s="2975">
        <v>1</v>
      </c>
      <c r="F175" s="717" t="s">
        <v>3512</v>
      </c>
      <c r="G175" s="2975">
        <v>0.7</v>
      </c>
      <c r="H175" s="2971">
        <v>13768</v>
      </c>
      <c r="I175" s="2972">
        <v>57</v>
      </c>
    </row>
    <row r="176" spans="1:9" ht="20.100000000000001" customHeight="1" thickBot="1">
      <c r="A176" s="2966">
        <v>175</v>
      </c>
      <c r="B176" s="2981" t="s">
        <v>3691</v>
      </c>
      <c r="C176" s="2969">
        <v>214</v>
      </c>
      <c r="D176" s="2970">
        <v>79.3</v>
      </c>
      <c r="E176" s="2975">
        <v>1</v>
      </c>
      <c r="F176" s="717" t="s">
        <v>3512</v>
      </c>
      <c r="G176" s="2975">
        <v>0.7</v>
      </c>
      <c r="H176" s="2971">
        <v>13768</v>
      </c>
      <c r="I176" s="2972">
        <v>109</v>
      </c>
    </row>
    <row r="177" spans="1:9" ht="20.100000000000001" customHeight="1" thickBot="1">
      <c r="A177" s="2966">
        <v>176</v>
      </c>
      <c r="B177" s="2981" t="s">
        <v>3692</v>
      </c>
      <c r="C177" s="2969">
        <v>215</v>
      </c>
      <c r="D177" s="2970">
        <v>103.77</v>
      </c>
      <c r="E177" s="2975">
        <v>0.99</v>
      </c>
      <c r="F177" s="717" t="s">
        <v>3512</v>
      </c>
      <c r="G177" s="2975">
        <v>0.7</v>
      </c>
      <c r="H177" s="2971">
        <v>13631</v>
      </c>
      <c r="I177" s="2972">
        <v>141</v>
      </c>
    </row>
    <row r="178" spans="1:9" ht="20.100000000000001" customHeight="1" thickBot="1">
      <c r="A178" s="2966">
        <v>177</v>
      </c>
      <c r="B178" s="2981" t="s">
        <v>3693</v>
      </c>
      <c r="C178" s="2969">
        <v>216</v>
      </c>
      <c r="D178" s="2970">
        <v>590.15</v>
      </c>
      <c r="E178" s="2975">
        <v>0.96</v>
      </c>
      <c r="F178" s="717" t="s">
        <v>3512</v>
      </c>
      <c r="G178" s="2975">
        <v>0.7</v>
      </c>
      <c r="H178" s="2971">
        <v>13218</v>
      </c>
      <c r="I178" s="2972">
        <v>780</v>
      </c>
    </row>
    <row r="179" spans="1:9" ht="20.100000000000001" customHeight="1" thickBot="1">
      <c r="A179" s="2966">
        <v>178</v>
      </c>
      <c r="B179" s="2981" t="s">
        <v>3694</v>
      </c>
      <c r="C179" s="2969">
        <v>217</v>
      </c>
      <c r="D179" s="2970">
        <v>48.51</v>
      </c>
      <c r="E179" s="2975">
        <v>1</v>
      </c>
      <c r="F179" s="717" t="s">
        <v>3512</v>
      </c>
      <c r="G179" s="2975">
        <v>0.7</v>
      </c>
      <c r="H179" s="2971">
        <v>13768</v>
      </c>
      <c r="I179" s="2972">
        <v>67</v>
      </c>
    </row>
    <row r="180" spans="1:9" ht="20.100000000000001" customHeight="1" thickBot="1">
      <c r="A180" s="2966">
        <v>179</v>
      </c>
      <c r="B180" s="2981" t="s">
        <v>3695</v>
      </c>
      <c r="C180" s="2969">
        <v>218</v>
      </c>
      <c r="D180" s="2970">
        <v>53.94</v>
      </c>
      <c r="E180" s="2975">
        <v>1</v>
      </c>
      <c r="F180" s="717" t="s">
        <v>3512</v>
      </c>
      <c r="G180" s="2975">
        <v>0.7</v>
      </c>
      <c r="H180" s="2971">
        <v>13768</v>
      </c>
      <c r="I180" s="2972">
        <v>74</v>
      </c>
    </row>
    <row r="181" spans="1:9" ht="20.100000000000001" customHeight="1" thickBot="1">
      <c r="A181" s="2966">
        <v>180</v>
      </c>
      <c r="B181" s="2981" t="s">
        <v>3696</v>
      </c>
      <c r="C181" s="2969">
        <v>219</v>
      </c>
      <c r="D181" s="2970">
        <v>58.1</v>
      </c>
      <c r="E181" s="2975">
        <v>1</v>
      </c>
      <c r="F181" s="717" t="s">
        <v>3512</v>
      </c>
      <c r="G181" s="2975">
        <v>0.7</v>
      </c>
      <c r="H181" s="2971">
        <v>13768</v>
      </c>
      <c r="I181" s="2972">
        <v>80</v>
      </c>
    </row>
    <row r="182" spans="1:9" ht="20.100000000000001" customHeight="1" thickBot="1">
      <c r="A182" s="2966">
        <v>181</v>
      </c>
      <c r="B182" s="2981" t="s">
        <v>3697</v>
      </c>
      <c r="C182" s="2969">
        <v>220</v>
      </c>
      <c r="D182" s="2970">
        <v>58.1</v>
      </c>
      <c r="E182" s="2975">
        <v>1</v>
      </c>
      <c r="F182" s="717" t="s">
        <v>3512</v>
      </c>
      <c r="G182" s="2975">
        <v>0.7</v>
      </c>
      <c r="H182" s="2971">
        <v>13768</v>
      </c>
      <c r="I182" s="2972">
        <v>80</v>
      </c>
    </row>
    <row r="183" spans="1:9" ht="20.100000000000001" customHeight="1" thickBot="1">
      <c r="A183" s="2966">
        <v>182</v>
      </c>
      <c r="B183" s="2981" t="s">
        <v>3698</v>
      </c>
      <c r="C183" s="2969">
        <v>221</v>
      </c>
      <c r="D183" s="2970">
        <v>60.45</v>
      </c>
      <c r="E183" s="2975">
        <v>1</v>
      </c>
      <c r="F183" s="717" t="s">
        <v>3512</v>
      </c>
      <c r="G183" s="2975">
        <v>0.7</v>
      </c>
      <c r="H183" s="2971">
        <v>13768</v>
      </c>
      <c r="I183" s="2972">
        <v>83</v>
      </c>
    </row>
    <row r="184" spans="1:9" ht="20.100000000000001" customHeight="1" thickBot="1">
      <c r="A184" s="2966">
        <v>183</v>
      </c>
      <c r="B184" s="2981" t="s">
        <v>3699</v>
      </c>
      <c r="C184" s="2969">
        <v>222</v>
      </c>
      <c r="D184" s="2970">
        <v>44.28</v>
      </c>
      <c r="E184" s="2975">
        <v>1</v>
      </c>
      <c r="F184" s="717" t="s">
        <v>3512</v>
      </c>
      <c r="G184" s="2975">
        <v>0.7</v>
      </c>
      <c r="H184" s="2971">
        <v>13768</v>
      </c>
      <c r="I184" s="2972">
        <v>61</v>
      </c>
    </row>
    <row r="185" spans="1:9" ht="20.100000000000001" customHeight="1" thickBot="1">
      <c r="A185" s="2966">
        <v>184</v>
      </c>
      <c r="B185" s="2981" t="s">
        <v>3700</v>
      </c>
      <c r="C185" s="2969">
        <v>223</v>
      </c>
      <c r="D185" s="2970">
        <v>64.78</v>
      </c>
      <c r="E185" s="2975">
        <v>1</v>
      </c>
      <c r="F185" s="717" t="s">
        <v>3512</v>
      </c>
      <c r="G185" s="2975">
        <v>0.7</v>
      </c>
      <c r="H185" s="2971">
        <v>13768</v>
      </c>
      <c r="I185" s="2972">
        <v>89</v>
      </c>
    </row>
    <row r="186" spans="1:9" ht="20.100000000000001" customHeight="1" thickBot="1">
      <c r="A186" s="2966">
        <v>185</v>
      </c>
      <c r="B186" s="2981" t="s">
        <v>3701</v>
      </c>
      <c r="C186" s="2969">
        <v>224</v>
      </c>
      <c r="D186" s="2970">
        <v>65.41</v>
      </c>
      <c r="E186" s="2975">
        <v>1</v>
      </c>
      <c r="F186" s="717" t="s">
        <v>3512</v>
      </c>
      <c r="G186" s="2975">
        <v>0.7</v>
      </c>
      <c r="H186" s="2971">
        <v>13768</v>
      </c>
      <c r="I186" s="2972">
        <v>90</v>
      </c>
    </row>
    <row r="187" spans="1:9" ht="20.100000000000001" customHeight="1" thickBot="1">
      <c r="A187" s="2966">
        <v>186</v>
      </c>
      <c r="B187" s="2981" t="s">
        <v>3702</v>
      </c>
      <c r="C187" s="2969">
        <v>225</v>
      </c>
      <c r="D187" s="2970">
        <v>65.41</v>
      </c>
      <c r="E187" s="2975">
        <v>1</v>
      </c>
      <c r="F187" s="717" t="s">
        <v>3512</v>
      </c>
      <c r="G187" s="2975">
        <v>0.7</v>
      </c>
      <c r="H187" s="2971">
        <v>13768</v>
      </c>
      <c r="I187" s="2972">
        <v>90</v>
      </c>
    </row>
    <row r="188" spans="1:9" ht="20.100000000000001" customHeight="1" thickBot="1">
      <c r="A188" s="2966">
        <v>187</v>
      </c>
      <c r="B188" s="2981" t="s">
        <v>3703</v>
      </c>
      <c r="C188" s="2969">
        <v>226</v>
      </c>
      <c r="D188" s="2970">
        <v>65.41</v>
      </c>
      <c r="E188" s="2975">
        <v>1</v>
      </c>
      <c r="F188" s="717" t="s">
        <v>3512</v>
      </c>
      <c r="G188" s="2975">
        <v>0.7</v>
      </c>
      <c r="H188" s="2971">
        <v>13768</v>
      </c>
      <c r="I188" s="2972">
        <v>90</v>
      </c>
    </row>
    <row r="189" spans="1:9" ht="20.100000000000001" customHeight="1" thickBot="1">
      <c r="A189" s="2966">
        <v>188</v>
      </c>
      <c r="B189" s="2981" t="s">
        <v>3704</v>
      </c>
      <c r="C189" s="2969">
        <v>227</v>
      </c>
      <c r="D189" s="2970">
        <v>48.19</v>
      </c>
      <c r="E189" s="2975">
        <v>1</v>
      </c>
      <c r="F189" s="717" t="s">
        <v>3512</v>
      </c>
      <c r="G189" s="2975">
        <v>0.7</v>
      </c>
      <c r="H189" s="2971">
        <v>13768</v>
      </c>
      <c r="I189" s="2972">
        <v>66</v>
      </c>
    </row>
    <row r="190" spans="1:9" ht="20.100000000000001" customHeight="1" thickBot="1">
      <c r="A190" s="2966">
        <v>189</v>
      </c>
      <c r="B190" s="2981" t="s">
        <v>3705</v>
      </c>
      <c r="C190" s="2969">
        <v>228</v>
      </c>
      <c r="D190" s="2970">
        <v>57.85</v>
      </c>
      <c r="E190" s="2975">
        <v>1</v>
      </c>
      <c r="F190" s="717" t="s">
        <v>3512</v>
      </c>
      <c r="G190" s="2975">
        <v>0.7</v>
      </c>
      <c r="H190" s="2971">
        <v>13768</v>
      </c>
      <c r="I190" s="2972">
        <v>80</v>
      </c>
    </row>
    <row r="191" spans="1:9" ht="20.100000000000001" customHeight="1" thickBot="1">
      <c r="A191" s="2966">
        <v>190</v>
      </c>
      <c r="B191" s="2980" t="s">
        <v>3706</v>
      </c>
      <c r="C191" s="2969">
        <v>230</v>
      </c>
      <c r="D191" s="2970">
        <v>60.01</v>
      </c>
      <c r="E191" s="2975">
        <v>1</v>
      </c>
      <c r="F191" s="717" t="s">
        <v>3512</v>
      </c>
      <c r="G191" s="2975">
        <v>0.7</v>
      </c>
      <c r="H191" s="2971">
        <v>13768</v>
      </c>
      <c r="I191" s="2972">
        <v>83</v>
      </c>
    </row>
    <row r="192" spans="1:9" ht="20.100000000000001" customHeight="1" thickBot="1">
      <c r="A192" s="2966">
        <v>191</v>
      </c>
      <c r="B192" s="2981" t="s">
        <v>3707</v>
      </c>
      <c r="C192" s="2969">
        <v>231</v>
      </c>
      <c r="D192" s="2970">
        <v>41.91</v>
      </c>
      <c r="E192" s="2975">
        <v>1</v>
      </c>
      <c r="F192" s="717" t="s">
        <v>3512</v>
      </c>
      <c r="G192" s="2975">
        <v>0.7</v>
      </c>
      <c r="H192" s="2971">
        <v>13768</v>
      </c>
      <c r="I192" s="2972">
        <v>58</v>
      </c>
    </row>
    <row r="193" spans="1:9" ht="20.100000000000001" customHeight="1" thickBot="1">
      <c r="A193" s="2966">
        <v>192</v>
      </c>
      <c r="B193" s="2981" t="s">
        <v>3708</v>
      </c>
      <c r="C193" s="2969">
        <v>234</v>
      </c>
      <c r="D193" s="2970">
        <v>37.35</v>
      </c>
      <c r="E193" s="2975">
        <v>1</v>
      </c>
      <c r="F193" s="717" t="s">
        <v>3512</v>
      </c>
      <c r="G193" s="2975">
        <v>0.7</v>
      </c>
      <c r="H193" s="2971">
        <v>13768</v>
      </c>
      <c r="I193" s="2972">
        <v>51</v>
      </c>
    </row>
    <row r="194" spans="1:9" ht="20.100000000000001" customHeight="1" thickBot="1">
      <c r="A194" s="2966">
        <v>193</v>
      </c>
      <c r="B194" s="2981" t="s">
        <v>3709</v>
      </c>
      <c r="C194" s="2969">
        <v>235</v>
      </c>
      <c r="D194" s="2970">
        <v>43.43</v>
      </c>
      <c r="E194" s="2975">
        <v>1</v>
      </c>
      <c r="F194" s="717" t="s">
        <v>3512</v>
      </c>
      <c r="G194" s="2975">
        <v>0.7</v>
      </c>
      <c r="H194" s="2971">
        <v>13768</v>
      </c>
      <c r="I194" s="2972">
        <v>60</v>
      </c>
    </row>
    <row r="195" spans="1:9" ht="20.100000000000001" customHeight="1" thickBot="1">
      <c r="A195" s="2966">
        <v>194</v>
      </c>
      <c r="B195" s="2981" t="s">
        <v>3710</v>
      </c>
      <c r="C195" s="2969">
        <v>237</v>
      </c>
      <c r="D195" s="2970">
        <v>58.69</v>
      </c>
      <c r="E195" s="2975">
        <v>1</v>
      </c>
      <c r="F195" s="717" t="s">
        <v>3512</v>
      </c>
      <c r="G195" s="2975">
        <v>0.7</v>
      </c>
      <c r="H195" s="2971">
        <v>13768</v>
      </c>
      <c r="I195" s="2972">
        <v>81</v>
      </c>
    </row>
    <row r="196" spans="1:9" ht="20.100000000000001" customHeight="1" thickBot="1">
      <c r="A196" s="2966">
        <v>195</v>
      </c>
      <c r="B196" s="2981" t="s">
        <v>3711</v>
      </c>
      <c r="C196" s="2969">
        <v>238</v>
      </c>
      <c r="D196" s="2970">
        <v>50.69</v>
      </c>
      <c r="E196" s="2975">
        <v>1</v>
      </c>
      <c r="F196" s="717" t="s">
        <v>3512</v>
      </c>
      <c r="G196" s="2975">
        <v>0.7</v>
      </c>
      <c r="H196" s="2971">
        <v>13768</v>
      </c>
      <c r="I196" s="2972">
        <v>70</v>
      </c>
    </row>
    <row r="197" spans="1:9" ht="20.100000000000001" customHeight="1" thickBot="1">
      <c r="A197" s="2966">
        <v>196</v>
      </c>
      <c r="B197" s="2981" t="s">
        <v>3712</v>
      </c>
      <c r="C197" s="2969">
        <v>239</v>
      </c>
      <c r="D197" s="2970">
        <v>70.2</v>
      </c>
      <c r="E197" s="2975">
        <v>1</v>
      </c>
      <c r="F197" s="717" t="s">
        <v>3512</v>
      </c>
      <c r="G197" s="2975">
        <v>0.7</v>
      </c>
      <c r="H197" s="2971">
        <v>13768</v>
      </c>
      <c r="I197" s="2972">
        <v>97</v>
      </c>
    </row>
    <row r="198" spans="1:9" ht="20.100000000000001" customHeight="1" thickBot="1">
      <c r="A198" s="2966">
        <v>197</v>
      </c>
      <c r="B198" s="2981" t="s">
        <v>3713</v>
      </c>
      <c r="C198" s="2969">
        <v>240</v>
      </c>
      <c r="D198" s="2970">
        <v>50.07</v>
      </c>
      <c r="E198" s="2975">
        <v>1</v>
      </c>
      <c r="F198" s="717" t="s">
        <v>3512</v>
      </c>
      <c r="G198" s="2975">
        <v>0.7</v>
      </c>
      <c r="H198" s="2971">
        <v>13768</v>
      </c>
      <c r="I198" s="2972">
        <v>69</v>
      </c>
    </row>
    <row r="199" spans="1:9" ht="20.100000000000001" customHeight="1" thickBot="1">
      <c r="A199" s="2966">
        <v>198</v>
      </c>
      <c r="B199" s="2981" t="s">
        <v>3714</v>
      </c>
      <c r="C199" s="2969">
        <v>241</v>
      </c>
      <c r="D199" s="2970">
        <v>88.64</v>
      </c>
      <c r="E199" s="2975">
        <v>1</v>
      </c>
      <c r="F199" s="717" t="s">
        <v>3512</v>
      </c>
      <c r="G199" s="2975">
        <v>0.7</v>
      </c>
      <c r="H199" s="2971">
        <v>13768</v>
      </c>
      <c r="I199" s="2972">
        <v>122</v>
      </c>
    </row>
    <row r="200" spans="1:9" ht="20.100000000000001" customHeight="1" thickBot="1">
      <c r="A200" s="2966">
        <v>199</v>
      </c>
      <c r="B200" s="2981" t="s">
        <v>3715</v>
      </c>
      <c r="C200" s="2969">
        <v>242</v>
      </c>
      <c r="D200" s="2970">
        <v>63.08</v>
      </c>
      <c r="E200" s="2975">
        <v>1</v>
      </c>
      <c r="F200" s="717" t="s">
        <v>3512</v>
      </c>
      <c r="G200" s="2975">
        <v>0.7</v>
      </c>
      <c r="H200" s="2971">
        <v>13768</v>
      </c>
      <c r="I200" s="2972">
        <v>87</v>
      </c>
    </row>
    <row r="201" spans="1:9" ht="20.100000000000001" customHeight="1" thickBot="1">
      <c r="A201" s="2966">
        <v>200</v>
      </c>
      <c r="B201" s="2981" t="s">
        <v>3716</v>
      </c>
      <c r="C201" s="2969">
        <v>243</v>
      </c>
      <c r="D201" s="2970">
        <v>63.59</v>
      </c>
      <c r="E201" s="2975">
        <v>1</v>
      </c>
      <c r="F201" s="717" t="s">
        <v>3512</v>
      </c>
      <c r="G201" s="2975">
        <v>0.7</v>
      </c>
      <c r="H201" s="2971">
        <v>13768</v>
      </c>
      <c r="I201" s="2972">
        <v>88</v>
      </c>
    </row>
    <row r="202" spans="1:9" ht="20.100000000000001" customHeight="1" thickBot="1">
      <c r="A202" s="2966">
        <v>201</v>
      </c>
      <c r="B202" s="2981" t="s">
        <v>3717</v>
      </c>
      <c r="C202" s="2969">
        <v>244</v>
      </c>
      <c r="D202" s="2970">
        <v>65.55</v>
      </c>
      <c r="E202" s="2975">
        <v>1</v>
      </c>
      <c r="F202" s="717" t="s">
        <v>3512</v>
      </c>
      <c r="G202" s="2975">
        <v>0.7</v>
      </c>
      <c r="H202" s="2971">
        <v>13768</v>
      </c>
      <c r="I202" s="2972">
        <v>90</v>
      </c>
    </row>
    <row r="203" spans="1:9" ht="20.100000000000001" customHeight="1" thickBot="1">
      <c r="A203" s="2966">
        <v>202</v>
      </c>
      <c r="B203" s="2981" t="s">
        <v>3718</v>
      </c>
      <c r="C203" s="2969">
        <v>245</v>
      </c>
      <c r="D203" s="2970">
        <v>65.84</v>
      </c>
      <c r="E203" s="2975">
        <v>1</v>
      </c>
      <c r="F203" s="717" t="s">
        <v>3512</v>
      </c>
      <c r="G203" s="2975">
        <v>0.7</v>
      </c>
      <c r="H203" s="2971">
        <v>13768</v>
      </c>
      <c r="I203" s="2972">
        <v>91</v>
      </c>
    </row>
    <row r="204" spans="1:9" ht="20.100000000000001" customHeight="1" thickBot="1">
      <c r="A204" s="2966">
        <v>203</v>
      </c>
      <c r="B204" s="2981" t="s">
        <v>3719</v>
      </c>
      <c r="C204" s="2969">
        <v>246</v>
      </c>
      <c r="D204" s="2970">
        <v>33.94</v>
      </c>
      <c r="E204" s="2975">
        <v>1</v>
      </c>
      <c r="F204" s="717" t="s">
        <v>3512</v>
      </c>
      <c r="G204" s="2975">
        <v>0.7</v>
      </c>
      <c r="H204" s="2971">
        <v>13768</v>
      </c>
      <c r="I204" s="2972">
        <v>47</v>
      </c>
    </row>
    <row r="205" spans="1:9" ht="20.100000000000001" customHeight="1" thickBot="1">
      <c r="A205" s="2966">
        <v>204</v>
      </c>
      <c r="B205" s="2981" t="s">
        <v>3720</v>
      </c>
      <c r="C205" s="2969">
        <v>247</v>
      </c>
      <c r="D205" s="2970">
        <v>76.88</v>
      </c>
      <c r="E205" s="2975">
        <v>1</v>
      </c>
      <c r="F205" s="717" t="s">
        <v>3512</v>
      </c>
      <c r="G205" s="2975">
        <v>0.7</v>
      </c>
      <c r="H205" s="2971">
        <v>13768</v>
      </c>
      <c r="I205" s="2972">
        <v>106</v>
      </c>
    </row>
    <row r="206" spans="1:9" ht="20.100000000000001" customHeight="1" thickBot="1">
      <c r="A206" s="2966">
        <v>205</v>
      </c>
      <c r="B206" s="2981" t="s">
        <v>3721</v>
      </c>
      <c r="C206" s="2969">
        <v>248</v>
      </c>
      <c r="D206" s="2970">
        <v>81.63</v>
      </c>
      <c r="E206" s="2975">
        <v>1</v>
      </c>
      <c r="F206" s="717" t="s">
        <v>3512</v>
      </c>
      <c r="G206" s="2975">
        <v>0.7</v>
      </c>
      <c r="H206" s="2971">
        <v>13768</v>
      </c>
      <c r="I206" s="2972">
        <v>112</v>
      </c>
    </row>
    <row r="207" spans="1:9" ht="20.100000000000001" customHeight="1" thickBot="1">
      <c r="A207" s="2966">
        <v>206</v>
      </c>
      <c r="B207" s="2981" t="s">
        <v>3722</v>
      </c>
      <c r="C207" s="2969">
        <v>249</v>
      </c>
      <c r="D207" s="2970">
        <v>87</v>
      </c>
      <c r="E207" s="2975">
        <v>1</v>
      </c>
      <c r="F207" s="717" t="s">
        <v>3512</v>
      </c>
      <c r="G207" s="2975">
        <v>0.7</v>
      </c>
      <c r="H207" s="2971">
        <v>13768</v>
      </c>
      <c r="I207" s="2972">
        <v>120</v>
      </c>
    </row>
    <row r="208" spans="1:9" ht="20.100000000000001" customHeight="1" thickBot="1">
      <c r="A208" s="2966">
        <v>207</v>
      </c>
      <c r="B208" s="2981" t="s">
        <v>3723</v>
      </c>
      <c r="C208" s="2969">
        <v>250</v>
      </c>
      <c r="D208" s="2970">
        <v>397.35</v>
      </c>
      <c r="E208" s="2975">
        <v>0.97</v>
      </c>
      <c r="F208" s="717" t="s">
        <v>3512</v>
      </c>
      <c r="G208" s="2975">
        <v>0.7</v>
      </c>
      <c r="H208" s="2971">
        <v>13355</v>
      </c>
      <c r="I208" s="2972">
        <v>531</v>
      </c>
    </row>
    <row r="209" spans="1:9" ht="20.100000000000001" customHeight="1" thickBot="1">
      <c r="A209" s="2966">
        <v>208</v>
      </c>
      <c r="B209" s="2981" t="s">
        <v>3724</v>
      </c>
      <c r="C209" s="2969">
        <v>251</v>
      </c>
      <c r="D209" s="2970">
        <v>30.86</v>
      </c>
      <c r="E209" s="2975">
        <v>1</v>
      </c>
      <c r="F209" s="717" t="s">
        <v>3512</v>
      </c>
      <c r="G209" s="2975">
        <v>0.7</v>
      </c>
      <c r="H209" s="2971">
        <v>13768</v>
      </c>
      <c r="I209" s="2972">
        <v>42</v>
      </c>
    </row>
    <row r="210" spans="1:9" ht="20.100000000000001" customHeight="1" thickBot="1">
      <c r="A210" s="2966">
        <v>209</v>
      </c>
      <c r="B210" s="2981" t="s">
        <v>3725</v>
      </c>
      <c r="C210" s="2969">
        <v>252</v>
      </c>
      <c r="D210" s="2970">
        <v>50.93</v>
      </c>
      <c r="E210" s="2975">
        <v>1</v>
      </c>
      <c r="F210" s="717" t="s">
        <v>3512</v>
      </c>
      <c r="G210" s="2975">
        <v>0.7</v>
      </c>
      <c r="H210" s="2971">
        <v>13768</v>
      </c>
      <c r="I210" s="2972">
        <v>70</v>
      </c>
    </row>
    <row r="211" spans="1:9" ht="20.100000000000001" customHeight="1" thickBot="1">
      <c r="A211" s="2966">
        <v>210</v>
      </c>
      <c r="B211" s="2981" t="s">
        <v>3726</v>
      </c>
      <c r="C211" s="2969">
        <v>253</v>
      </c>
      <c r="D211" s="2970">
        <v>48.02</v>
      </c>
      <c r="E211" s="2975">
        <v>1</v>
      </c>
      <c r="F211" s="717" t="s">
        <v>3512</v>
      </c>
      <c r="G211" s="2975">
        <v>0.7</v>
      </c>
      <c r="H211" s="2971">
        <v>13768</v>
      </c>
      <c r="I211" s="2972">
        <v>66</v>
      </c>
    </row>
    <row r="212" spans="1:9" ht="20.100000000000001" customHeight="1" thickBot="1">
      <c r="A212" s="2966">
        <v>211</v>
      </c>
      <c r="B212" s="2981" t="s">
        <v>3727</v>
      </c>
      <c r="C212" s="2969">
        <v>254</v>
      </c>
      <c r="D212" s="2970">
        <v>48.08</v>
      </c>
      <c r="E212" s="2975">
        <v>1</v>
      </c>
      <c r="F212" s="717" t="s">
        <v>3512</v>
      </c>
      <c r="G212" s="2975">
        <v>0.7</v>
      </c>
      <c r="H212" s="2971">
        <v>13768</v>
      </c>
      <c r="I212" s="2972">
        <v>66</v>
      </c>
    </row>
    <row r="213" spans="1:9" ht="20.100000000000001" customHeight="1" thickBot="1">
      <c r="A213" s="2966">
        <v>212</v>
      </c>
      <c r="B213" s="2981" t="s">
        <v>3728</v>
      </c>
      <c r="C213" s="2969">
        <v>255</v>
      </c>
      <c r="D213" s="2970">
        <v>48.08</v>
      </c>
      <c r="E213" s="2975">
        <v>1</v>
      </c>
      <c r="F213" s="717" t="s">
        <v>3512</v>
      </c>
      <c r="G213" s="2975">
        <v>0.7</v>
      </c>
      <c r="H213" s="2971">
        <v>13768</v>
      </c>
      <c r="I213" s="2972">
        <v>66</v>
      </c>
    </row>
    <row r="214" spans="1:9" ht="20.100000000000001" customHeight="1" thickBot="1">
      <c r="A214" s="2966">
        <v>213</v>
      </c>
      <c r="B214" s="2981" t="s">
        <v>3729</v>
      </c>
      <c r="C214" s="2969">
        <v>256</v>
      </c>
      <c r="D214" s="2970">
        <v>80.48</v>
      </c>
      <c r="E214" s="2975">
        <v>1</v>
      </c>
      <c r="F214" s="717" t="s">
        <v>3512</v>
      </c>
      <c r="G214" s="2975">
        <v>0.7</v>
      </c>
      <c r="H214" s="2971">
        <v>13768</v>
      </c>
      <c r="I214" s="2972">
        <v>111</v>
      </c>
    </row>
    <row r="215" spans="1:9" ht="20.100000000000001" customHeight="1" thickBot="1">
      <c r="A215" s="2966">
        <v>214</v>
      </c>
      <c r="B215" s="2981" t="s">
        <v>3730</v>
      </c>
      <c r="C215" s="2969">
        <v>257</v>
      </c>
      <c r="D215" s="2970">
        <v>48.08</v>
      </c>
      <c r="E215" s="2975">
        <v>1</v>
      </c>
      <c r="F215" s="717" t="s">
        <v>3512</v>
      </c>
      <c r="G215" s="2975">
        <v>0.7</v>
      </c>
      <c r="H215" s="2971">
        <v>13768</v>
      </c>
      <c r="I215" s="2972">
        <v>66</v>
      </c>
    </row>
    <row r="216" spans="1:9" ht="20.100000000000001" customHeight="1" thickBot="1">
      <c r="A216" s="2966">
        <v>215</v>
      </c>
      <c r="B216" s="2981" t="s">
        <v>3731</v>
      </c>
      <c r="C216" s="2969">
        <v>258</v>
      </c>
      <c r="D216" s="2970">
        <v>67.099999999999994</v>
      </c>
      <c r="E216" s="2975">
        <v>1</v>
      </c>
      <c r="F216" s="717" t="s">
        <v>3512</v>
      </c>
      <c r="G216" s="2975">
        <v>0.7</v>
      </c>
      <c r="H216" s="2971">
        <v>13768</v>
      </c>
      <c r="I216" s="2972">
        <v>92</v>
      </c>
    </row>
    <row r="217" spans="1:9" ht="20.100000000000001" customHeight="1" thickBot="1">
      <c r="A217" s="2966">
        <v>216</v>
      </c>
      <c r="B217" s="2981" t="s">
        <v>3732</v>
      </c>
      <c r="C217" s="2969">
        <v>259</v>
      </c>
      <c r="D217" s="2970">
        <v>66.45</v>
      </c>
      <c r="E217" s="2975">
        <v>1</v>
      </c>
      <c r="F217" s="717" t="s">
        <v>3512</v>
      </c>
      <c r="G217" s="2975">
        <v>0.7</v>
      </c>
      <c r="H217" s="2971">
        <v>13768</v>
      </c>
      <c r="I217" s="2972">
        <v>91</v>
      </c>
    </row>
    <row r="218" spans="1:9" ht="20.100000000000001" customHeight="1" thickBot="1">
      <c r="A218" s="2966">
        <v>217</v>
      </c>
      <c r="B218" s="2981" t="s">
        <v>3733</v>
      </c>
      <c r="C218" s="2969">
        <v>260</v>
      </c>
      <c r="D218" s="2970">
        <v>48.09</v>
      </c>
      <c r="E218" s="2975">
        <v>1</v>
      </c>
      <c r="F218" s="717" t="s">
        <v>3512</v>
      </c>
      <c r="G218" s="2975">
        <v>0.7</v>
      </c>
      <c r="H218" s="2971">
        <v>13768</v>
      </c>
      <c r="I218" s="2972">
        <v>66</v>
      </c>
    </row>
    <row r="219" spans="1:9" ht="20.100000000000001" customHeight="1" thickBot="1">
      <c r="A219" s="2966">
        <v>218</v>
      </c>
      <c r="B219" s="2981" t="s">
        <v>3734</v>
      </c>
      <c r="C219" s="2969">
        <v>261</v>
      </c>
      <c r="D219" s="2970">
        <v>48.08</v>
      </c>
      <c r="E219" s="2975">
        <v>1</v>
      </c>
      <c r="F219" s="717" t="s">
        <v>3512</v>
      </c>
      <c r="G219" s="2975">
        <v>0.7</v>
      </c>
      <c r="H219" s="2971">
        <v>13768</v>
      </c>
      <c r="I219" s="2972">
        <v>66</v>
      </c>
    </row>
    <row r="220" spans="1:9" ht="20.100000000000001" customHeight="1" thickBot="1">
      <c r="A220" s="2966">
        <v>219</v>
      </c>
      <c r="B220" s="2981" t="s">
        <v>3735</v>
      </c>
      <c r="C220" s="2969">
        <v>262</v>
      </c>
      <c r="D220" s="2970">
        <v>71.39</v>
      </c>
      <c r="E220" s="2975">
        <v>1</v>
      </c>
      <c r="F220" s="717" t="s">
        <v>3512</v>
      </c>
      <c r="G220" s="2975">
        <v>0.7</v>
      </c>
      <c r="H220" s="2971">
        <v>13768</v>
      </c>
      <c r="I220" s="2972">
        <v>98</v>
      </c>
    </row>
    <row r="221" spans="1:9" ht="20.100000000000001" customHeight="1" thickBot="1">
      <c r="A221" s="2966">
        <v>220</v>
      </c>
      <c r="B221" s="2981" t="s">
        <v>3736</v>
      </c>
      <c r="C221" s="2969">
        <v>263</v>
      </c>
      <c r="D221" s="2970">
        <v>60.27</v>
      </c>
      <c r="E221" s="2975">
        <v>1</v>
      </c>
      <c r="F221" s="717" t="s">
        <v>3512</v>
      </c>
      <c r="G221" s="2975">
        <v>0.7</v>
      </c>
      <c r="H221" s="2971">
        <v>13768</v>
      </c>
      <c r="I221" s="2972">
        <v>83</v>
      </c>
    </row>
    <row r="222" spans="1:9" ht="20.100000000000001" customHeight="1" thickBot="1">
      <c r="A222" s="2966">
        <v>221</v>
      </c>
      <c r="B222" s="2981" t="s">
        <v>3737</v>
      </c>
      <c r="C222" s="2969">
        <v>264</v>
      </c>
      <c r="D222" s="2970">
        <v>60.27</v>
      </c>
      <c r="E222" s="2975">
        <v>1</v>
      </c>
      <c r="F222" s="717" t="s">
        <v>3512</v>
      </c>
      <c r="G222" s="2975">
        <v>0.7</v>
      </c>
      <c r="H222" s="2971">
        <v>13768</v>
      </c>
      <c r="I222" s="2972">
        <v>83</v>
      </c>
    </row>
    <row r="223" spans="1:9" ht="20.100000000000001" customHeight="1" thickBot="1">
      <c r="A223" s="2966">
        <v>222</v>
      </c>
      <c r="B223" s="2981" t="s">
        <v>3738</v>
      </c>
      <c r="C223" s="2969">
        <v>265</v>
      </c>
      <c r="D223" s="2970">
        <v>69.05</v>
      </c>
      <c r="E223" s="2975">
        <v>1</v>
      </c>
      <c r="F223" s="717" t="s">
        <v>3512</v>
      </c>
      <c r="G223" s="2975">
        <v>0.7</v>
      </c>
      <c r="H223" s="2971">
        <v>13768</v>
      </c>
      <c r="I223" s="2972">
        <v>95</v>
      </c>
    </row>
    <row r="224" spans="1:9" ht="20.100000000000001" customHeight="1" thickBot="1">
      <c r="A224" s="2966">
        <v>223</v>
      </c>
      <c r="B224" s="2981" t="s">
        <v>3739</v>
      </c>
      <c r="C224" s="2969">
        <v>266</v>
      </c>
      <c r="D224" s="2970">
        <v>74.78</v>
      </c>
      <c r="E224" s="2975">
        <v>1</v>
      </c>
      <c r="F224" s="717" t="s">
        <v>3512</v>
      </c>
      <c r="G224" s="2975">
        <v>0.7</v>
      </c>
      <c r="H224" s="2971">
        <v>13768</v>
      </c>
      <c r="I224" s="2972">
        <v>103</v>
      </c>
    </row>
    <row r="225" spans="1:9" ht="20.100000000000001" customHeight="1" thickBot="1">
      <c r="A225" s="2966">
        <v>224</v>
      </c>
      <c r="B225" s="2981" t="s">
        <v>3740</v>
      </c>
      <c r="C225" s="2969">
        <v>268</v>
      </c>
      <c r="D225" s="2970">
        <v>80.33</v>
      </c>
      <c r="E225" s="2975">
        <v>1</v>
      </c>
      <c r="F225" s="717" t="s">
        <v>3512</v>
      </c>
      <c r="G225" s="2975">
        <v>0.7</v>
      </c>
      <c r="H225" s="2971">
        <v>13768</v>
      </c>
      <c r="I225" s="2972">
        <v>111</v>
      </c>
    </row>
    <row r="226" spans="1:9" ht="20.100000000000001" customHeight="1" thickBot="1">
      <c r="A226" s="2966">
        <v>225</v>
      </c>
      <c r="B226" s="2981" t="s">
        <v>3741</v>
      </c>
      <c r="C226" s="2969">
        <v>269</v>
      </c>
      <c r="D226" s="2970">
        <v>56.27</v>
      </c>
      <c r="E226" s="2975">
        <v>1</v>
      </c>
      <c r="F226" s="717" t="s">
        <v>3512</v>
      </c>
      <c r="G226" s="2975">
        <v>0.7</v>
      </c>
      <c r="H226" s="2971">
        <v>13768</v>
      </c>
      <c r="I226" s="2972">
        <v>77</v>
      </c>
    </row>
    <row r="227" spans="1:9" ht="20.100000000000001" customHeight="1" thickBot="1">
      <c r="A227" s="2966">
        <v>226</v>
      </c>
      <c r="B227" s="2981" t="s">
        <v>3742</v>
      </c>
      <c r="C227" s="2969">
        <v>270</v>
      </c>
      <c r="D227" s="2970">
        <v>64.680000000000007</v>
      </c>
      <c r="E227" s="2975">
        <v>1</v>
      </c>
      <c r="F227" s="717" t="s">
        <v>3512</v>
      </c>
      <c r="G227" s="2975">
        <v>0.7</v>
      </c>
      <c r="H227" s="2971">
        <v>13768</v>
      </c>
      <c r="I227" s="2972">
        <v>89</v>
      </c>
    </row>
    <row r="228" spans="1:9" ht="20.100000000000001" customHeight="1" thickBot="1">
      <c r="A228" s="2966">
        <v>227</v>
      </c>
      <c r="B228" s="2981" t="s">
        <v>3743</v>
      </c>
      <c r="C228" s="2969">
        <v>271</v>
      </c>
      <c r="D228" s="2970">
        <v>54.64</v>
      </c>
      <c r="E228" s="2975">
        <v>1</v>
      </c>
      <c r="F228" s="717" t="s">
        <v>3512</v>
      </c>
      <c r="G228" s="2975">
        <v>0.7</v>
      </c>
      <c r="H228" s="2971">
        <v>13768</v>
      </c>
      <c r="I228" s="2972">
        <v>75</v>
      </c>
    </row>
    <row r="229" spans="1:9" ht="20.100000000000001" customHeight="1" thickBot="1">
      <c r="A229" s="2966">
        <v>228</v>
      </c>
      <c r="B229" s="2981" t="s">
        <v>3744</v>
      </c>
      <c r="C229" s="2969">
        <v>272</v>
      </c>
      <c r="D229" s="2970">
        <v>35.46</v>
      </c>
      <c r="E229" s="2975">
        <v>1</v>
      </c>
      <c r="F229" s="717" t="s">
        <v>3512</v>
      </c>
      <c r="G229" s="2975">
        <v>0.7</v>
      </c>
      <c r="H229" s="2971">
        <v>13768</v>
      </c>
      <c r="I229" s="2972">
        <v>49</v>
      </c>
    </row>
    <row r="230" spans="1:9" ht="20.100000000000001" customHeight="1" thickBot="1">
      <c r="A230" s="2966">
        <v>229</v>
      </c>
      <c r="B230" s="2981" t="s">
        <v>3745</v>
      </c>
      <c r="C230" s="2969">
        <v>273</v>
      </c>
      <c r="D230" s="2970">
        <v>53.83</v>
      </c>
      <c r="E230" s="2975">
        <v>1</v>
      </c>
      <c r="F230" s="717" t="s">
        <v>3512</v>
      </c>
      <c r="G230" s="2975">
        <v>0.7</v>
      </c>
      <c r="H230" s="2971">
        <v>13768</v>
      </c>
      <c r="I230" s="2972">
        <v>74</v>
      </c>
    </row>
    <row r="231" spans="1:9" ht="20.100000000000001" customHeight="1" thickBot="1">
      <c r="A231" s="2966">
        <v>230</v>
      </c>
      <c r="B231" s="2981" t="s">
        <v>3746</v>
      </c>
      <c r="C231" s="2969">
        <v>274</v>
      </c>
      <c r="D231" s="2970">
        <v>38.44</v>
      </c>
      <c r="E231" s="2975">
        <v>1</v>
      </c>
      <c r="F231" s="717" t="s">
        <v>3512</v>
      </c>
      <c r="G231" s="2975">
        <v>0.7</v>
      </c>
      <c r="H231" s="2971">
        <v>13768</v>
      </c>
      <c r="I231" s="2972">
        <v>53</v>
      </c>
    </row>
    <row r="232" spans="1:9" ht="20.100000000000001" customHeight="1" thickBot="1">
      <c r="A232" s="2966">
        <v>231</v>
      </c>
      <c r="B232" s="2981" t="s">
        <v>3747</v>
      </c>
      <c r="C232" s="2969">
        <v>275</v>
      </c>
      <c r="D232" s="2970">
        <v>53.38</v>
      </c>
      <c r="E232" s="2975">
        <v>1</v>
      </c>
      <c r="F232" s="717" t="s">
        <v>3512</v>
      </c>
      <c r="G232" s="2975">
        <v>0.7</v>
      </c>
      <c r="H232" s="2971">
        <v>13768</v>
      </c>
      <c r="I232" s="2972">
        <v>73</v>
      </c>
    </row>
    <row r="233" spans="1:9" ht="20.100000000000001" customHeight="1" thickBot="1">
      <c r="A233" s="2966">
        <v>232</v>
      </c>
      <c r="B233" s="2981" t="s">
        <v>3748</v>
      </c>
      <c r="C233" s="2969">
        <v>276</v>
      </c>
      <c r="D233" s="2970">
        <v>61.07</v>
      </c>
      <c r="E233" s="2975">
        <v>1</v>
      </c>
      <c r="F233" s="717" t="s">
        <v>3512</v>
      </c>
      <c r="G233" s="2975">
        <v>0.7</v>
      </c>
      <c r="H233" s="2971">
        <v>13768</v>
      </c>
      <c r="I233" s="2972">
        <v>84</v>
      </c>
    </row>
    <row r="234" spans="1:9" ht="20.100000000000001" customHeight="1" thickBot="1">
      <c r="A234" s="2966">
        <v>233</v>
      </c>
      <c r="B234" s="2981" t="s">
        <v>3749</v>
      </c>
      <c r="C234" s="2969">
        <v>277</v>
      </c>
      <c r="D234" s="2970">
        <v>32.270000000000003</v>
      </c>
      <c r="E234" s="2975">
        <v>1</v>
      </c>
      <c r="F234" s="717" t="s">
        <v>3512</v>
      </c>
      <c r="G234" s="2975">
        <v>0.7</v>
      </c>
      <c r="H234" s="2971">
        <v>13768</v>
      </c>
      <c r="I234" s="2972">
        <v>44</v>
      </c>
    </row>
    <row r="235" spans="1:9" ht="20.100000000000001" customHeight="1" thickBot="1">
      <c r="A235" s="2966">
        <v>234</v>
      </c>
      <c r="B235" s="2981" t="s">
        <v>3750</v>
      </c>
      <c r="C235" s="2969">
        <v>278</v>
      </c>
      <c r="D235" s="2970">
        <v>75.75</v>
      </c>
      <c r="E235" s="2975">
        <v>1</v>
      </c>
      <c r="F235" s="717" t="s">
        <v>3512</v>
      </c>
      <c r="G235" s="2975">
        <v>0.7</v>
      </c>
      <c r="H235" s="2971">
        <v>13768</v>
      </c>
      <c r="I235" s="2972">
        <v>104</v>
      </c>
    </row>
    <row r="236" spans="1:9" ht="20.100000000000001" customHeight="1" thickBot="1">
      <c r="A236" s="2966">
        <v>235</v>
      </c>
      <c r="B236" s="2981" t="s">
        <v>3751</v>
      </c>
      <c r="C236" s="2969">
        <v>279</v>
      </c>
      <c r="D236" s="2970">
        <v>79.39</v>
      </c>
      <c r="E236" s="2975">
        <v>1</v>
      </c>
      <c r="F236" s="717" t="s">
        <v>3512</v>
      </c>
      <c r="G236" s="2975">
        <v>0.7</v>
      </c>
      <c r="H236" s="2971">
        <v>13768</v>
      </c>
      <c r="I236" s="2972">
        <v>109</v>
      </c>
    </row>
    <row r="237" spans="1:9" ht="20.100000000000001" customHeight="1" thickBot="1">
      <c r="A237" s="2966">
        <v>236</v>
      </c>
      <c r="B237" s="2981" t="s">
        <v>3752</v>
      </c>
      <c r="C237" s="2969">
        <v>280</v>
      </c>
      <c r="D237" s="2970">
        <v>99.65</v>
      </c>
      <c r="E237" s="2975">
        <v>1</v>
      </c>
      <c r="F237" s="717" t="s">
        <v>3512</v>
      </c>
      <c r="G237" s="2975">
        <v>0.7</v>
      </c>
      <c r="H237" s="2971">
        <v>13768</v>
      </c>
      <c r="I237" s="2972">
        <v>137</v>
      </c>
    </row>
    <row r="238" spans="1:9" ht="20.100000000000001" customHeight="1" thickBot="1">
      <c r="A238" s="2966">
        <v>237</v>
      </c>
      <c r="B238" s="2981" t="s">
        <v>3753</v>
      </c>
      <c r="C238" s="2969">
        <v>281</v>
      </c>
      <c r="D238" s="2970">
        <v>65.56</v>
      </c>
      <c r="E238" s="2975">
        <v>1</v>
      </c>
      <c r="F238" s="717" t="s">
        <v>3512</v>
      </c>
      <c r="G238" s="2975">
        <v>0.7</v>
      </c>
      <c r="H238" s="2971">
        <v>13768</v>
      </c>
      <c r="I238" s="2972">
        <v>90</v>
      </c>
    </row>
    <row r="239" spans="1:9" ht="20.100000000000001" customHeight="1" thickBot="1">
      <c r="A239" s="2966">
        <v>238</v>
      </c>
      <c r="B239" s="2981" t="s">
        <v>3754</v>
      </c>
      <c r="C239" s="2969">
        <v>282</v>
      </c>
      <c r="D239" s="2970">
        <v>65.42</v>
      </c>
      <c r="E239" s="2975">
        <v>1</v>
      </c>
      <c r="F239" s="717" t="s">
        <v>3512</v>
      </c>
      <c r="G239" s="2975">
        <v>0.7</v>
      </c>
      <c r="H239" s="2971">
        <v>13768</v>
      </c>
      <c r="I239" s="2972">
        <v>90</v>
      </c>
    </row>
    <row r="240" spans="1:9" ht="20.100000000000001" customHeight="1" thickBot="1">
      <c r="A240" s="2966">
        <v>239</v>
      </c>
      <c r="B240" s="2981" t="s">
        <v>3755</v>
      </c>
      <c r="C240" s="2969">
        <v>283</v>
      </c>
      <c r="D240" s="2970">
        <v>45.95</v>
      </c>
      <c r="E240" s="2975">
        <v>1</v>
      </c>
      <c r="F240" s="717" t="s">
        <v>3512</v>
      </c>
      <c r="G240" s="2975">
        <v>0.7</v>
      </c>
      <c r="H240" s="2971">
        <v>13768</v>
      </c>
      <c r="I240" s="2972">
        <v>63</v>
      </c>
    </row>
    <row r="241" spans="1:9" ht="20.100000000000001" customHeight="1" thickBot="1">
      <c r="A241" s="2966">
        <v>240</v>
      </c>
      <c r="B241" s="2981" t="s">
        <v>3756</v>
      </c>
      <c r="C241" s="2969">
        <v>284</v>
      </c>
      <c r="D241" s="2970">
        <v>52.81</v>
      </c>
      <c r="E241" s="2975">
        <v>1</v>
      </c>
      <c r="F241" s="717" t="s">
        <v>3512</v>
      </c>
      <c r="G241" s="2975">
        <v>0.7</v>
      </c>
      <c r="H241" s="2971">
        <v>13768</v>
      </c>
      <c r="I241" s="2972">
        <v>73</v>
      </c>
    </row>
    <row r="242" spans="1:9" ht="20.100000000000001" customHeight="1" thickBot="1">
      <c r="A242" s="2966">
        <v>241</v>
      </c>
      <c r="B242" s="2981" t="s">
        <v>3757</v>
      </c>
      <c r="C242" s="2969">
        <v>301</v>
      </c>
      <c r="D242" s="2970">
        <v>170.7</v>
      </c>
      <c r="E242" s="2975">
        <v>0.99</v>
      </c>
      <c r="F242" s="717" t="s">
        <v>3513</v>
      </c>
      <c r="G242" s="2975">
        <v>0.6</v>
      </c>
      <c r="H242" s="2971">
        <v>11683</v>
      </c>
      <c r="I242" s="2972">
        <v>199</v>
      </c>
    </row>
    <row r="243" spans="1:9" ht="20.100000000000001" customHeight="1" thickBot="1">
      <c r="A243" s="2966">
        <v>242</v>
      </c>
      <c r="B243" s="2981" t="s">
        <v>3758</v>
      </c>
      <c r="C243" s="2969">
        <v>302</v>
      </c>
      <c r="D243" s="2970">
        <v>33.369999999999997</v>
      </c>
      <c r="E243" s="2975">
        <v>1</v>
      </c>
      <c r="F243" s="717" t="s">
        <v>3513</v>
      </c>
      <c r="G243" s="2975">
        <v>0.6</v>
      </c>
      <c r="H243" s="2971">
        <v>11801</v>
      </c>
      <c r="I243" s="2972">
        <v>39</v>
      </c>
    </row>
    <row r="244" spans="1:9" ht="20.100000000000001" customHeight="1" thickBot="1">
      <c r="A244" s="2966">
        <v>243</v>
      </c>
      <c r="B244" s="2981" t="s">
        <v>3759</v>
      </c>
      <c r="C244" s="2969">
        <v>303</v>
      </c>
      <c r="D244" s="2970">
        <v>24.95</v>
      </c>
      <c r="E244" s="2975">
        <v>1</v>
      </c>
      <c r="F244" s="717" t="s">
        <v>3513</v>
      </c>
      <c r="G244" s="2975">
        <v>0.6</v>
      </c>
      <c r="H244" s="2971">
        <v>11801</v>
      </c>
      <c r="I244" s="2972">
        <v>29</v>
      </c>
    </row>
    <row r="245" spans="1:9" ht="20.100000000000001" customHeight="1" thickBot="1">
      <c r="A245" s="2966">
        <v>244</v>
      </c>
      <c r="B245" s="2981" t="s">
        <v>3760</v>
      </c>
      <c r="C245" s="2969">
        <v>304</v>
      </c>
      <c r="D245" s="2970">
        <v>48.22</v>
      </c>
      <c r="E245" s="2975">
        <v>1</v>
      </c>
      <c r="F245" s="717" t="s">
        <v>3513</v>
      </c>
      <c r="G245" s="2975">
        <v>0.6</v>
      </c>
      <c r="H245" s="2971">
        <v>11801</v>
      </c>
      <c r="I245" s="2972">
        <v>57</v>
      </c>
    </row>
    <row r="246" spans="1:9" ht="20.100000000000001" customHeight="1" thickBot="1">
      <c r="A246" s="2966">
        <v>245</v>
      </c>
      <c r="B246" s="2981" t="s">
        <v>3761</v>
      </c>
      <c r="C246" s="2969">
        <v>305</v>
      </c>
      <c r="D246" s="2970">
        <v>82.43</v>
      </c>
      <c r="E246" s="2975">
        <v>1</v>
      </c>
      <c r="F246" s="717" t="s">
        <v>3513</v>
      </c>
      <c r="G246" s="2975">
        <v>0.6</v>
      </c>
      <c r="H246" s="2971">
        <v>11801</v>
      </c>
      <c r="I246" s="2972">
        <v>97</v>
      </c>
    </row>
    <row r="247" spans="1:9" ht="20.100000000000001" customHeight="1" thickBot="1">
      <c r="A247" s="2966">
        <v>246</v>
      </c>
      <c r="B247" s="2981" t="s">
        <v>3762</v>
      </c>
      <c r="C247" s="2969">
        <v>306</v>
      </c>
      <c r="D247" s="2970">
        <v>78.27</v>
      </c>
      <c r="E247" s="2975">
        <v>1</v>
      </c>
      <c r="F247" s="717" t="s">
        <v>3513</v>
      </c>
      <c r="G247" s="2975">
        <v>0.6</v>
      </c>
      <c r="H247" s="2971">
        <v>11801</v>
      </c>
      <c r="I247" s="2972">
        <v>92</v>
      </c>
    </row>
    <row r="248" spans="1:9" ht="20.100000000000001" customHeight="1" thickBot="1">
      <c r="A248" s="2966">
        <v>247</v>
      </c>
      <c r="B248" s="2981" t="s">
        <v>3763</v>
      </c>
      <c r="C248" s="2969">
        <v>307</v>
      </c>
      <c r="D248" s="2970">
        <v>97.97</v>
      </c>
      <c r="E248" s="2975">
        <v>1</v>
      </c>
      <c r="F248" s="717" t="s">
        <v>3513</v>
      </c>
      <c r="G248" s="2975">
        <v>0.6</v>
      </c>
      <c r="H248" s="2971">
        <v>11801</v>
      </c>
      <c r="I248" s="2972">
        <v>116</v>
      </c>
    </row>
    <row r="249" spans="1:9" ht="20.100000000000001" customHeight="1" thickBot="1">
      <c r="A249" s="2966">
        <v>248</v>
      </c>
      <c r="B249" s="2981" t="s">
        <v>3764</v>
      </c>
      <c r="C249" s="2969">
        <v>308</v>
      </c>
      <c r="D249" s="2970">
        <v>71.66</v>
      </c>
      <c r="E249" s="2975">
        <v>1</v>
      </c>
      <c r="F249" s="717" t="s">
        <v>3513</v>
      </c>
      <c r="G249" s="2975">
        <v>0.6</v>
      </c>
      <c r="H249" s="2971">
        <v>11801</v>
      </c>
      <c r="I249" s="2972">
        <v>85</v>
      </c>
    </row>
    <row r="250" spans="1:9" ht="20.100000000000001" customHeight="1" thickBot="1">
      <c r="A250" s="2966">
        <v>249</v>
      </c>
      <c r="B250" s="2981" t="s">
        <v>3765</v>
      </c>
      <c r="C250" s="2969">
        <v>309</v>
      </c>
      <c r="D250" s="2970">
        <v>33.21</v>
      </c>
      <c r="E250" s="2975">
        <v>1</v>
      </c>
      <c r="F250" s="717" t="s">
        <v>3513</v>
      </c>
      <c r="G250" s="2975">
        <v>0.6</v>
      </c>
      <c r="H250" s="2971">
        <v>11801</v>
      </c>
      <c r="I250" s="2972">
        <v>39</v>
      </c>
    </row>
    <row r="251" spans="1:9" ht="20.100000000000001" customHeight="1" thickBot="1">
      <c r="A251" s="2966">
        <v>250</v>
      </c>
      <c r="B251" s="2981" t="s">
        <v>3766</v>
      </c>
      <c r="C251" s="2969">
        <v>310</v>
      </c>
      <c r="D251" s="2970">
        <v>120.82</v>
      </c>
      <c r="E251" s="2975">
        <v>0.99</v>
      </c>
      <c r="F251" s="717" t="s">
        <v>3513</v>
      </c>
      <c r="G251" s="2975">
        <v>0.6</v>
      </c>
      <c r="H251" s="2971">
        <v>11683</v>
      </c>
      <c r="I251" s="2972">
        <v>141</v>
      </c>
    </row>
    <row r="252" spans="1:9" ht="20.100000000000001" customHeight="1" thickBot="1">
      <c r="A252" s="2966">
        <v>251</v>
      </c>
      <c r="B252" s="2981" t="s">
        <v>3767</v>
      </c>
      <c r="C252" s="2969">
        <v>311</v>
      </c>
      <c r="D252" s="2970">
        <v>103.77</v>
      </c>
      <c r="E252" s="2975">
        <v>0.99</v>
      </c>
      <c r="F252" s="717" t="s">
        <v>3513</v>
      </c>
      <c r="G252" s="2975">
        <v>0.6</v>
      </c>
      <c r="H252" s="2971">
        <v>11683</v>
      </c>
      <c r="I252" s="2972">
        <v>121</v>
      </c>
    </row>
    <row r="253" spans="1:9" ht="20.100000000000001" customHeight="1" thickBot="1">
      <c r="A253" s="2966">
        <v>252</v>
      </c>
      <c r="B253" s="2981" t="s">
        <v>3768</v>
      </c>
      <c r="C253" s="2969">
        <v>312</v>
      </c>
      <c r="D253" s="2970">
        <v>590.15</v>
      </c>
      <c r="E253" s="2975">
        <v>0.96</v>
      </c>
      <c r="F253" s="717" t="s">
        <v>3513</v>
      </c>
      <c r="G253" s="2975">
        <v>0.6</v>
      </c>
      <c r="H253" s="2971">
        <v>11329</v>
      </c>
      <c r="I253" s="2972">
        <v>669</v>
      </c>
    </row>
    <row r="254" spans="1:9" ht="20.100000000000001" customHeight="1" thickBot="1">
      <c r="A254" s="2966">
        <v>253</v>
      </c>
      <c r="B254" s="2981" t="s">
        <v>3769</v>
      </c>
      <c r="C254" s="2969">
        <v>313</v>
      </c>
      <c r="D254" s="2970">
        <v>48.51</v>
      </c>
      <c r="E254" s="2975">
        <v>1</v>
      </c>
      <c r="F254" s="717" t="s">
        <v>3513</v>
      </c>
      <c r="G254" s="2975">
        <v>0.6</v>
      </c>
      <c r="H254" s="2971">
        <v>11801</v>
      </c>
      <c r="I254" s="2972">
        <v>57</v>
      </c>
    </row>
    <row r="255" spans="1:9" ht="20.100000000000001" customHeight="1" thickBot="1">
      <c r="A255" s="2966">
        <v>254</v>
      </c>
      <c r="B255" s="2981" t="s">
        <v>3770</v>
      </c>
      <c r="C255" s="2969">
        <v>314</v>
      </c>
      <c r="D255" s="2970">
        <v>53.94</v>
      </c>
      <c r="E255" s="2975">
        <v>1</v>
      </c>
      <c r="F255" s="717" t="s">
        <v>3513</v>
      </c>
      <c r="G255" s="2975">
        <v>0.6</v>
      </c>
      <c r="H255" s="2971">
        <v>11801</v>
      </c>
      <c r="I255" s="2972">
        <v>64</v>
      </c>
    </row>
    <row r="256" spans="1:9" ht="20.100000000000001" customHeight="1" thickBot="1">
      <c r="A256" s="2966">
        <v>255</v>
      </c>
      <c r="B256" s="2981" t="s">
        <v>3771</v>
      </c>
      <c r="C256" s="2969">
        <v>315</v>
      </c>
      <c r="D256" s="2970">
        <v>58.1</v>
      </c>
      <c r="E256" s="2975">
        <v>1</v>
      </c>
      <c r="F256" s="717" t="s">
        <v>3513</v>
      </c>
      <c r="G256" s="2975">
        <v>0.6</v>
      </c>
      <c r="H256" s="2971">
        <v>11801</v>
      </c>
      <c r="I256" s="2972">
        <v>69</v>
      </c>
    </row>
    <row r="257" spans="1:9" ht="20.100000000000001" customHeight="1" thickBot="1">
      <c r="A257" s="2966">
        <v>256</v>
      </c>
      <c r="B257" s="2981" t="s">
        <v>3772</v>
      </c>
      <c r="C257" s="2969">
        <v>316</v>
      </c>
      <c r="D257" s="2970">
        <v>58.1</v>
      </c>
      <c r="E257" s="2975">
        <v>1</v>
      </c>
      <c r="F257" s="717" t="s">
        <v>3513</v>
      </c>
      <c r="G257" s="2975">
        <v>0.6</v>
      </c>
      <c r="H257" s="2971">
        <v>11801</v>
      </c>
      <c r="I257" s="2972">
        <v>69</v>
      </c>
    </row>
    <row r="258" spans="1:9" ht="20.100000000000001" customHeight="1" thickBot="1">
      <c r="A258" s="2966">
        <v>257</v>
      </c>
      <c r="B258" s="2981" t="s">
        <v>3773</v>
      </c>
      <c r="C258" s="2969">
        <v>317</v>
      </c>
      <c r="D258" s="2970">
        <v>60.45</v>
      </c>
      <c r="E258" s="2975">
        <v>1</v>
      </c>
      <c r="F258" s="717" t="s">
        <v>3513</v>
      </c>
      <c r="G258" s="2975">
        <v>0.6</v>
      </c>
      <c r="H258" s="2971">
        <v>11801</v>
      </c>
      <c r="I258" s="2972">
        <v>71</v>
      </c>
    </row>
    <row r="259" spans="1:9" ht="20.100000000000001" customHeight="1" thickBot="1">
      <c r="A259" s="2966">
        <v>258</v>
      </c>
      <c r="B259" s="2981" t="s">
        <v>3774</v>
      </c>
      <c r="C259" s="2969">
        <v>318</v>
      </c>
      <c r="D259" s="2970">
        <v>44.28</v>
      </c>
      <c r="E259" s="2975">
        <v>1</v>
      </c>
      <c r="F259" s="717" t="s">
        <v>3513</v>
      </c>
      <c r="G259" s="2975">
        <v>0.6</v>
      </c>
      <c r="H259" s="2971">
        <v>11801</v>
      </c>
      <c r="I259" s="2972">
        <v>52</v>
      </c>
    </row>
    <row r="260" spans="1:9" ht="20.100000000000001" customHeight="1" thickBot="1">
      <c r="A260" s="2966">
        <v>259</v>
      </c>
      <c r="B260" s="2981" t="s">
        <v>3775</v>
      </c>
      <c r="C260" s="2969">
        <v>319</v>
      </c>
      <c r="D260" s="2970">
        <v>64.78</v>
      </c>
      <c r="E260" s="2975">
        <v>1</v>
      </c>
      <c r="F260" s="717" t="s">
        <v>3513</v>
      </c>
      <c r="G260" s="2975">
        <v>0.6</v>
      </c>
      <c r="H260" s="2971">
        <v>11801</v>
      </c>
      <c r="I260" s="2972">
        <v>76</v>
      </c>
    </row>
    <row r="261" spans="1:9" ht="20.100000000000001" customHeight="1" thickBot="1">
      <c r="A261" s="2966">
        <v>260</v>
      </c>
      <c r="B261" s="2981" t="s">
        <v>3776</v>
      </c>
      <c r="C261" s="2969">
        <v>320</v>
      </c>
      <c r="D261" s="2970">
        <v>65.41</v>
      </c>
      <c r="E261" s="2975">
        <v>1</v>
      </c>
      <c r="F261" s="717" t="s">
        <v>3513</v>
      </c>
      <c r="G261" s="2975">
        <v>0.6</v>
      </c>
      <c r="H261" s="2971">
        <v>11801</v>
      </c>
      <c r="I261" s="2972">
        <v>77</v>
      </c>
    </row>
    <row r="262" spans="1:9" ht="20.100000000000001" customHeight="1" thickBot="1">
      <c r="A262" s="2966">
        <v>261</v>
      </c>
      <c r="B262" s="2981" t="s">
        <v>3777</v>
      </c>
      <c r="C262" s="2969">
        <v>321</v>
      </c>
      <c r="D262" s="2970">
        <v>65.41</v>
      </c>
      <c r="E262" s="2975">
        <v>1</v>
      </c>
      <c r="F262" s="717" t="s">
        <v>3513</v>
      </c>
      <c r="G262" s="2975">
        <v>0.6</v>
      </c>
      <c r="H262" s="2971">
        <v>11801</v>
      </c>
      <c r="I262" s="2972">
        <v>77</v>
      </c>
    </row>
    <row r="263" spans="1:9" ht="20.100000000000001" customHeight="1" thickBot="1">
      <c r="A263" s="2966">
        <v>262</v>
      </c>
      <c r="B263" s="2981" t="s">
        <v>3778</v>
      </c>
      <c r="C263" s="2969">
        <v>322</v>
      </c>
      <c r="D263" s="2970">
        <v>65.41</v>
      </c>
      <c r="E263" s="2975">
        <v>1</v>
      </c>
      <c r="F263" s="717" t="s">
        <v>3513</v>
      </c>
      <c r="G263" s="2975">
        <v>0.6</v>
      </c>
      <c r="H263" s="2971">
        <v>11801</v>
      </c>
      <c r="I263" s="2972">
        <v>77</v>
      </c>
    </row>
    <row r="264" spans="1:9" ht="20.100000000000001" customHeight="1" thickBot="1">
      <c r="A264" s="2966">
        <v>263</v>
      </c>
      <c r="B264" s="2981" t="s">
        <v>3779</v>
      </c>
      <c r="C264" s="2969">
        <v>323</v>
      </c>
      <c r="D264" s="2970">
        <v>48.7</v>
      </c>
      <c r="E264" s="2975">
        <v>1</v>
      </c>
      <c r="F264" s="717" t="s">
        <v>3513</v>
      </c>
      <c r="G264" s="2975">
        <v>0.6</v>
      </c>
      <c r="H264" s="2971">
        <v>11801</v>
      </c>
      <c r="I264" s="2972">
        <v>57</v>
      </c>
    </row>
    <row r="265" spans="1:9" ht="20.100000000000001" customHeight="1" thickBot="1">
      <c r="A265" s="2966">
        <v>264</v>
      </c>
      <c r="B265" s="2981" t="s">
        <v>3780</v>
      </c>
      <c r="C265" s="2969">
        <v>324</v>
      </c>
      <c r="D265" s="2970">
        <v>45.61</v>
      </c>
      <c r="E265" s="2975">
        <v>1</v>
      </c>
      <c r="F265" s="717" t="s">
        <v>3513</v>
      </c>
      <c r="G265" s="2975">
        <v>0.6</v>
      </c>
      <c r="H265" s="2971">
        <v>11801</v>
      </c>
      <c r="I265" s="2972">
        <v>54</v>
      </c>
    </row>
    <row r="266" spans="1:9" ht="20.100000000000001" customHeight="1" thickBot="1">
      <c r="A266" s="2966">
        <v>265</v>
      </c>
      <c r="B266" s="2981" t="s">
        <v>3781</v>
      </c>
      <c r="C266" s="2969">
        <v>325</v>
      </c>
      <c r="D266" s="2970">
        <v>3424.4</v>
      </c>
      <c r="E266" s="2975">
        <v>0.95</v>
      </c>
      <c r="F266" s="717" t="s">
        <v>3513</v>
      </c>
      <c r="G266" s="2975">
        <v>0.6</v>
      </c>
      <c r="H266" s="2971">
        <v>11211</v>
      </c>
      <c r="I266" s="2972">
        <v>3839</v>
      </c>
    </row>
    <row r="267" spans="1:9" ht="20.100000000000001" customHeight="1" thickBot="1">
      <c r="A267" s="2966">
        <v>266</v>
      </c>
      <c r="B267" s="2981" t="s">
        <v>3782</v>
      </c>
      <c r="C267" s="2969">
        <v>326</v>
      </c>
      <c r="D267" s="2970">
        <v>1766.89</v>
      </c>
      <c r="E267" s="2975">
        <v>0.95</v>
      </c>
      <c r="F267" s="717" t="s">
        <v>3513</v>
      </c>
      <c r="G267" s="2975">
        <v>0.6</v>
      </c>
      <c r="H267" s="2971">
        <v>11211</v>
      </c>
      <c r="I267" s="2972">
        <v>1981</v>
      </c>
    </row>
    <row r="268" spans="1:9" ht="20.100000000000001" customHeight="1" thickBot="1">
      <c r="A268" s="2966">
        <v>267</v>
      </c>
      <c r="B268" s="2981" t="s">
        <v>3783</v>
      </c>
      <c r="C268" s="2969">
        <v>327</v>
      </c>
      <c r="D268" s="2970">
        <v>2078.75</v>
      </c>
      <c r="E268" s="2975">
        <v>0.95</v>
      </c>
      <c r="F268" s="717" t="s">
        <v>3513</v>
      </c>
      <c r="G268" s="2975">
        <v>0.6</v>
      </c>
      <c r="H268" s="2971">
        <v>11211</v>
      </c>
      <c r="I268" s="2972">
        <v>2330</v>
      </c>
    </row>
    <row r="269" spans="1:9" ht="20.100000000000001" customHeight="1" thickBot="1">
      <c r="A269" s="2966">
        <v>268</v>
      </c>
      <c r="B269" s="2981" t="s">
        <v>3784</v>
      </c>
      <c r="C269" s="2969">
        <v>328</v>
      </c>
      <c r="D269" s="2970">
        <v>58.09</v>
      </c>
      <c r="E269" s="2975">
        <v>1</v>
      </c>
      <c r="F269" s="717" t="s">
        <v>3513</v>
      </c>
      <c r="G269" s="2975">
        <v>0.6</v>
      </c>
      <c r="H269" s="2971">
        <v>11801</v>
      </c>
      <c r="I269" s="2972">
        <v>69</v>
      </c>
    </row>
    <row r="270" spans="1:9" ht="20.100000000000001" customHeight="1" thickBot="1">
      <c r="A270" s="2966">
        <v>269</v>
      </c>
      <c r="B270" s="2981" t="s">
        <v>3785</v>
      </c>
      <c r="C270" s="2969">
        <v>329</v>
      </c>
      <c r="D270" s="2970">
        <v>83.31</v>
      </c>
      <c r="E270" s="2975">
        <v>1</v>
      </c>
      <c r="F270" s="717" t="s">
        <v>3513</v>
      </c>
      <c r="G270" s="2975">
        <v>0.6</v>
      </c>
      <c r="H270" s="2971">
        <v>11801</v>
      </c>
      <c r="I270" s="2972">
        <v>98</v>
      </c>
    </row>
    <row r="271" spans="1:9" ht="20.100000000000001" customHeight="1" thickBot="1">
      <c r="A271" s="2966">
        <v>270</v>
      </c>
      <c r="B271" s="2981" t="s">
        <v>3786</v>
      </c>
      <c r="C271" s="2969">
        <v>330</v>
      </c>
      <c r="D271" s="2970">
        <v>38.44</v>
      </c>
      <c r="E271" s="2975">
        <v>1</v>
      </c>
      <c r="F271" s="717" t="s">
        <v>3513</v>
      </c>
      <c r="G271" s="2975">
        <v>0.6</v>
      </c>
      <c r="H271" s="2971">
        <v>11801</v>
      </c>
      <c r="I271" s="2972">
        <v>45</v>
      </c>
    </row>
    <row r="272" spans="1:9" ht="20.100000000000001" customHeight="1" thickBot="1">
      <c r="A272" s="2966">
        <v>271</v>
      </c>
      <c r="B272" s="2981" t="s">
        <v>3787</v>
      </c>
      <c r="C272" s="2969">
        <v>331</v>
      </c>
      <c r="D272" s="2970">
        <v>40.71</v>
      </c>
      <c r="E272" s="2975">
        <v>1</v>
      </c>
      <c r="F272" s="717" t="s">
        <v>3513</v>
      </c>
      <c r="G272" s="2975">
        <v>0.6</v>
      </c>
      <c r="H272" s="2971">
        <v>11801</v>
      </c>
      <c r="I272" s="2972">
        <v>48</v>
      </c>
    </row>
    <row r="273" spans="1:9" ht="20.100000000000001" customHeight="1" thickBot="1">
      <c r="A273" s="2966">
        <v>272</v>
      </c>
      <c r="B273" s="2981" t="s">
        <v>3788</v>
      </c>
      <c r="C273" s="2969">
        <v>332</v>
      </c>
      <c r="D273" s="2970">
        <v>78.930000000000007</v>
      </c>
      <c r="E273" s="2975">
        <v>1</v>
      </c>
      <c r="F273" s="717" t="s">
        <v>3513</v>
      </c>
      <c r="G273" s="2975">
        <v>0.6</v>
      </c>
      <c r="H273" s="2971">
        <v>11801</v>
      </c>
      <c r="I273" s="2972">
        <v>93</v>
      </c>
    </row>
    <row r="274" spans="1:9" ht="20.100000000000001" customHeight="1" thickBot="1">
      <c r="A274" s="2966">
        <v>273</v>
      </c>
      <c r="B274" s="2981" t="s">
        <v>3789</v>
      </c>
      <c r="C274" s="2969">
        <v>333</v>
      </c>
      <c r="D274" s="2970">
        <v>67.14</v>
      </c>
      <c r="E274" s="2975">
        <v>1</v>
      </c>
      <c r="F274" s="717" t="s">
        <v>3513</v>
      </c>
      <c r="G274" s="2975">
        <v>0.6</v>
      </c>
      <c r="H274" s="2971">
        <v>11801</v>
      </c>
      <c r="I274" s="2972">
        <v>79</v>
      </c>
    </row>
    <row r="275" spans="1:9" ht="20.100000000000001" customHeight="1" thickBot="1">
      <c r="A275" s="2966">
        <v>274</v>
      </c>
      <c r="B275" s="2981" t="s">
        <v>3790</v>
      </c>
      <c r="C275" s="2969">
        <v>334</v>
      </c>
      <c r="D275" s="2970">
        <v>49.84</v>
      </c>
      <c r="E275" s="2975">
        <v>1</v>
      </c>
      <c r="F275" s="717" t="s">
        <v>3513</v>
      </c>
      <c r="G275" s="2975">
        <v>0.6</v>
      </c>
      <c r="H275" s="2971">
        <v>11801</v>
      </c>
      <c r="I275" s="2972">
        <v>59</v>
      </c>
    </row>
    <row r="276" spans="1:9" ht="20.100000000000001" customHeight="1" thickBot="1">
      <c r="A276" s="2966">
        <v>275</v>
      </c>
      <c r="B276" s="2981" t="s">
        <v>3791</v>
      </c>
      <c r="C276" s="2969">
        <v>335</v>
      </c>
      <c r="D276" s="2970">
        <v>54.65</v>
      </c>
      <c r="E276" s="2975">
        <v>1</v>
      </c>
      <c r="F276" s="717" t="s">
        <v>3513</v>
      </c>
      <c r="G276" s="2975">
        <v>0.6</v>
      </c>
      <c r="H276" s="2971">
        <v>11801</v>
      </c>
      <c r="I276" s="2972">
        <v>64</v>
      </c>
    </row>
    <row r="277" spans="1:9" ht="20.100000000000001" customHeight="1" thickBot="1">
      <c r="A277" s="2966">
        <v>276</v>
      </c>
      <c r="B277" s="2981" t="s">
        <v>3792</v>
      </c>
      <c r="C277" s="2969">
        <v>343</v>
      </c>
      <c r="D277" s="2970">
        <v>44.67</v>
      </c>
      <c r="E277" s="2975">
        <v>1</v>
      </c>
      <c r="F277" s="717" t="s">
        <v>3513</v>
      </c>
      <c r="G277" s="2975">
        <v>0.6</v>
      </c>
      <c r="H277" s="2971">
        <v>11801</v>
      </c>
      <c r="I277" s="2972">
        <v>53</v>
      </c>
    </row>
    <row r="278" spans="1:9" ht="20.100000000000001" customHeight="1" thickBot="1">
      <c r="A278" s="2966">
        <v>277</v>
      </c>
      <c r="B278" s="2981" t="s">
        <v>3793</v>
      </c>
      <c r="C278" s="2969">
        <v>346</v>
      </c>
      <c r="D278" s="2970">
        <v>80.33</v>
      </c>
      <c r="E278" s="2975">
        <v>1</v>
      </c>
      <c r="F278" s="717" t="s">
        <v>3513</v>
      </c>
      <c r="G278" s="2975">
        <v>0.6</v>
      </c>
      <c r="H278" s="2971">
        <v>11801</v>
      </c>
      <c r="I278" s="2972">
        <v>95</v>
      </c>
    </row>
    <row r="279" spans="1:9" ht="20.100000000000001" customHeight="1" thickBot="1">
      <c r="A279" s="2966">
        <v>278</v>
      </c>
      <c r="B279" s="2981" t="s">
        <v>3794</v>
      </c>
      <c r="C279" s="2969">
        <v>349</v>
      </c>
      <c r="D279" s="2970">
        <v>53.83</v>
      </c>
      <c r="E279" s="2975">
        <v>1</v>
      </c>
      <c r="F279" s="717" t="s">
        <v>3513</v>
      </c>
      <c r="G279" s="2975">
        <v>0.6</v>
      </c>
      <c r="H279" s="2971">
        <v>11801</v>
      </c>
      <c r="I279" s="2972">
        <v>64</v>
      </c>
    </row>
    <row r="280" spans="1:9" ht="20.100000000000001" customHeight="1" thickBot="1">
      <c r="A280" s="2966">
        <v>279</v>
      </c>
      <c r="B280" s="2981" t="s">
        <v>3795</v>
      </c>
      <c r="C280" s="2969">
        <v>350</v>
      </c>
      <c r="D280" s="2970">
        <v>35.46</v>
      </c>
      <c r="E280" s="2975">
        <v>1</v>
      </c>
      <c r="F280" s="717" t="s">
        <v>3513</v>
      </c>
      <c r="G280" s="2975">
        <v>0.6</v>
      </c>
      <c r="H280" s="2971">
        <v>11801</v>
      </c>
      <c r="I280" s="2972">
        <v>42</v>
      </c>
    </row>
    <row r="281" spans="1:9" ht="20.100000000000001" customHeight="1" thickBot="1">
      <c r="A281" s="2966">
        <v>280</v>
      </c>
      <c r="B281" s="2981" t="s">
        <v>3796</v>
      </c>
      <c r="C281" s="2969">
        <v>351</v>
      </c>
      <c r="D281" s="2970">
        <v>38.44</v>
      </c>
      <c r="E281" s="2975">
        <v>1</v>
      </c>
      <c r="F281" s="717" t="s">
        <v>3513</v>
      </c>
      <c r="G281" s="2975">
        <v>0.6</v>
      </c>
      <c r="H281" s="2971">
        <v>11801</v>
      </c>
      <c r="I281" s="2972">
        <v>45</v>
      </c>
    </row>
    <row r="282" spans="1:9" ht="20.100000000000001" customHeight="1" thickBot="1">
      <c r="A282" s="2966">
        <v>281</v>
      </c>
      <c r="B282" s="2981" t="s">
        <v>3797</v>
      </c>
      <c r="C282" s="2969">
        <v>352</v>
      </c>
      <c r="D282" s="2970">
        <v>61.07</v>
      </c>
      <c r="E282" s="2975">
        <v>1</v>
      </c>
      <c r="F282" s="717" t="s">
        <v>3513</v>
      </c>
      <c r="G282" s="2975">
        <v>0.6</v>
      </c>
      <c r="H282" s="2971">
        <v>11801</v>
      </c>
      <c r="I282" s="2972">
        <v>72</v>
      </c>
    </row>
    <row r="283" spans="1:9" ht="20.100000000000001" customHeight="1" thickBot="1">
      <c r="A283" s="2966">
        <v>282</v>
      </c>
      <c r="B283" s="2981" t="s">
        <v>3798</v>
      </c>
      <c r="C283" s="2969">
        <v>353</v>
      </c>
      <c r="D283" s="2970">
        <v>53.38</v>
      </c>
      <c r="E283" s="2975">
        <v>1</v>
      </c>
      <c r="F283" s="717" t="s">
        <v>3513</v>
      </c>
      <c r="G283" s="2975">
        <v>0.6</v>
      </c>
      <c r="H283" s="2971">
        <v>11801</v>
      </c>
      <c r="I283" s="2972">
        <v>63</v>
      </c>
    </row>
    <row r="284" spans="1:9" ht="20.100000000000001" customHeight="1" thickBot="1">
      <c r="A284" s="2966">
        <v>283</v>
      </c>
      <c r="B284" s="2981" t="s">
        <v>3799</v>
      </c>
      <c r="C284" s="2969">
        <v>355</v>
      </c>
      <c r="D284" s="2970">
        <v>111.65</v>
      </c>
      <c r="E284" s="2975">
        <v>0.99</v>
      </c>
      <c r="F284" s="717" t="s">
        <v>3513</v>
      </c>
      <c r="G284" s="2975">
        <v>0.6</v>
      </c>
      <c r="H284" s="2971">
        <v>11683</v>
      </c>
      <c r="I284" s="2972">
        <v>130</v>
      </c>
    </row>
    <row r="285" spans="1:9" ht="20.100000000000001" customHeight="1">
      <c r="A285" s="3311" t="s">
        <v>3800</v>
      </c>
      <c r="B285" s="3311"/>
      <c r="C285" s="3312"/>
      <c r="D285" s="2970">
        <f>SUM(D2:D284)</f>
        <v>34353.799999999996</v>
      </c>
      <c r="E285" s="2970" t="s">
        <v>3801</v>
      </c>
      <c r="F285" s="2970" t="s">
        <v>3801</v>
      </c>
      <c r="G285" s="2970" t="s">
        <v>3801</v>
      </c>
      <c r="H285" s="2970">
        <f ca="1">典型户型修正!R22</f>
        <v>15777</v>
      </c>
      <c r="I285" s="2970">
        <f>SUM(I2:I284)</f>
        <v>54201</v>
      </c>
    </row>
    <row r="286" spans="1:9" ht="20.100000000000001" customHeight="1">
      <c r="C286" s="2969"/>
      <c r="D286" s="2970"/>
      <c r="E286" s="2975"/>
      <c r="F286" s="717"/>
      <c r="G286" s="2975"/>
      <c r="H286" s="2971"/>
      <c r="I286" s="2972"/>
    </row>
    <row r="287" spans="1:9" ht="20.100000000000001" customHeight="1">
      <c r="C287" s="2969"/>
      <c r="D287" s="2970"/>
      <c r="E287" s="2975"/>
      <c r="F287" s="717"/>
      <c r="G287" s="2975"/>
      <c r="H287" s="2971"/>
      <c r="I287" s="2972"/>
    </row>
    <row r="288" spans="1:9" ht="20.100000000000001" customHeight="1">
      <c r="C288" s="2969"/>
      <c r="D288" s="2970"/>
      <c r="E288" s="2975"/>
      <c r="F288" s="717"/>
      <c r="G288" s="2975"/>
      <c r="H288" s="2971"/>
      <c r="I288" s="2972"/>
    </row>
    <row r="289" spans="3:9" ht="20.100000000000001" customHeight="1">
      <c r="C289" s="2969"/>
      <c r="D289" s="2970"/>
      <c r="E289" s="2975"/>
      <c r="F289" s="717"/>
      <c r="G289" s="2975"/>
      <c r="H289" s="2971"/>
      <c r="I289" s="2972"/>
    </row>
    <row r="290" spans="3:9" ht="20.100000000000001" customHeight="1">
      <c r="C290" s="2969"/>
      <c r="D290" s="2970"/>
      <c r="E290" s="2975"/>
      <c r="F290" s="717"/>
      <c r="G290" s="2975"/>
      <c r="H290" s="2971"/>
      <c r="I290" s="2972"/>
    </row>
    <row r="291" spans="3:9" ht="20.100000000000001" customHeight="1">
      <c r="C291" s="2969"/>
      <c r="D291" s="2970"/>
      <c r="E291" s="2975"/>
      <c r="F291" s="717"/>
      <c r="G291" s="2975"/>
      <c r="H291" s="2971"/>
      <c r="I291" s="2972"/>
    </row>
    <row r="292" spans="3:9" ht="20.100000000000001" customHeight="1">
      <c r="C292" s="2969"/>
      <c r="D292" s="2970"/>
      <c r="E292" s="2975"/>
      <c r="F292" s="717"/>
      <c r="G292" s="2975"/>
      <c r="H292" s="2971"/>
      <c r="I292" s="2972"/>
    </row>
    <row r="293" spans="3:9" ht="20.100000000000001" customHeight="1">
      <c r="C293" s="2969"/>
      <c r="D293" s="2970"/>
      <c r="E293" s="2975"/>
      <c r="F293" s="717"/>
      <c r="G293" s="2975"/>
      <c r="H293" s="2971"/>
      <c r="I293" s="2972"/>
    </row>
    <row r="294" spans="3:9" ht="20.100000000000001" customHeight="1">
      <c r="C294" s="2969"/>
      <c r="D294" s="2970"/>
      <c r="E294" s="2975"/>
      <c r="F294" s="717"/>
      <c r="G294" s="2975"/>
      <c r="H294" s="2971"/>
      <c r="I294" s="2972"/>
    </row>
    <row r="295" spans="3:9" ht="20.100000000000001" customHeight="1">
      <c r="C295" s="2969"/>
      <c r="D295" s="2970"/>
      <c r="E295" s="2975">
        <v>1</v>
      </c>
      <c r="F295" s="717"/>
      <c r="G295" s="2975">
        <v>0</v>
      </c>
      <c r="H295" s="2971">
        <v>0</v>
      </c>
      <c r="I295" s="2972">
        <v>0</v>
      </c>
    </row>
    <row r="296" spans="3:9" ht="20.100000000000001" customHeight="1">
      <c r="C296" s="2969"/>
      <c r="D296" s="2970"/>
      <c r="E296" s="2975">
        <v>1</v>
      </c>
      <c r="F296" s="717"/>
      <c r="G296" s="2975">
        <v>0</v>
      </c>
      <c r="H296" s="2971">
        <v>0</v>
      </c>
      <c r="I296" s="2972">
        <v>0</v>
      </c>
    </row>
    <row r="297" spans="3:9" ht="20.100000000000001" customHeight="1">
      <c r="C297" s="2969"/>
      <c r="D297" s="2970"/>
      <c r="E297" s="2975">
        <v>1</v>
      </c>
      <c r="F297" s="717"/>
      <c r="G297" s="2975">
        <v>0</v>
      </c>
      <c r="H297" s="2971">
        <v>0</v>
      </c>
      <c r="I297" s="2972">
        <v>0</v>
      </c>
    </row>
    <row r="298" spans="3:9" ht="20.100000000000001" customHeight="1">
      <c r="C298" s="2969"/>
      <c r="D298" s="2970"/>
      <c r="E298" s="2975">
        <v>1</v>
      </c>
      <c r="F298" s="717"/>
      <c r="G298" s="2975">
        <v>0</v>
      </c>
      <c r="H298" s="2971">
        <v>0</v>
      </c>
      <c r="I298" s="2972">
        <v>0</v>
      </c>
    </row>
    <row r="299" spans="3:9" ht="20.100000000000001" customHeight="1">
      <c r="C299" s="2969"/>
      <c r="D299" s="2970"/>
      <c r="E299" s="2975">
        <v>1</v>
      </c>
      <c r="F299" s="717"/>
      <c r="G299" s="2975">
        <v>0</v>
      </c>
      <c r="H299" s="2971">
        <v>0</v>
      </c>
      <c r="I299" s="2972">
        <v>0</v>
      </c>
    </row>
    <row r="300" spans="3:9" ht="20.100000000000001" customHeight="1">
      <c r="C300" s="2969"/>
      <c r="D300" s="2970"/>
      <c r="E300" s="2975">
        <v>1</v>
      </c>
      <c r="F300" s="717"/>
      <c r="G300" s="2975">
        <v>0</v>
      </c>
      <c r="H300" s="2971">
        <v>0</v>
      </c>
      <c r="I300" s="2972">
        <v>0</v>
      </c>
    </row>
    <row r="301" spans="3:9" ht="20.100000000000001" customHeight="1">
      <c r="C301" s="2969"/>
      <c r="D301" s="2970"/>
      <c r="E301" s="2975">
        <v>1</v>
      </c>
      <c r="F301" s="717"/>
      <c r="G301" s="2975">
        <v>0</v>
      </c>
      <c r="H301" s="2971">
        <v>0</v>
      </c>
      <c r="I301" s="2972">
        <v>0</v>
      </c>
    </row>
    <row r="302" spans="3:9" ht="20.100000000000001" customHeight="1">
      <c r="C302" s="2969"/>
      <c r="D302" s="2970"/>
      <c r="E302" s="2975">
        <v>1</v>
      </c>
      <c r="F302" s="717"/>
      <c r="G302" s="2975">
        <v>0</v>
      </c>
      <c r="H302" s="2971">
        <v>0</v>
      </c>
      <c r="I302" s="2972">
        <v>0</v>
      </c>
    </row>
    <row r="303" spans="3:9" ht="20.100000000000001" customHeight="1">
      <c r="C303" s="2969"/>
      <c r="D303" s="2970"/>
      <c r="E303" s="2975">
        <v>1</v>
      </c>
      <c r="F303" s="717"/>
      <c r="G303" s="2975">
        <v>0</v>
      </c>
      <c r="H303" s="2971">
        <v>0</v>
      </c>
      <c r="I303" s="2972">
        <v>0</v>
      </c>
    </row>
    <row r="304" spans="3:9" ht="20.100000000000001" customHeight="1">
      <c r="C304" s="2969"/>
      <c r="D304" s="2970"/>
      <c r="E304" s="2975">
        <v>1</v>
      </c>
      <c r="F304" s="717"/>
      <c r="G304" s="2975">
        <v>0</v>
      </c>
      <c r="H304" s="2971">
        <v>0</v>
      </c>
      <c r="I304" s="2972">
        <v>0</v>
      </c>
    </row>
    <row r="305" spans="3:9" ht="20.100000000000001" customHeight="1">
      <c r="C305" s="2969"/>
      <c r="D305" s="2970"/>
      <c r="E305" s="2975">
        <v>1</v>
      </c>
      <c r="F305" s="717"/>
      <c r="G305" s="2975">
        <v>0</v>
      </c>
      <c r="H305" s="2971">
        <v>0</v>
      </c>
      <c r="I305" s="2972">
        <v>0</v>
      </c>
    </row>
    <row r="306" spans="3:9" ht="20.100000000000001" customHeight="1">
      <c r="C306" s="2969"/>
      <c r="D306" s="2970"/>
      <c r="E306" s="2975">
        <v>1</v>
      </c>
      <c r="F306" s="717"/>
      <c r="G306" s="2975">
        <v>0</v>
      </c>
      <c r="H306" s="2971">
        <v>0</v>
      </c>
      <c r="I306" s="2972">
        <v>0</v>
      </c>
    </row>
    <row r="307" spans="3:9" ht="20.100000000000001" customHeight="1">
      <c r="C307" s="2969"/>
      <c r="D307" s="2970"/>
      <c r="E307" s="2975">
        <v>1</v>
      </c>
      <c r="F307" s="717"/>
      <c r="G307" s="2975">
        <v>0</v>
      </c>
      <c r="H307" s="2971">
        <v>0</v>
      </c>
      <c r="I307" s="2972">
        <v>0</v>
      </c>
    </row>
    <row r="308" spans="3:9" ht="20.100000000000001" customHeight="1">
      <c r="C308" s="2969"/>
      <c r="D308" s="2970"/>
      <c r="E308" s="2975">
        <v>1</v>
      </c>
      <c r="F308" s="717"/>
      <c r="G308" s="2975">
        <v>0</v>
      </c>
      <c r="H308" s="2971">
        <v>0</v>
      </c>
      <c r="I308" s="2972">
        <v>0</v>
      </c>
    </row>
    <row r="309" spans="3:9" ht="20.100000000000001" customHeight="1">
      <c r="C309" s="2969"/>
      <c r="D309" s="2970"/>
      <c r="E309" s="2975">
        <v>1</v>
      </c>
      <c r="F309" s="717"/>
      <c r="G309" s="2975">
        <v>0</v>
      </c>
      <c r="H309" s="2971">
        <v>0</v>
      </c>
      <c r="I309" s="2972">
        <v>0</v>
      </c>
    </row>
    <row r="310" spans="3:9" ht="20.100000000000001" customHeight="1">
      <c r="C310" s="2969"/>
      <c r="D310" s="2970"/>
      <c r="E310" s="2975">
        <v>1</v>
      </c>
      <c r="F310" s="717"/>
      <c r="G310" s="2975">
        <v>0</v>
      </c>
      <c r="H310" s="2971">
        <v>0</v>
      </c>
      <c r="I310" s="2972">
        <v>0</v>
      </c>
    </row>
    <row r="311" spans="3:9" ht="20.100000000000001" customHeight="1">
      <c r="C311" s="2969"/>
      <c r="D311" s="2970"/>
      <c r="E311" s="2975">
        <v>1</v>
      </c>
      <c r="F311" s="717"/>
      <c r="G311" s="2975">
        <v>0</v>
      </c>
      <c r="H311" s="2971">
        <v>0</v>
      </c>
      <c r="I311" s="2972">
        <v>0</v>
      </c>
    </row>
    <row r="312" spans="3:9" ht="20.100000000000001" customHeight="1">
      <c r="C312" s="2969"/>
      <c r="D312" s="2970"/>
      <c r="E312" s="2975">
        <v>1</v>
      </c>
      <c r="F312" s="717"/>
      <c r="G312" s="2975">
        <v>0</v>
      </c>
      <c r="H312" s="2971">
        <v>0</v>
      </c>
      <c r="I312" s="2972">
        <v>0</v>
      </c>
    </row>
    <row r="313" spans="3:9" ht="20.100000000000001" customHeight="1">
      <c r="C313" s="2969"/>
      <c r="D313" s="2970"/>
      <c r="E313" s="2975">
        <v>1</v>
      </c>
      <c r="F313" s="717"/>
      <c r="G313" s="2975">
        <v>0</v>
      </c>
      <c r="H313" s="2971">
        <v>0</v>
      </c>
      <c r="I313" s="2972">
        <v>0</v>
      </c>
    </row>
    <row r="314" spans="3:9" ht="20.100000000000001" customHeight="1">
      <c r="C314" s="2969"/>
      <c r="D314" s="2970"/>
      <c r="E314" s="2975">
        <v>1</v>
      </c>
      <c r="F314" s="717"/>
      <c r="G314" s="2975">
        <v>0</v>
      </c>
      <c r="H314" s="2971">
        <v>0</v>
      </c>
      <c r="I314" s="2972">
        <v>0</v>
      </c>
    </row>
    <row r="315" spans="3:9" ht="20.100000000000001" customHeight="1">
      <c r="C315" s="2969"/>
      <c r="D315" s="2970"/>
      <c r="E315" s="2975">
        <v>1</v>
      </c>
      <c r="F315" s="717"/>
      <c r="G315" s="2975">
        <v>0</v>
      </c>
      <c r="H315" s="2971">
        <v>0</v>
      </c>
      <c r="I315" s="2972">
        <v>0</v>
      </c>
    </row>
    <row r="316" spans="3:9" ht="20.100000000000001" customHeight="1">
      <c r="C316" s="2969"/>
      <c r="D316" s="2970"/>
      <c r="E316" s="2975">
        <v>1</v>
      </c>
      <c r="F316" s="717"/>
      <c r="G316" s="2975">
        <v>0</v>
      </c>
      <c r="H316" s="2971">
        <v>0</v>
      </c>
      <c r="I316" s="2972">
        <v>0</v>
      </c>
    </row>
    <row r="317" spans="3:9" ht="20.100000000000001" customHeight="1">
      <c r="C317" s="2969"/>
      <c r="D317" s="2970"/>
      <c r="E317" s="2975">
        <v>1</v>
      </c>
      <c r="F317" s="717"/>
      <c r="G317" s="2975">
        <v>0</v>
      </c>
      <c r="H317" s="2971">
        <v>0</v>
      </c>
      <c r="I317" s="2972">
        <v>0</v>
      </c>
    </row>
    <row r="318" spans="3:9" ht="20.100000000000001" customHeight="1">
      <c r="C318" s="2969"/>
      <c r="D318" s="2970"/>
      <c r="E318" s="2975">
        <v>1</v>
      </c>
      <c r="F318" s="717"/>
      <c r="G318" s="2975">
        <v>0</v>
      </c>
      <c r="H318" s="2971">
        <v>0</v>
      </c>
      <c r="I318" s="2972">
        <v>0</v>
      </c>
    </row>
    <row r="319" spans="3:9" ht="20.100000000000001" customHeight="1">
      <c r="C319" s="2969"/>
      <c r="D319" s="2970"/>
      <c r="E319" s="2975">
        <v>1</v>
      </c>
      <c r="F319" s="717"/>
      <c r="G319" s="2975">
        <v>0</v>
      </c>
      <c r="H319" s="2971">
        <v>0</v>
      </c>
      <c r="I319" s="2972">
        <v>0</v>
      </c>
    </row>
    <row r="320" spans="3:9" ht="20.100000000000001" customHeight="1">
      <c r="C320" s="2969"/>
      <c r="D320" s="2970"/>
      <c r="E320" s="2975">
        <v>1</v>
      </c>
      <c r="F320" s="717"/>
      <c r="G320" s="2975">
        <v>0</v>
      </c>
      <c r="H320" s="2971">
        <v>0</v>
      </c>
      <c r="I320" s="2972">
        <v>0</v>
      </c>
    </row>
    <row r="321" spans="3:9" ht="20.100000000000001" customHeight="1">
      <c r="C321" s="2969"/>
      <c r="D321" s="2970"/>
      <c r="E321" s="2975">
        <v>1</v>
      </c>
      <c r="F321" s="717"/>
      <c r="G321" s="2975">
        <v>0</v>
      </c>
      <c r="H321" s="2971">
        <v>0</v>
      </c>
      <c r="I321" s="2972">
        <v>0</v>
      </c>
    </row>
    <row r="322" spans="3:9" ht="20.100000000000001" customHeight="1">
      <c r="C322" s="2969"/>
      <c r="D322" s="2970"/>
      <c r="E322" s="2975">
        <v>1</v>
      </c>
      <c r="F322" s="717"/>
      <c r="G322" s="2975">
        <v>0</v>
      </c>
      <c r="H322" s="2971">
        <v>0</v>
      </c>
      <c r="I322" s="2972">
        <v>0</v>
      </c>
    </row>
    <row r="323" spans="3:9" ht="20.100000000000001" customHeight="1">
      <c r="C323" s="2969"/>
      <c r="D323" s="2970"/>
      <c r="E323" s="2975">
        <v>1</v>
      </c>
      <c r="F323" s="717"/>
      <c r="G323" s="2975">
        <v>0</v>
      </c>
      <c r="H323" s="2971">
        <v>0</v>
      </c>
      <c r="I323" s="2972">
        <v>0</v>
      </c>
    </row>
    <row r="324" spans="3:9" ht="20.100000000000001" customHeight="1">
      <c r="C324" s="2969"/>
      <c r="D324" s="2970"/>
      <c r="E324" s="2975">
        <v>1</v>
      </c>
      <c r="F324" s="717"/>
      <c r="G324" s="2975">
        <v>0</v>
      </c>
      <c r="H324" s="2971">
        <v>0</v>
      </c>
      <c r="I324" s="2972">
        <v>0</v>
      </c>
    </row>
    <row r="325" spans="3:9" ht="20.100000000000001" customHeight="1">
      <c r="C325" s="2969"/>
      <c r="D325" s="2970"/>
      <c r="E325" s="2975">
        <v>1</v>
      </c>
      <c r="F325" s="717"/>
      <c r="G325" s="2975">
        <v>0</v>
      </c>
      <c r="H325" s="2971">
        <v>0</v>
      </c>
      <c r="I325" s="2972">
        <v>0</v>
      </c>
    </row>
    <row r="326" spans="3:9" ht="20.100000000000001" customHeight="1">
      <c r="C326" s="2969"/>
      <c r="D326" s="2970"/>
      <c r="E326" s="2975">
        <v>1</v>
      </c>
      <c r="F326" s="717"/>
      <c r="G326" s="2975">
        <v>0</v>
      </c>
      <c r="H326" s="2971">
        <v>0</v>
      </c>
      <c r="I326" s="2972">
        <v>0</v>
      </c>
    </row>
  </sheetData>
  <mergeCells count="1">
    <mergeCell ref="A285:C285"/>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1046" t="s">
        <v>1638</v>
      </c>
      <c r="E3" s="1046" t="s">
        <v>1644</v>
      </c>
      <c r="F3" s="1046" t="s">
        <v>1638</v>
      </c>
      <c r="G3" s="1046" t="s">
        <v>1639</v>
      </c>
      <c r="H3" s="1046" t="s">
        <v>1638</v>
      </c>
      <c r="I3" s="1046" t="s">
        <v>1639</v>
      </c>
    </row>
    <row r="4" spans="1:9" ht="15">
      <c r="A4" s="1973" t="str">
        <f>项目基本情况!S2</f>
        <v>房地产</v>
      </c>
      <c r="B4" s="1046">
        <f>项目基本情况!C17</f>
        <v>34353.799999999996</v>
      </c>
      <c r="C4" s="1046">
        <f>项目基本情况!C18</f>
        <v>10335.5</v>
      </c>
      <c r="D4" s="1046">
        <f ca="1">结果表!D118</f>
        <v>32</v>
      </c>
      <c r="E4" s="1046">
        <f ca="1">结果表!E118</f>
        <v>10635</v>
      </c>
      <c r="F4" s="1046">
        <f ca="1">结果表!F118</f>
        <v>27</v>
      </c>
      <c r="G4" s="1046">
        <f ca="1">结果表!G118</f>
        <v>8973</v>
      </c>
      <c r="H4" s="1046">
        <f ca="1">结果表!H118</f>
        <v>59</v>
      </c>
      <c r="I4" s="1046">
        <f ca="1">结果表!I118</f>
        <v>19608</v>
      </c>
    </row>
    <row r="5" spans="1:9" ht="30" customHeight="1">
      <c r="A5" s="2995" t="s">
        <v>1640</v>
      </c>
      <c r="B5" s="2995"/>
      <c r="C5" s="2995"/>
      <c r="D5" s="2996" t="str">
        <f ca="1">结果表!D119</f>
        <v>叁拾贰万元整</v>
      </c>
      <c r="E5" s="2996"/>
      <c r="F5" s="2996" t="str">
        <f ca="1">结果表!F119</f>
        <v>贰拾柒万元整</v>
      </c>
      <c r="G5" s="2996"/>
      <c r="H5" s="2996" t="str">
        <f ca="1">结果表!H119</f>
        <v>伍拾玖万元整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1640</v>
      </c>
      <c r="B7" s="2995"/>
      <c r="C7" s="2995"/>
      <c r="D7" s="2998" t="str">
        <f>结果表!D121</f>
        <v>零元整</v>
      </c>
      <c r="E7" s="2999"/>
      <c r="F7" s="2999"/>
      <c r="G7" s="2999"/>
      <c r="H7" s="2999"/>
      <c r="I7" s="3000"/>
    </row>
    <row r="8" spans="1:9" ht="15.75">
      <c r="A8" s="2997" t="str">
        <f>结果表!A122</f>
        <v>房地产抵押价值</v>
      </c>
      <c r="B8" s="2997"/>
      <c r="C8" s="2997"/>
      <c r="D8" s="2997">
        <f ca="1">结果表!D122</f>
        <v>59</v>
      </c>
      <c r="E8" s="2997"/>
      <c r="F8" s="2997"/>
      <c r="G8" s="2997"/>
      <c r="H8" s="2997"/>
      <c r="I8" s="2997"/>
    </row>
    <row r="9" spans="1:9" ht="15">
      <c r="A9" s="2995" t="s">
        <v>1640</v>
      </c>
      <c r="B9" s="2995"/>
      <c r="C9" s="2995"/>
      <c r="D9" s="2996" t="str">
        <f ca="1">结果表!D123</f>
        <v>伍拾玖万元整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1640</v>
      </c>
      <c r="B11" s="2995"/>
      <c r="C11" s="2995"/>
      <c r="D11" s="2996" t="e">
        <f>结果表!D125</f>
        <v>#VALUE!</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4" t="s">
        <v>1662</v>
      </c>
      <c r="B1" s="3004"/>
      <c r="C1" s="3004"/>
      <c r="D1" s="3004"/>
    </row>
    <row r="2" spans="1:4" ht="18">
      <c r="A2" s="3005" t="s">
        <v>1646</v>
      </c>
      <c r="B2" s="3005"/>
      <c r="C2" s="3005"/>
      <c r="D2" s="3005"/>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05" t="s">
        <v>1652</v>
      </c>
      <c r="B6" s="3005"/>
      <c r="C6" s="3005"/>
      <c r="D6" s="3005"/>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06" t="s">
        <v>1655</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（1）根据估价对象《不动产权证书》复印件、，截至价值时点，估价对象抵押权未见登记。</v>
      </c>
      <c r="B15" s="3007"/>
      <c r="C15" s="3007"/>
      <c r="D15" s="3007"/>
    </row>
    <row r="16" spans="1:4" ht="30" customHeight="1">
      <c r="A16" s="3010" t="s">
        <v>1656</v>
      </c>
      <c r="B16" s="3010"/>
      <c r="C16" s="3010"/>
      <c r="D16" s="3010"/>
    </row>
    <row r="17" spans="1:4" ht="144" customHeight="1">
      <c r="A17" s="3010" t="s">
        <v>1657</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1658</v>
      </c>
      <c r="B22" s="3012"/>
      <c r="C22" s="3012"/>
      <c r="D22" s="3012"/>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8" t="s">
        <v>1669</v>
      </c>
      <c r="B15" s="3013" t="s">
        <v>136</v>
      </c>
      <c r="C15" s="3014"/>
    </row>
    <row r="16" spans="1:7" ht="13.5">
      <c r="A16" s="3019"/>
      <c r="B16" s="3013" t="s">
        <v>69</v>
      </c>
      <c r="C16" s="3014"/>
    </row>
    <row r="17" spans="1:3" ht="13.5">
      <c r="A17" s="3019"/>
      <c r="B17" s="3016" t="s">
        <v>1670</v>
      </c>
      <c r="C17" s="2000" t="s">
        <v>1669</v>
      </c>
    </row>
    <row r="18" spans="1:3" ht="13.5">
      <c r="A18" s="3019"/>
      <c r="B18" s="3016"/>
      <c r="C18" s="2000" t="s">
        <v>1671</v>
      </c>
    </row>
    <row r="19" spans="1:3" ht="13.5">
      <c r="A19" s="3019"/>
      <c r="B19" s="3016"/>
      <c r="C19" s="2000" t="s">
        <v>1672</v>
      </c>
    </row>
    <row r="20" spans="1:3" ht="13.5">
      <c r="A20" s="3020"/>
      <c r="B20" s="3015" t="s">
        <v>1673</v>
      </c>
      <c r="C20" s="3014"/>
    </row>
    <row r="21" spans="1:3" ht="13.5">
      <c r="A21" s="2001" t="s">
        <v>1674</v>
      </c>
      <c r="B21" s="2002"/>
      <c r="C21" s="2003"/>
    </row>
    <row r="22" spans="1:3" ht="13.5">
      <c r="A22" s="3017" t="s">
        <v>1675</v>
      </c>
      <c r="B22" s="3015" t="s">
        <v>1676</v>
      </c>
      <c r="C22" s="3014"/>
    </row>
    <row r="23" spans="1:3" ht="13.5">
      <c r="A23" s="3017"/>
      <c r="B23" s="3015" t="s">
        <v>1677</v>
      </c>
      <c r="C23" s="3014"/>
    </row>
    <row r="24" spans="1:3" ht="13.5">
      <c r="A24" s="3017"/>
      <c r="B24" s="3015" t="s">
        <v>1678</v>
      </c>
      <c r="C24" s="3014"/>
    </row>
    <row r="25" spans="1:3" ht="13.5">
      <c r="A25" s="3017"/>
      <c r="B25" s="3016" t="s">
        <v>1679</v>
      </c>
      <c r="C25" s="2000" t="s">
        <v>1680</v>
      </c>
    </row>
    <row r="26" spans="1:3" ht="13.5">
      <c r="A26" s="3017"/>
      <c r="B26" s="3016"/>
      <c r="C26" s="2000" t="s">
        <v>1681</v>
      </c>
    </row>
    <row r="27" spans="1:3" ht="13.5">
      <c r="A27" s="3017"/>
      <c r="B27" s="3016"/>
      <c r="C27" s="2000" t="s">
        <v>1682</v>
      </c>
    </row>
    <row r="28" spans="1:3" ht="13.5">
      <c r="A28" s="3017"/>
      <c r="B28" s="3016"/>
      <c r="C28" s="2000" t="s">
        <v>1683</v>
      </c>
    </row>
    <row r="29" spans="1:3" ht="13.5">
      <c r="A29" s="3017"/>
      <c r="B29" s="3016"/>
      <c r="C29" s="2000" t="s">
        <v>1684</v>
      </c>
    </row>
    <row r="30" spans="1:3" ht="13.5">
      <c r="A30" s="3017"/>
      <c r="B30" s="3016"/>
      <c r="C30" s="2000" t="s">
        <v>1685</v>
      </c>
    </row>
    <row r="31" spans="1:3" ht="13.5">
      <c r="A31" s="3017"/>
      <c r="B31" s="3016"/>
      <c r="C31" s="2000" t="s">
        <v>1686</v>
      </c>
    </row>
    <row r="32" spans="1:3" ht="13.5">
      <c r="A32" s="3017"/>
      <c r="B32" s="3016"/>
      <c r="C32" s="2000" t="s">
        <v>1687</v>
      </c>
    </row>
    <row r="33" spans="1:3" ht="13.5">
      <c r="A33" s="3017"/>
      <c r="B33" s="3016"/>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43406</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3035</v>
      </c>
      <c r="B12" s="1024">
        <v>1120110054</v>
      </c>
      <c r="C12" s="2944">
        <v>43937</v>
      </c>
      <c r="D12" s="1703" t="s">
        <v>3035</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21" t="s">
        <v>846</v>
      </c>
      <c r="B25" s="3021"/>
      <c r="C25" s="3021"/>
      <c r="D25" s="3021"/>
      <c r="E25" s="3021"/>
      <c r="F25" s="3021"/>
      <c r="G25" s="3021"/>
    </row>
    <row r="26" spans="1:7" s="1027" customFormat="1" ht="24" customHeight="1">
      <c r="A26" s="3022" t="s">
        <v>847</v>
      </c>
      <c r="B26" s="3022"/>
      <c r="C26" s="3023"/>
      <c r="D26" s="3024" t="s">
        <v>848</v>
      </c>
      <c r="E26" s="3022"/>
      <c r="F26" s="3022"/>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2018-11-01T17:49:58Z</dcterms:modified>
</cp:coreProperties>
</file>