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Objects="none" codeName="ThisWorkbook" autoCompressPictures="0" defaultThemeVersion="124226"/>
  <bookViews>
    <workbookView xWindow="0" yWindow="0" windowWidth="19320" windowHeight="13620" tabRatio="875" firstSheet="18"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全期规划指标表 " sheetId="74" state="hidden" r:id="rId13"/>
    <sheet name="当期规划指标表 " sheetId="75"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土地案例" sheetId="72" r:id="rId31"/>
    <sheet name="Sheet1" sheetId="69" r:id="rId32"/>
    <sheet name="剩余法-待开发" sheetId="12" r:id="rId33"/>
    <sheet name="酒店收入计算" sheetId="57" state="hidden" r:id="rId34"/>
    <sheet name="成本逼近法" sheetId="11" state="hidden" r:id="rId35"/>
    <sheet name="不动产比较法-住宅（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比较法-住宅（多层）" sheetId="78" state="hidden" r:id="rId44"/>
    <sheet name="不动产比较法-住宅（独栋）" sheetId="77" r:id="rId45"/>
    <sheet name="不动产收益法" sheetId="15" r:id="rId46"/>
    <sheet name="Sheet5" sheetId="73" r:id="rId47"/>
  </sheets>
  <externalReferences>
    <externalReference r:id="rId48"/>
    <externalReference r:id="rId49"/>
    <externalReference r:id="rId50"/>
    <externalReference r:id="rId51"/>
    <externalReference r:id="rId52"/>
    <externalReference r:id="rId53"/>
    <externalReference r:id="rId54"/>
  </externalReferences>
  <definedNames>
    <definedName name="_1111" localSheetId="44">EVALUATE+#REF!</definedName>
    <definedName name="_1111" localSheetId="43">EVALUATE+#REF!</definedName>
    <definedName name="_1111" localSheetId="13">EVALUATE+#REF!</definedName>
    <definedName name="_1111" localSheetId="12">EVALUATE+#REF!</definedName>
    <definedName name="_1111">EVALUATE+#REF!</definedName>
    <definedName name="_235" localSheetId="44">EVALUATE+#REF!</definedName>
    <definedName name="_235" localSheetId="43">EVALUATE+#REF!</definedName>
    <definedName name="_235" localSheetId="13">EVALUATE+#REF!</definedName>
    <definedName name="_235" localSheetId="12">EVALUATE+#REF!</definedName>
    <definedName name="_235">EVALUATE+#REF!</definedName>
    <definedName name="_44" localSheetId="44">EVALUATE+#REF!</definedName>
    <definedName name="_44" localSheetId="43">EVALUATE+#REF!</definedName>
    <definedName name="_44" localSheetId="13">EVALUATE+#REF!</definedName>
    <definedName name="_44" localSheetId="12">EVALUATE+#REF!</definedName>
    <definedName name="_44">EVALUATE+#REF!</definedName>
    <definedName name="_4444444" localSheetId="44">EVALUATE+#REF!</definedName>
    <definedName name="_4444444" localSheetId="43">EVALUATE+#REF!</definedName>
    <definedName name="_4444444" localSheetId="13">EVALUATE+#REF!</definedName>
    <definedName name="_4444444" localSheetId="12">EVALUATE+#REF!</definedName>
    <definedName name="_4444444">EVALUATE+#REF!</definedName>
    <definedName name="_666" localSheetId="44">EVALUATE+#REF!</definedName>
    <definedName name="_666" localSheetId="43">EVALUATE+#REF!</definedName>
    <definedName name="_666" localSheetId="13">EVALUATE+#REF!</definedName>
    <definedName name="_666" localSheetId="12">EVALUATE+#REF!</definedName>
    <definedName name="_666">EVALUATE+#REF!</definedName>
    <definedName name="_666666" localSheetId="44">EVALUATE+#REF!</definedName>
    <definedName name="_666666" localSheetId="43">EVALUATE+#REF!</definedName>
    <definedName name="_666666" localSheetId="13">EVALUATE+#REF!</definedName>
    <definedName name="_666666" localSheetId="12">EVALUATE+#REF!</definedName>
    <definedName name="_666666">EVALUATE+#REF!</definedName>
    <definedName name="_77" localSheetId="44">EVALUATE+#REF!</definedName>
    <definedName name="_77" localSheetId="43">EVALUATE+#REF!</definedName>
    <definedName name="_77" localSheetId="13">EVALUATE+#REF!</definedName>
    <definedName name="_77" localSheetId="12">EVALUATE+#REF!</definedName>
    <definedName name="_77">EVALUATE+#REF!</definedName>
    <definedName name="_8_8" localSheetId="44">EVALUATE+#REF!</definedName>
    <definedName name="_8_8" localSheetId="43">EVALUATE+#REF!</definedName>
    <definedName name="_8_8" localSheetId="13">EVALUATE+#REF!</definedName>
    <definedName name="_8_8" localSheetId="12">EVALUATE+#REF!</definedName>
    <definedName name="_8_8">EVALUATE+#REF!</definedName>
    <definedName name="_999999" localSheetId="44">EVALUATE+#REF!</definedName>
    <definedName name="_999999" localSheetId="43">EVALUATE+#REF!</definedName>
    <definedName name="_999999" localSheetId="13">EVALUATE+#REF!</definedName>
    <definedName name="_999999" localSheetId="12">EVALUATE+#REF!</definedName>
    <definedName name="_999999">EVALUATE+#REF!</definedName>
    <definedName name="_DAT1" localSheetId="44">#REF!</definedName>
    <definedName name="_DAT1" localSheetId="43">#REF!</definedName>
    <definedName name="_DAT1" localSheetId="12">#REF!</definedName>
    <definedName name="_DAT1">#REF!</definedName>
    <definedName name="_DAT10" localSheetId="44">#REF!</definedName>
    <definedName name="_DAT10" localSheetId="43">#REF!</definedName>
    <definedName name="_DAT10" localSheetId="12">#REF!</definedName>
    <definedName name="_DAT10">#REF!</definedName>
    <definedName name="_DAT11" localSheetId="44">#REF!</definedName>
    <definedName name="_DAT11" localSheetId="43">#REF!</definedName>
    <definedName name="_DAT11" localSheetId="12">#REF!</definedName>
    <definedName name="_DAT11">#REF!</definedName>
    <definedName name="_DAT12" localSheetId="44">#REF!</definedName>
    <definedName name="_DAT12" localSheetId="43">#REF!</definedName>
    <definedName name="_DAT12" localSheetId="12">#REF!</definedName>
    <definedName name="_DAT12">#REF!</definedName>
    <definedName name="_DAT13" localSheetId="44">#REF!</definedName>
    <definedName name="_DAT13" localSheetId="43">#REF!</definedName>
    <definedName name="_DAT13" localSheetId="12">#REF!</definedName>
    <definedName name="_DAT13">#REF!</definedName>
    <definedName name="_DAT14" localSheetId="44">#REF!</definedName>
    <definedName name="_DAT14" localSheetId="43">#REF!</definedName>
    <definedName name="_DAT14" localSheetId="12">#REF!</definedName>
    <definedName name="_DAT14">#REF!</definedName>
    <definedName name="_DAT15" localSheetId="44">#REF!</definedName>
    <definedName name="_DAT15" localSheetId="43">#REF!</definedName>
    <definedName name="_DAT15" localSheetId="12">#REF!</definedName>
    <definedName name="_DAT15">#REF!</definedName>
    <definedName name="_DAT16" localSheetId="44">#REF!</definedName>
    <definedName name="_DAT16" localSheetId="43">#REF!</definedName>
    <definedName name="_DAT16" localSheetId="12">#REF!</definedName>
    <definedName name="_DAT16">#REF!</definedName>
    <definedName name="_DAT17" localSheetId="44">#REF!</definedName>
    <definedName name="_DAT17" localSheetId="43">#REF!</definedName>
    <definedName name="_DAT17" localSheetId="12">#REF!</definedName>
    <definedName name="_DAT17">#REF!</definedName>
    <definedName name="_DAT18" localSheetId="44">#REF!</definedName>
    <definedName name="_DAT18" localSheetId="43">#REF!</definedName>
    <definedName name="_DAT18" localSheetId="12">#REF!</definedName>
    <definedName name="_DAT18">#REF!</definedName>
    <definedName name="_DAT19" localSheetId="44">#REF!</definedName>
    <definedName name="_DAT19" localSheetId="43">#REF!</definedName>
    <definedName name="_DAT19" localSheetId="12">#REF!</definedName>
    <definedName name="_DAT19">#REF!</definedName>
    <definedName name="_DAT2" localSheetId="44">#REF!</definedName>
    <definedName name="_DAT2" localSheetId="43">#REF!</definedName>
    <definedName name="_DAT2" localSheetId="12">#REF!</definedName>
    <definedName name="_DAT2">#REF!</definedName>
    <definedName name="_DAT20" localSheetId="44">#REF!</definedName>
    <definedName name="_DAT20" localSheetId="43">#REF!</definedName>
    <definedName name="_DAT20" localSheetId="12">#REF!</definedName>
    <definedName name="_DAT20">#REF!</definedName>
    <definedName name="_DAT21" localSheetId="44">#REF!</definedName>
    <definedName name="_DAT21" localSheetId="43">#REF!</definedName>
    <definedName name="_DAT21" localSheetId="12">#REF!</definedName>
    <definedName name="_DAT21">#REF!</definedName>
    <definedName name="_DAT22" localSheetId="44">#REF!</definedName>
    <definedName name="_DAT22" localSheetId="43">#REF!</definedName>
    <definedName name="_DAT22" localSheetId="12">#REF!</definedName>
    <definedName name="_DAT22">#REF!</definedName>
    <definedName name="_DAT2222" localSheetId="44">#REF!</definedName>
    <definedName name="_DAT2222" localSheetId="43">#REF!</definedName>
    <definedName name="_DAT2222" localSheetId="12">#REF!</definedName>
    <definedName name="_DAT2222">#REF!</definedName>
    <definedName name="_DAT23" localSheetId="44">#REF!</definedName>
    <definedName name="_DAT23" localSheetId="43">#REF!</definedName>
    <definedName name="_DAT23" localSheetId="12">#REF!</definedName>
    <definedName name="_DAT23">#REF!</definedName>
    <definedName name="_DAT24" localSheetId="44">#REF!</definedName>
    <definedName name="_DAT24" localSheetId="43">#REF!</definedName>
    <definedName name="_DAT24" localSheetId="12">#REF!</definedName>
    <definedName name="_DAT24">#REF!</definedName>
    <definedName name="_DAT25" localSheetId="44">#REF!</definedName>
    <definedName name="_DAT25" localSheetId="43">#REF!</definedName>
    <definedName name="_DAT25" localSheetId="12">#REF!</definedName>
    <definedName name="_DAT25">#REF!</definedName>
    <definedName name="_DAT26" localSheetId="44">#REF!</definedName>
    <definedName name="_DAT26" localSheetId="43">#REF!</definedName>
    <definedName name="_DAT26" localSheetId="12">#REF!</definedName>
    <definedName name="_DAT26">#REF!</definedName>
    <definedName name="_DAT27" localSheetId="44">#REF!</definedName>
    <definedName name="_DAT27" localSheetId="43">#REF!</definedName>
    <definedName name="_DAT27" localSheetId="12">#REF!</definedName>
    <definedName name="_DAT27">#REF!</definedName>
    <definedName name="_DAT28" localSheetId="44">#REF!</definedName>
    <definedName name="_DAT28" localSheetId="43">#REF!</definedName>
    <definedName name="_DAT28" localSheetId="12">#REF!</definedName>
    <definedName name="_DAT28">#REF!</definedName>
    <definedName name="_DAT29" localSheetId="44">#REF!</definedName>
    <definedName name="_DAT29" localSheetId="43">#REF!</definedName>
    <definedName name="_DAT29" localSheetId="12">#REF!</definedName>
    <definedName name="_DAT29">#REF!</definedName>
    <definedName name="_DAT3" localSheetId="44">#REF!</definedName>
    <definedName name="_DAT3" localSheetId="43">#REF!</definedName>
    <definedName name="_DAT3" localSheetId="12">#REF!</definedName>
    <definedName name="_DAT3">#REF!</definedName>
    <definedName name="_DAT4" localSheetId="44">#REF!</definedName>
    <definedName name="_DAT4" localSheetId="43">#REF!</definedName>
    <definedName name="_DAT4" localSheetId="12">#REF!</definedName>
    <definedName name="_DAT4">#REF!</definedName>
    <definedName name="_DAT5" localSheetId="44">#REF!</definedName>
    <definedName name="_DAT5" localSheetId="43">#REF!</definedName>
    <definedName name="_DAT5" localSheetId="12">#REF!</definedName>
    <definedName name="_DAT5">#REF!</definedName>
    <definedName name="_DAT6" localSheetId="44">#REF!</definedName>
    <definedName name="_DAT6" localSheetId="43">#REF!</definedName>
    <definedName name="_DAT6" localSheetId="12">#REF!</definedName>
    <definedName name="_DAT6">#REF!</definedName>
    <definedName name="_DAT7" localSheetId="44">#REF!</definedName>
    <definedName name="_DAT7" localSheetId="43">#REF!</definedName>
    <definedName name="_DAT7" localSheetId="12">#REF!</definedName>
    <definedName name="_DAT7">#REF!</definedName>
    <definedName name="_DAT8" localSheetId="44">#REF!</definedName>
    <definedName name="_DAT8" localSheetId="43">#REF!</definedName>
    <definedName name="_DAT8" localSheetId="12">#REF!</definedName>
    <definedName name="_DAT8">#REF!</definedName>
    <definedName name="_DAT9" localSheetId="44">#REF!</definedName>
    <definedName name="_DAT9" localSheetId="43">#REF!</definedName>
    <definedName name="_DAT9" localSheetId="12">#REF!</definedName>
    <definedName name="_DAT9">#REF!</definedName>
    <definedName name="_ddv" localSheetId="44">EVALUATE+#REF!</definedName>
    <definedName name="_ddv" localSheetId="43">EVALUATE+#REF!</definedName>
    <definedName name="_ddv" localSheetId="13">EVALUATE+#REF!</definedName>
    <definedName name="_ddv" localSheetId="12">EVALUATE+#REF!</definedName>
    <definedName name="_ddv">EVALUATE+#REF!</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44" hidden="1">'不动产比较法-住宅（独栋）'!$A$1:$L$49</definedName>
    <definedName name="_xlnm._FilterDatabase" localSheetId="43" hidden="1">'不动产比较法-住宅（多层）'!$A$1:$L$49</definedName>
    <definedName name="_xlnm._FilterDatabase" localSheetId="35" hidden="1">'不动产比较法-住宅（高层）'!$A$1:$L$49</definedName>
    <definedName name="_xlnm._FilterDatabase" localSheetId="10" hidden="1">'数据-基础表'!$A$12:$AT$572</definedName>
    <definedName name="_xlnm._FilterDatabase" localSheetId="9" hidden="1">项目基本情况!$A$48:$N$48</definedName>
    <definedName name="_h" localSheetId="44">EVALUATE+#REF!</definedName>
    <definedName name="_h" localSheetId="43">EVALUATE+#REF!</definedName>
    <definedName name="_h" localSheetId="13">EVALUATE+#REF!</definedName>
    <definedName name="_h" localSheetId="12">EVALUATE+#REF!</definedName>
    <definedName name="_h">EVALUATE+#REF!</definedName>
    <definedName name="_oo" localSheetId="44">EVALUATE+#REF!</definedName>
    <definedName name="_oo" localSheetId="43">EVALUATE+#REF!</definedName>
    <definedName name="_oo" localSheetId="13">EVALUATE+#REF!</definedName>
    <definedName name="_oo" localSheetId="12">EVALUATE+#REF!</definedName>
    <definedName name="_oo">EVALUATE+#REF!</definedName>
    <definedName name="_rrrr" localSheetId="44">EVALUATE+#REF!</definedName>
    <definedName name="_rrrr" localSheetId="43">EVALUATE+#REF!</definedName>
    <definedName name="_rrrr" localSheetId="13">EVALUATE+#REF!</definedName>
    <definedName name="_rrrr" localSheetId="12">EVALUATE+#REF!</definedName>
    <definedName name="_rrrr">EVALUATE+#REF!</definedName>
    <definedName name="_工程名称">[1]Sheet2!$A$1</definedName>
    <definedName name="bb" localSheetId="44">#REF!</definedName>
    <definedName name="bb" localSheetId="43">#REF!</definedName>
    <definedName name="bb" localSheetId="12">#REF!</definedName>
    <definedName name="bb">#REF!</definedName>
    <definedName name="bbbb" localSheetId="44">EVALUATE+#REF!</definedName>
    <definedName name="bbbb" localSheetId="43">EVALUATE+#REF!</definedName>
    <definedName name="bbbb" localSheetId="13">EVALUATE+#REF!</definedName>
    <definedName name="bbbb" localSheetId="12">EVALUATE+#REF!</definedName>
    <definedName name="bbbb">EVALUATE+#REF!</definedName>
    <definedName name="bbbvvv" localSheetId="44">EVALUATE+#REF!</definedName>
    <definedName name="bbbvvv" localSheetId="43">EVALUATE+#REF!</definedName>
    <definedName name="bbbvvv" localSheetId="13">EVALUATE+#REF!</definedName>
    <definedName name="bbbvvv" localSheetId="12">EVALUATE+#REF!</definedName>
    <definedName name="bbbvvv">EVALUATE+#REF!</definedName>
    <definedName name="bf" localSheetId="44">EVALUATE+#REF!</definedName>
    <definedName name="bf" localSheetId="43">EVALUATE+#REF!</definedName>
    <definedName name="bf" localSheetId="13">EVALUATE+#REF!</definedName>
    <definedName name="bf" localSheetId="12">EVALUATE+#REF!</definedName>
    <definedName name="bf">EVALUATE+#REF!</definedName>
    <definedName name="bg" localSheetId="44">#REF!</definedName>
    <definedName name="bg" localSheetId="43">#REF!</definedName>
    <definedName name="bg" localSheetId="12">#REF!</definedName>
    <definedName name="bg">#REF!</definedName>
    <definedName name="cc" localSheetId="44">#REF!</definedName>
    <definedName name="cc" localSheetId="43">#REF!</definedName>
    <definedName name="cc" localSheetId="12">#REF!</definedName>
    <definedName name="cc">#REF!</definedName>
    <definedName name="cx" localSheetId="44">EVALUATE+#REF!</definedName>
    <definedName name="cx" localSheetId="43">EVALUATE+#REF!</definedName>
    <definedName name="cx" localSheetId="13">EVALUATE+#REF!</definedName>
    <definedName name="cx" localSheetId="12">EVALUATE+#REF!</definedName>
    <definedName name="cx">EVALUATE+#REF!</definedName>
    <definedName name="cxdsa" localSheetId="44">EVALUATE+#REF!</definedName>
    <definedName name="cxdsa" localSheetId="43">EVALUATE+#REF!</definedName>
    <definedName name="cxdsa" localSheetId="13">EVALUATE+#REF!</definedName>
    <definedName name="cxdsa" localSheetId="12">EVALUATE+#REF!</definedName>
    <definedName name="cxdsa">EVALUATE+#REF!</definedName>
    <definedName name="data" localSheetId="44">#REF!</definedName>
    <definedName name="data" localSheetId="43">#REF!</definedName>
    <definedName name="data" localSheetId="12">#REF!</definedName>
    <definedName name="data">#REF!</definedName>
    <definedName name="ddd" localSheetId="44">EVALUATE+#REF!</definedName>
    <definedName name="ddd" localSheetId="43">EVALUATE+#REF!</definedName>
    <definedName name="ddd" localSheetId="13">EVALUATE+#REF!</definedName>
    <definedName name="ddd" localSheetId="12">EVALUATE+#REF!</definedName>
    <definedName name="ddd">EVALUATE+#REF!</definedName>
    <definedName name="ddda" localSheetId="44">EVALUATE+#REF!</definedName>
    <definedName name="ddda" localSheetId="43">EVALUATE+#REF!</definedName>
    <definedName name="ddda" localSheetId="13">EVALUATE+#REF!</definedName>
    <definedName name="ddda" localSheetId="12">EVALUATE+#REF!</definedName>
    <definedName name="ddda">EVALUATE+#REF!</definedName>
    <definedName name="ddff" localSheetId="44">#REF!</definedName>
    <definedName name="ddff" localSheetId="43">#REF!</definedName>
    <definedName name="ddff" localSheetId="12">#REF!</definedName>
    <definedName name="ddff">#REF!</definedName>
    <definedName name="ddfvfddssd" localSheetId="44">EVALUATE+#REF!</definedName>
    <definedName name="ddfvfddssd" localSheetId="43">EVALUATE+#REF!</definedName>
    <definedName name="ddfvfddssd" localSheetId="13">EVALUATE+#REF!</definedName>
    <definedName name="ddfvfddssd" localSheetId="12">EVALUATE+#REF!</definedName>
    <definedName name="ddfvfddssd">EVALUATE+#REF!</definedName>
    <definedName name="ddfvfsde" localSheetId="44">EVALUATE+#REF!</definedName>
    <definedName name="ddfvfsde" localSheetId="43">EVALUATE+#REF!</definedName>
    <definedName name="ddfvfsde" localSheetId="13">EVALUATE+#REF!</definedName>
    <definedName name="ddfvfsde" localSheetId="12">EVALUATE+#REF!</definedName>
    <definedName name="ddfvfsde">EVALUATE+#REF!</definedName>
    <definedName name="dds" localSheetId="44">EVALUATE+#REF!</definedName>
    <definedName name="dds" localSheetId="43">EVALUATE+#REF!</definedName>
    <definedName name="dds" localSheetId="13">EVALUATE+#REF!</definedName>
    <definedName name="dds" localSheetId="12">EVALUATE+#REF!</definedName>
    <definedName name="dds">EVALUATE+#REF!</definedName>
    <definedName name="df" localSheetId="44">EVALUATE+#REF!</definedName>
    <definedName name="df" localSheetId="43">EVALUATE+#REF!</definedName>
    <definedName name="df" localSheetId="13">EVALUATE+#REF!</definedName>
    <definedName name="df" localSheetId="12">EVALUATE+#REF!</definedName>
    <definedName name="df">EVALUATE+#REF!</definedName>
    <definedName name="dfsd" localSheetId="44">#REF!</definedName>
    <definedName name="dfsd" localSheetId="43">#REF!</definedName>
    <definedName name="dfsd" localSheetId="12">#REF!</definedName>
    <definedName name="dfsd">#REF!</definedName>
    <definedName name="dscsdcsd" localSheetId="44">EVALUATE+#REF!</definedName>
    <definedName name="dscsdcsd" localSheetId="43">EVALUATE+#REF!</definedName>
    <definedName name="dscsdcsd" localSheetId="13">EVALUATE+#REF!</definedName>
    <definedName name="dscsdcsd" localSheetId="12">EVALUATE+#REF!</definedName>
    <definedName name="dscsdcsd">EVALUATE+#REF!</definedName>
    <definedName name="dssdfsd" localSheetId="44">EVALUATE+#REF!</definedName>
    <definedName name="dssdfsd" localSheetId="43">EVALUATE+#REF!</definedName>
    <definedName name="dssdfsd" localSheetId="13">EVALUATE+#REF!</definedName>
    <definedName name="dssdfsd" localSheetId="12">EVALUATE+#REF!</definedName>
    <definedName name="dssdfsd">EVALUATE+#REF!</definedName>
    <definedName name="e" localSheetId="44">EVALUATE+#REF!</definedName>
    <definedName name="e" localSheetId="43">EVALUATE+#REF!</definedName>
    <definedName name="e" localSheetId="13">EVALUATE+#REF!</definedName>
    <definedName name="e" localSheetId="12">EVALUATE+#REF!</definedName>
    <definedName name="e">EVALUATE+#REF!</definedName>
    <definedName name="eewfwe" localSheetId="44">EVALUATE+#REF!</definedName>
    <definedName name="eewfwe" localSheetId="43">EVALUATE+#REF!</definedName>
    <definedName name="eewfwe" localSheetId="13">EVALUATE+#REF!</definedName>
    <definedName name="eewfwe" localSheetId="12">EVALUATE+#REF!</definedName>
    <definedName name="eewfwe">EVALUATE+#REF!</definedName>
    <definedName name="f" localSheetId="44">#REF!</definedName>
    <definedName name="f" localSheetId="43">#REF!</definedName>
    <definedName name="f" localSheetId="12">#REF!</definedName>
    <definedName name="f">#REF!</definedName>
    <definedName name="fdfses" localSheetId="44">#REF!</definedName>
    <definedName name="fdfses" localSheetId="43">#REF!</definedName>
    <definedName name="fdfses" localSheetId="12">#REF!</definedName>
    <definedName name="fdfses">#REF!</definedName>
    <definedName name="ffewfsd" localSheetId="44">EVALUATE+#REF!</definedName>
    <definedName name="ffewfsd" localSheetId="43">EVALUATE+#REF!</definedName>
    <definedName name="ffewfsd" localSheetId="13">EVALUATE+#REF!</definedName>
    <definedName name="ffewfsd" localSheetId="12">EVALUATE+#REF!</definedName>
    <definedName name="ffewfsd">EVALUATE+#REF!</definedName>
    <definedName name="ffffffff" localSheetId="44">EVALUATE+#REF!</definedName>
    <definedName name="ffffffff" localSheetId="43">EVALUATE+#REF!</definedName>
    <definedName name="ffffffff" localSheetId="13">EVALUATE+#REF!</definedName>
    <definedName name="ffffffff" localSheetId="12">EVALUATE+#REF!</definedName>
    <definedName name="ffffffff">EVALUATE+#REF!</definedName>
    <definedName name="fffffffff" localSheetId="44">EVALUATE+#REF!</definedName>
    <definedName name="fffffffff" localSheetId="43">EVALUATE+#REF!</definedName>
    <definedName name="fffffffff" localSheetId="13">EVALUATE+#REF!</definedName>
    <definedName name="fffffffff" localSheetId="12">EVALUATE+#REF!</definedName>
    <definedName name="fffffffff">EVALUATE+#REF!</definedName>
    <definedName name="ffss" localSheetId="44">EVALUATE+#REF!</definedName>
    <definedName name="ffss" localSheetId="43">EVALUATE+#REF!</definedName>
    <definedName name="ffss" localSheetId="13">EVALUATE+#REF!</definedName>
    <definedName name="ffss" localSheetId="12">EVALUATE+#REF!</definedName>
    <definedName name="ffss">EVALUATE+#REF!</definedName>
    <definedName name="fggfdse" localSheetId="44">EVALUATE+#REF!</definedName>
    <definedName name="fggfdse" localSheetId="43">EVALUATE+#REF!</definedName>
    <definedName name="fggfdse" localSheetId="13">EVALUATE+#REF!</definedName>
    <definedName name="fggfdse" localSheetId="12">EVALUATE+#REF!</definedName>
    <definedName name="fggfdse">EVALUATE+#REF!</definedName>
    <definedName name="fs" localSheetId="44">EVALUATE+#REF!</definedName>
    <definedName name="fs" localSheetId="43">EVALUATE+#REF!</definedName>
    <definedName name="fs" localSheetId="13">EVALUATE+#REF!</definedName>
    <definedName name="fs" localSheetId="12">EVALUATE+#REF!</definedName>
    <definedName name="fs">EVALUATE+#REF!</definedName>
    <definedName name="fsfsdf" localSheetId="44">#REF!</definedName>
    <definedName name="fsfsdf" localSheetId="43">#REF!</definedName>
    <definedName name="fsfsdf" localSheetId="12">#REF!</definedName>
    <definedName name="fsfsdf">#REF!</definedName>
    <definedName name="fssss" localSheetId="44">EVALUATE+#REF!</definedName>
    <definedName name="fssss" localSheetId="43">EVALUATE+#REF!</definedName>
    <definedName name="fssss" localSheetId="13">EVALUATE+#REF!</definedName>
    <definedName name="fssss" localSheetId="12">EVALUATE+#REF!</definedName>
    <definedName name="fssss">EVALUATE+#REF!</definedName>
    <definedName name="fvb" localSheetId="44">EVALUATE+#REF!</definedName>
    <definedName name="fvb" localSheetId="43">EVALUATE+#REF!</definedName>
    <definedName name="fvb" localSheetId="13">EVALUATE+#REF!</definedName>
    <definedName name="fvb" localSheetId="12">EVALUATE+#REF!</definedName>
    <definedName name="fvb">EVALUATE+#REF!</definedName>
    <definedName name="g" localSheetId="44">EVALUATE+#REF!</definedName>
    <definedName name="g" localSheetId="43">EVALUATE+#REF!</definedName>
    <definedName name="g" localSheetId="13">EVALUATE+#REF!</definedName>
    <definedName name="g" localSheetId="12">EVALUATE+#REF!</definedName>
    <definedName name="g">EVALUATE+#REF!</definedName>
    <definedName name="gdb" localSheetId="44">EVALUATE+#REF!</definedName>
    <definedName name="gdb" localSheetId="43">EVALUATE+#REF!</definedName>
    <definedName name="gdb" localSheetId="13">EVALUATE+#REF!</definedName>
    <definedName name="gdb" localSheetId="12">EVALUATE+#REF!</definedName>
    <definedName name="gdb">EVALUATE+#REF!</definedName>
    <definedName name="ggd" localSheetId="44">EVALUATE+#REF!</definedName>
    <definedName name="ggd" localSheetId="43">EVALUATE+#REF!</definedName>
    <definedName name="ggd" localSheetId="13">EVALUATE+#REF!</definedName>
    <definedName name="ggd" localSheetId="12">EVALUATE+#REF!</definedName>
    <definedName name="ggd">EVALUATE+#REF!</definedName>
    <definedName name="ggg" localSheetId="44">EVALUATE+#REF!</definedName>
    <definedName name="ggg" localSheetId="43">EVALUATE+#REF!</definedName>
    <definedName name="ggg" localSheetId="13">EVALUATE+#REF!</definedName>
    <definedName name="ggg" localSheetId="12">EVALUATE+#REF!</definedName>
    <definedName name="ggg">EVALUATE+#REF!</definedName>
    <definedName name="ghhh" localSheetId="44">EVALUATE+#REF!</definedName>
    <definedName name="ghhh" localSheetId="43">EVALUATE+#REF!</definedName>
    <definedName name="ghhh" localSheetId="13">EVALUATE+#REF!</definedName>
    <definedName name="ghhh" localSheetId="12">EVALUATE+#REF!</definedName>
    <definedName name="ghhh">EVALUATE+#REF!</definedName>
    <definedName name="growth" localSheetId="44">#REF!</definedName>
    <definedName name="growth" localSheetId="43">#REF!</definedName>
    <definedName name="growth" localSheetId="12">#REF!</definedName>
    <definedName name="growth">#REF!</definedName>
    <definedName name="gvf" localSheetId="44">EVALUATE+#REF!</definedName>
    <definedName name="gvf" localSheetId="43">EVALUATE+#REF!</definedName>
    <definedName name="gvf" localSheetId="13">EVALUATE+#REF!</definedName>
    <definedName name="gvf" localSheetId="12">EVALUATE+#REF!</definedName>
    <definedName name="gvf">EVALUATE+#REF!</definedName>
    <definedName name="h" localSheetId="44">EVALUATE+#REF!</definedName>
    <definedName name="h" localSheetId="43">EVALUATE+#REF!</definedName>
    <definedName name="h" localSheetId="13">EVALUATE+#REF!</definedName>
    <definedName name="h" localSheetId="12">EVALUATE+#REF!</definedName>
    <definedName name="h">EVALUATE+#REF!</definedName>
    <definedName name="hc" localSheetId="44">EVALUATE+#REF!</definedName>
    <definedName name="hc" localSheetId="43">EVALUATE+#REF!</definedName>
    <definedName name="hc" localSheetId="13">EVALUATE+#REF!</definedName>
    <definedName name="hc" localSheetId="12">EVALUATE+#REF!</definedName>
    <definedName name="hc">EVALUATE+#REF!</definedName>
    <definedName name="hf" localSheetId="44">#REF!</definedName>
    <definedName name="hf" localSheetId="43">#REF!</definedName>
    <definedName name="hf" localSheetId="12">#REF!</definedName>
    <definedName name="hf">#REF!</definedName>
    <definedName name="hjk" localSheetId="44">#REF!</definedName>
    <definedName name="hjk" localSheetId="43">#REF!</definedName>
    <definedName name="hjk" localSheetId="12">#REF!</definedName>
    <definedName name="hjk">#REF!</definedName>
    <definedName name="iop" localSheetId="44">EVALUATE+#REF!</definedName>
    <definedName name="iop" localSheetId="43">EVALUATE+#REF!</definedName>
    <definedName name="iop" localSheetId="13">EVALUATE+#REF!</definedName>
    <definedName name="iop" localSheetId="12">EVALUATE+#REF!</definedName>
    <definedName name="iop">EVALUATE+#REF!</definedName>
    <definedName name="kg" localSheetId="44">EVALUATE+#REF!</definedName>
    <definedName name="kg" localSheetId="43">EVALUATE+#REF!</definedName>
    <definedName name="kg" localSheetId="13">EVALUATE+#REF!</definedName>
    <definedName name="kg" localSheetId="12">EVALUATE+#REF!</definedName>
    <definedName name="kg">EVALUATE+#REF!</definedName>
    <definedName name="mh" localSheetId="44">EVALUATE+#REF!</definedName>
    <definedName name="mh" localSheetId="43">EVALUATE+#REF!</definedName>
    <definedName name="mh" localSheetId="13">EVALUATE+#REF!</definedName>
    <definedName name="mh" localSheetId="12">EVALUATE+#REF!</definedName>
    <definedName name="mh">EVALUATE+#REF!</definedName>
    <definedName name="nnnn" localSheetId="44">EVALUATE+#REF!</definedName>
    <definedName name="nnnn" localSheetId="43">EVALUATE+#REF!</definedName>
    <definedName name="nnnn" localSheetId="13">EVALUATE+#REF!</definedName>
    <definedName name="nnnn" localSheetId="12">EVALUATE+#REF!</definedName>
    <definedName name="nnnn">EVALUATE+#REF!</definedName>
    <definedName name="_xlnm.Print_Area" localSheetId="18">结果表!$A$1:$I$61</definedName>
    <definedName name="rf" localSheetId="44">EVALUATE+#REF!</definedName>
    <definedName name="rf" localSheetId="43">EVALUATE+#REF!</definedName>
    <definedName name="rf" localSheetId="13">EVALUATE+#REF!</definedName>
    <definedName name="rf" localSheetId="12">EVALUATE+#REF!</definedName>
    <definedName name="rf">EVALUATE+#REF!</definedName>
    <definedName name="rr" localSheetId="44">#REF!</definedName>
    <definedName name="rr" localSheetId="43">#REF!</definedName>
    <definedName name="rr" localSheetId="12">#REF!</definedName>
    <definedName name="rr">#REF!</definedName>
    <definedName name="rw" localSheetId="44">EVALUATE+#REF!</definedName>
    <definedName name="rw" localSheetId="43">EVALUATE+#REF!</definedName>
    <definedName name="rw" localSheetId="13">EVALUATE+#REF!</definedName>
    <definedName name="rw" localSheetId="12">EVALUATE+#REF!</definedName>
    <definedName name="rw">EVALUATE+#REF!</definedName>
    <definedName name="rwewddw" localSheetId="44">#REF!</definedName>
    <definedName name="rwewddw" localSheetId="43">#REF!</definedName>
    <definedName name="rwewddw" localSheetId="12">#REF!</definedName>
    <definedName name="rwewddw">#REF!</definedName>
    <definedName name="s" localSheetId="44">EVALUATE+#REF!</definedName>
    <definedName name="s" localSheetId="43">EVALUATE+#REF!</definedName>
    <definedName name="s" localSheetId="13">EVALUATE+#REF!</definedName>
    <definedName name="s" localSheetId="12">EVALUATE+#REF!</definedName>
    <definedName name="s">EVALUATE+#REF!</definedName>
    <definedName name="scf" localSheetId="44">EVALUATE+#REF!</definedName>
    <definedName name="scf" localSheetId="43">EVALUATE+#REF!</definedName>
    <definedName name="scf" localSheetId="13">EVALUATE+#REF!</definedName>
    <definedName name="scf" localSheetId="12">EVALUATE+#REF!</definedName>
    <definedName name="scf">EVALUATE+#REF!</definedName>
    <definedName name="sfsbgbbv" localSheetId="44">EVALUATE+#REF!</definedName>
    <definedName name="sfsbgbbv" localSheetId="43">EVALUATE+#REF!</definedName>
    <definedName name="sfsbgbbv" localSheetId="13">EVALUATE+#REF!</definedName>
    <definedName name="sfsbgbbv" localSheetId="12">EVALUATE+#REF!</definedName>
    <definedName name="sfsbgbbv">EVALUATE+#REF!</definedName>
    <definedName name="sfsdfsdf" localSheetId="44">EVALUATE+#REF!</definedName>
    <definedName name="sfsdfsdf" localSheetId="43">EVALUATE+#REF!</definedName>
    <definedName name="sfsdfsdf" localSheetId="13">EVALUATE+#REF!</definedName>
    <definedName name="sfsdfsdf" localSheetId="12">EVALUATE+#REF!</definedName>
    <definedName name="sfsdfsdf">EVALUATE+#REF!</definedName>
    <definedName name="ss" localSheetId="44">#REF!</definedName>
    <definedName name="ss" localSheetId="43">#REF!</definedName>
    <definedName name="ss" localSheetId="12">#REF!</definedName>
    <definedName name="ss">#REF!</definedName>
    <definedName name="sssfsd" localSheetId="44">EVALUATE+#REF!</definedName>
    <definedName name="sssfsd" localSheetId="43">EVALUATE+#REF!</definedName>
    <definedName name="sssfsd" localSheetId="13">EVALUATE+#REF!</definedName>
    <definedName name="sssfsd" localSheetId="12">EVALUATE+#REF!</definedName>
    <definedName name="sssfsd">EVALUATE+#REF!</definedName>
    <definedName name="TEST0" localSheetId="44">#REF!</definedName>
    <definedName name="TEST0" localSheetId="43">#REF!</definedName>
    <definedName name="TEST0" localSheetId="12">#REF!</definedName>
    <definedName name="TEST0">#REF!</definedName>
    <definedName name="TESTHKEY" localSheetId="44">#REF!</definedName>
    <definedName name="TESTHKEY" localSheetId="43">#REF!</definedName>
    <definedName name="TESTHKEY" localSheetId="12">#REF!</definedName>
    <definedName name="TESTHKEY">#REF!</definedName>
    <definedName name="TESTKEYS" localSheetId="44">#REF!</definedName>
    <definedName name="TESTKEYS" localSheetId="43">#REF!</definedName>
    <definedName name="TESTKEYS" localSheetId="12">#REF!</definedName>
    <definedName name="TESTKEYS">#REF!</definedName>
    <definedName name="TESTVKEY" localSheetId="44">#REF!</definedName>
    <definedName name="TESTVKEY" localSheetId="43">#REF!</definedName>
    <definedName name="TESTVKEY" localSheetId="12">#REF!</definedName>
    <definedName name="TESTVKEY">#REF!</definedName>
    <definedName name="vgh" localSheetId="44">EVALUATE+#REF!</definedName>
    <definedName name="vgh" localSheetId="43">EVALUATE+#REF!</definedName>
    <definedName name="vgh" localSheetId="13">EVALUATE+#REF!</definedName>
    <definedName name="vgh" localSheetId="12">EVALUATE+#REF!</definedName>
    <definedName name="vgh">EVALUATE+#REF!</definedName>
    <definedName name="wdw" localSheetId="44">EVALUATE+#REF!</definedName>
    <definedName name="wdw" localSheetId="43">EVALUATE+#REF!</definedName>
    <definedName name="wdw" localSheetId="13">EVALUATE+#REF!</definedName>
    <definedName name="wdw" localSheetId="12">EVALUATE+#REF!</definedName>
    <definedName name="wdw">EVALUATE+#REF!</definedName>
    <definedName name="wdwewewe" localSheetId="44">EVALUATE+#REF!</definedName>
    <definedName name="wdwewewe" localSheetId="43">EVALUATE+#REF!</definedName>
    <definedName name="wdwewewe" localSheetId="13">EVALUATE+#REF!</definedName>
    <definedName name="wdwewewe" localSheetId="12">EVALUATE+#REF!</definedName>
    <definedName name="wdwewewe">EVALUATE+#REF!</definedName>
    <definedName name="wewewewewe" localSheetId="44">EVALUATE+#REF!</definedName>
    <definedName name="wewewewewe" localSheetId="43">EVALUATE+#REF!</definedName>
    <definedName name="wewewewewe" localSheetId="13">EVALUATE+#REF!</definedName>
    <definedName name="wewewewewe" localSheetId="12">EVALUATE+#REF!</definedName>
    <definedName name="wewewewewe">EVALUATE+#REF!</definedName>
    <definedName name="wewewewewqf" localSheetId="44">EVALUATE+#REF!</definedName>
    <definedName name="wewewewewqf" localSheetId="43">EVALUATE+#REF!</definedName>
    <definedName name="wewewewewqf" localSheetId="13">EVALUATE+#REF!</definedName>
    <definedName name="wewewewewqf" localSheetId="12">EVALUATE+#REF!</definedName>
    <definedName name="wewewewewqf">EVALUATE+#REF!</definedName>
    <definedName name="Z_FEB52D3D_66C1_4F9D_88D2_8AFFA45C0F7E_.wvu.Cols" localSheetId="13" hidden="1">'当期规划指标表 '!$JO:$JO,'当期规划指标表 '!$TK:$TK,'当期规划指标表 '!$ADG:$ADG,'当期规划指标表 '!$ANC:$ANC,'当期规划指标表 '!$AWY:$AWY,'当期规划指标表 '!$BGU:$BGU,'当期规划指标表 '!$BQQ:$BQQ,'当期规划指标表 '!$CAM:$CAM,'当期规划指标表 '!$CKI:$CKI,'当期规划指标表 '!$CUE:$CUE,'当期规划指标表 '!$DEA:$DEA,'当期规划指标表 '!$DNW:$DNW,'当期规划指标表 '!$DXS:$DXS,'当期规划指标表 '!$EHO:$EHO,'当期规划指标表 '!$ERK:$ERK,'当期规划指标表 '!$FBG:$FBG,'当期规划指标表 '!$FLC:$FLC,'当期规划指标表 '!$FUY:$FUY,'当期规划指标表 '!$GEU:$GEU,'当期规划指标表 '!$GOQ:$GOQ,'当期规划指标表 '!$GYM:$GYM,'当期规划指标表 '!$HII:$HII,'当期规划指标表 '!$HSE:$HSE,'当期规划指标表 '!$ICA:$ICA,'当期规划指标表 '!$ILW:$ILW,'当期规划指标表 '!$IVS:$IVS,'当期规划指标表 '!$JFO:$JFO,'当期规划指标表 '!$JPK:$JPK,'当期规划指标表 '!$JZG:$JZG,'当期规划指标表 '!$KJC:$KJC,'当期规划指标表 '!$KSY:$KSY,'当期规划指标表 '!$LCU:$LCU,'当期规划指标表 '!$LMQ:$LMQ,'当期规划指标表 '!$LWM:$LWM,'当期规划指标表 '!$MGI:$MGI,'当期规划指标表 '!$MQE:$MQE,'当期规划指标表 '!$NAA:$NAA,'当期规划指标表 '!$NJW:$NJW,'当期规划指标表 '!$NTS:$NTS,'当期规划指标表 '!$ODO:$ODO,'当期规划指标表 '!$ONK:$ONK,'当期规划指标表 '!$OXG:$OXG,'当期规划指标表 '!$PHC:$PHC,'当期规划指标表 '!$PQY:$PQY,'当期规划指标表 '!$QAU:$QAU,'当期规划指标表 '!$QKQ:$QKQ,'当期规划指标表 '!$QUM:$QUM,'当期规划指标表 '!$REI:$REI,'当期规划指标表 '!$ROE:$ROE,'当期规划指标表 '!$RYA:$RYA,'当期规划指标表 '!$SHW:$SHW,'当期规划指标表 '!$SRS:$SRS,'当期规划指标表 '!$TBO:$TBO,'当期规划指标表 '!$TLK:$TLK,'当期规划指标表 '!$TVG:$TVG,'当期规划指标表 '!$UFC:$UFC,'当期规划指标表 '!$UOY:$UOY,'当期规划指标表 '!$UYU:$UYU,'当期规划指标表 '!$VIQ:$VIQ,'当期规划指标表 '!$VSM:$VSM,'当期规划指标表 '!$WCI:$WCI,'当期规划指标表 '!$WME:$WME,'当期规划指标表 '!$WWA:$WWA</definedName>
    <definedName name="Z_FEB52D3D_66C1_4F9D_88D2_8AFFA45C0F7E_.wvu.Cols" localSheetId="12" hidden="1">'全期规划指标表 '!$JO:$JO,'全期规划指标表 '!$TK:$TK,'全期规划指标表 '!$ADG:$ADG,'全期规划指标表 '!$ANC:$ANC,'全期规划指标表 '!$AWY:$AWY,'全期规划指标表 '!$BGU:$BGU,'全期规划指标表 '!$BQQ:$BQQ,'全期规划指标表 '!$CAM:$CAM,'全期规划指标表 '!$CKI:$CKI,'全期规划指标表 '!$CUE:$CUE,'全期规划指标表 '!$DEA:$DEA,'全期规划指标表 '!$DNW:$DNW,'全期规划指标表 '!$DXS:$DXS,'全期规划指标表 '!$EHO:$EHO,'全期规划指标表 '!$ERK:$ERK,'全期规划指标表 '!$FBG:$FBG,'全期规划指标表 '!$FLC:$FLC,'全期规划指标表 '!$FUY:$FUY,'全期规划指标表 '!$GEU:$GEU,'全期规划指标表 '!$GOQ:$GOQ,'全期规划指标表 '!$GYM:$GYM,'全期规划指标表 '!$HII:$HII,'全期规划指标表 '!$HSE:$HSE,'全期规划指标表 '!$ICA:$ICA,'全期规划指标表 '!$ILW:$ILW,'全期规划指标表 '!$IVS:$IVS,'全期规划指标表 '!$JFO:$JFO,'全期规划指标表 '!$JPK:$JPK,'全期规划指标表 '!$JZG:$JZG,'全期规划指标表 '!$KJC:$KJC,'全期规划指标表 '!$KSY:$KSY,'全期规划指标表 '!$LCU:$LCU,'全期规划指标表 '!$LMQ:$LMQ,'全期规划指标表 '!$LWM:$LWM,'全期规划指标表 '!$MGI:$MGI,'全期规划指标表 '!$MQE:$MQE,'全期规划指标表 '!$NAA:$NAA,'全期规划指标表 '!$NJW:$NJW,'全期规划指标表 '!$NTS:$NTS,'全期规划指标表 '!$ODO:$ODO,'全期规划指标表 '!$ONK:$ONK,'全期规划指标表 '!$OXG:$OXG,'全期规划指标表 '!$PHC:$PHC,'全期规划指标表 '!$PQY:$PQY,'全期规划指标表 '!$QAU:$QAU,'全期规划指标表 '!$QKQ:$QKQ,'全期规划指标表 '!$QUM:$QUM,'全期规划指标表 '!$REI:$REI,'全期规划指标表 '!$ROE:$ROE,'全期规划指标表 '!$RYA:$RYA,'全期规划指标表 '!$SHW:$SHW,'全期规划指标表 '!$SRS:$SRS,'全期规划指标表 '!$TBO:$TBO,'全期规划指标表 '!$TLK:$TLK,'全期规划指标表 '!$TVG:$TVG,'全期规划指标表 '!$UFC:$UFC,'全期规划指标表 '!$UOY:$UOY,'全期规划指标表 '!$UYU:$UYU,'全期规划指标表 '!$VIQ:$VIQ,'全期规划指标表 '!$VSM:$VSM,'全期规划指标表 '!$WCI:$WCI,'全期规划指标表 '!$WME:$WME,'全期规划指标表 '!$WWA:$WWA</definedName>
    <definedName name="阿瑟">'[2]5201.2004'!$A$1:$I$24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半地下室1" localSheetId="44">[3]主要规划指标!#REF!</definedName>
    <definedName name="半地下室1" localSheetId="43">[3]主要规划指标!#REF!</definedName>
    <definedName name="半地下室1" localSheetId="12">[3]主要规划指标!#REF!</definedName>
    <definedName name="半地下室1">[3]主要规划指标!#REF!</definedName>
    <definedName name="半地下室2" localSheetId="44">[3]主要规划指标!#REF!</definedName>
    <definedName name="半地下室2" localSheetId="43">[3]主要规划指标!#REF!</definedName>
    <definedName name="半地下室2" localSheetId="12">[3]主要规划指标!#REF!</definedName>
    <definedName name="半地下室2">[3]主要规划指标!#REF!</definedName>
    <definedName name="半地下室3" localSheetId="44">[3]主要规划指标!#REF!</definedName>
    <definedName name="半地下室3" localSheetId="43">[3]主要规划指标!#REF!</definedName>
    <definedName name="半地下室3" localSheetId="12">[3]主要规划指标!#REF!</definedName>
    <definedName name="半地下室3">[3]主要规划指标!#REF!</definedName>
    <definedName name="半地下室4" localSheetId="44">[3]主要规划指标!#REF!</definedName>
    <definedName name="半地下室4" localSheetId="43">[3]主要规划指标!#REF!</definedName>
    <definedName name="半地下室4" localSheetId="12">[3]主要规划指标!#REF!</definedName>
    <definedName name="半地下室4">[3]主要规划指标!#REF!</definedName>
    <definedName name="半地下室5" localSheetId="44">[3]主要规划指标!#REF!</definedName>
    <definedName name="半地下室5" localSheetId="43">[3]主要规划指标!#REF!</definedName>
    <definedName name="半地下室5" localSheetId="12">[3]主要规划指标!#REF!</definedName>
    <definedName name="半地下室5">[3]主要规划指标!#REF!</definedName>
    <definedName name="半地下室6" localSheetId="44">[3]主要规划指标!#REF!</definedName>
    <definedName name="半地下室6" localSheetId="43">[3]主要规划指标!#REF!</definedName>
    <definedName name="半地下室6" localSheetId="12">[3]主要规划指标!#REF!</definedName>
    <definedName name="半地下室6">[3]主要规划指标!#REF!</definedName>
    <definedName name="半地下室7" localSheetId="44">[3]主要规划指标!#REF!</definedName>
    <definedName name="半地下室7" localSheetId="43">[3]主要规划指标!#REF!</definedName>
    <definedName name="半地下室7" localSheetId="12">[3]主要规划指标!#REF!</definedName>
    <definedName name="半地下室7">[3]主要规划指标!#REF!</definedName>
    <definedName name="半地下室8" localSheetId="44">[3]主要规划指标!#REF!</definedName>
    <definedName name="半地下室8" localSheetId="43">[3]主要规划指标!#REF!</definedName>
    <definedName name="半地下室8" localSheetId="12">[3]主要规划指标!#REF!</definedName>
    <definedName name="半地下室8">[3]主要规划指标!#REF!</definedName>
    <definedName name="比例" localSheetId="44">#REF!</definedName>
    <definedName name="比例" localSheetId="43">#REF!</definedName>
    <definedName name="比例" localSheetId="12">#REF!</definedName>
    <definedName name="比例">#REF!</definedName>
    <definedName name="表一" localSheetId="44">#REF!</definedName>
    <definedName name="表一" localSheetId="43">#REF!</definedName>
    <definedName name="表一" localSheetId="12">#REF!</definedName>
    <definedName name="表一">#REF!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品成本分摊表" localSheetId="44">#REF!</definedName>
    <definedName name="产品成本分摊表" localSheetId="43">#REF!</definedName>
    <definedName name="产品成本分摊表" localSheetId="12">#REF!</definedName>
    <definedName name="产品成本分摊表">#REF!</definedName>
    <definedName name="产品成本分摊表2" localSheetId="44">#REF!</definedName>
    <definedName name="产品成本分摊表2" localSheetId="43">#REF!</definedName>
    <definedName name="产品成本分摊表2" localSheetId="12">#REF!</definedName>
    <definedName name="产品成本分摊表2">#REF!</definedName>
    <definedName name="产业集聚程度">定义!$N$1:$N$6</definedName>
    <definedName name="超高层" localSheetId="44">EVALUATE+#REF!</definedName>
    <definedName name="超高层" localSheetId="43">EVALUATE+#REF!</definedName>
    <definedName name="超高层" localSheetId="13">EVALUATE+#REF!</definedName>
    <definedName name="超高层" localSheetId="12">EVALUATE+#REF!</definedName>
    <definedName name="超高层">EVALUATE+#REF!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大型商场面积" localSheetId="44">[3]主要规划指标!#REF!</definedName>
    <definedName name="大型商场面积" localSheetId="43">[3]主要规划指标!#REF!</definedName>
    <definedName name="大型商场面积" localSheetId="12">[3]主要规划指标!#REF!</definedName>
    <definedName name="大型商场面积">[3]主要规划指标!#REF!</definedName>
    <definedName name="待发生成本预测" localSheetId="44">#REF!</definedName>
    <definedName name="待发生成本预测" localSheetId="43">#REF!</definedName>
    <definedName name="待发生成本预测" localSheetId="12">#REF!</definedName>
    <definedName name="待发生成本预测">#REF!</definedName>
    <definedName name="单价内涵">定义!$V$1:$V$3</definedName>
    <definedName name="道路占有率1" localSheetId="44">[3]主要规划指标!#REF!</definedName>
    <definedName name="道路占有率1" localSheetId="43">[3]主要规划指标!#REF!</definedName>
    <definedName name="道路占有率1" localSheetId="12">[3]主要规划指标!#REF!</definedName>
    <definedName name="道路占有率1">[3]主要规划指标!#REF!</definedName>
    <definedName name="底层商业" localSheetId="44">EVALUATE+#REF!</definedName>
    <definedName name="底层商业" localSheetId="43">EVALUATE+#REF!</definedName>
    <definedName name="底层商业" localSheetId="13">EVALUATE+#REF!</definedName>
    <definedName name="底层商业" localSheetId="12">EVALUATE+#REF!</definedName>
    <definedName name="底层商业">EVALUATE+#REF!</definedName>
    <definedName name="底商" localSheetId="44">EVALUATE+#REF!</definedName>
    <definedName name="底商" localSheetId="43">EVALUATE+#REF!</definedName>
    <definedName name="底商" localSheetId="13">EVALUATE+#REF!</definedName>
    <definedName name="底商" localSheetId="12">EVALUATE+#REF!</definedName>
    <definedName name="底商">EVALUATE+#REF!</definedName>
    <definedName name="地类判定">定义!$H$1:$H$9</definedName>
    <definedName name="地面停车位1" localSheetId="44">[3]主要规划指标!#REF!</definedName>
    <definedName name="地面停车位1" localSheetId="43">[3]主要规划指标!#REF!</definedName>
    <definedName name="地面停车位1" localSheetId="12">[3]主要规划指标!#REF!</definedName>
    <definedName name="地面停车位1">[3]主要规划指标!#REF!</definedName>
    <definedName name="地面停车位2" localSheetId="44">[3]主要规划指标!#REF!</definedName>
    <definedName name="地面停车位2" localSheetId="43">[3]主要规划指标!#REF!</definedName>
    <definedName name="地面停车位2" localSheetId="12">[3]主要规划指标!#REF!</definedName>
    <definedName name="地面停车位2">[3]主要规划指标!#REF!</definedName>
    <definedName name="地面停车位3" localSheetId="44">[3]主要规划指标!#REF!</definedName>
    <definedName name="地面停车位3" localSheetId="43">[3]主要规划指标!#REF!</definedName>
    <definedName name="地面停车位3" localSheetId="12">[3]主要规划指标!#REF!</definedName>
    <definedName name="地面停车位3">[3]主要规划指标!#REF!</definedName>
    <definedName name="地面停车位4" localSheetId="44">[3]主要规划指标!#REF!</definedName>
    <definedName name="地面停车位4" localSheetId="43">[3]主要规划指标!#REF!</definedName>
    <definedName name="地面停车位4" localSheetId="12">[3]主要规划指标!#REF!</definedName>
    <definedName name="地面停车位4">[3]主要规划指标!#REF!</definedName>
    <definedName name="地面停车位5" localSheetId="44">[3]主要规划指标!#REF!</definedName>
    <definedName name="地面停车位5" localSheetId="43">[3]主要规划指标!#REF!</definedName>
    <definedName name="地面停车位5" localSheetId="12">[3]主要规划指标!#REF!</definedName>
    <definedName name="地面停车位5">[3]主要规划指标!#REF!</definedName>
    <definedName name="地面停车位6" localSheetId="44">[3]主要规划指标!#REF!</definedName>
    <definedName name="地面停车位6" localSheetId="43">[3]主要规划指标!#REF!</definedName>
    <definedName name="地面停车位6" localSheetId="12">[3]主要规划指标!#REF!</definedName>
    <definedName name="地面停车位6">[3]主要规划指标!#REF!</definedName>
    <definedName name="地面停车位7" localSheetId="44">[3]主要规划指标!#REF!</definedName>
    <definedName name="地面停车位7" localSheetId="43">[3]主要规划指标!#REF!</definedName>
    <definedName name="地面停车位7" localSheetId="12">[3]主要规划指标!#REF!</definedName>
    <definedName name="地面停车位7">[3]主要规划指标!#REF!</definedName>
    <definedName name="地面停车位8" localSheetId="44">[3]主要规划指标!#REF!</definedName>
    <definedName name="地面停车位8" localSheetId="43">[3]主要规划指标!#REF!</definedName>
    <definedName name="地面停车位8" localSheetId="12">[3]主要规划指标!#REF!</definedName>
    <definedName name="地面停车位8">[3]主要规划指标!#REF!</definedName>
    <definedName name="地下车库" localSheetId="44">EVALUATE+#REF!</definedName>
    <definedName name="地下车库" localSheetId="43">EVALUATE+#REF!</definedName>
    <definedName name="地下车库" localSheetId="13">EVALUATE+#REF!</definedName>
    <definedName name="地下车库" localSheetId="12">EVALUATE+#REF!</definedName>
    <definedName name="地下车库">EVALUATE+#REF!</definedName>
    <definedName name="地下室面积" localSheetId="44">[3]主要规划指标!#REF!</definedName>
    <definedName name="地下室面积" localSheetId="43">[3]主要规划指标!#REF!</definedName>
    <definedName name="地下室面积" localSheetId="12">[3]主要规划指标!#REF!</definedName>
    <definedName name="地下室面积">[3]主要规划指标!#REF!</definedName>
    <definedName name="地下室总面积" localSheetId="44">[3]主要规划指标!#REF!</definedName>
    <definedName name="地下室总面积" localSheetId="43">[3]主要规划指标!#REF!</definedName>
    <definedName name="地下室总面积" localSheetId="12">[3]主要规划指标!#REF!</definedName>
    <definedName name="地下室总面积">[3]主要规划指标!#REF!</definedName>
    <definedName name="东莞" localSheetId="44">#REF!</definedName>
    <definedName name="东莞" localSheetId="43">#REF!</definedName>
    <definedName name="东莞" localSheetId="12">#REF!</definedName>
    <definedName name="东莞">#REF!</definedName>
    <definedName name="多层建筑面积" localSheetId="44">[3]主要规划指标!#REF!</definedName>
    <definedName name="多层建筑面积" localSheetId="43">[3]主要规划指标!#REF!</definedName>
    <definedName name="多层建筑面积" localSheetId="12">[3]主要规划指标!#REF!</definedName>
    <definedName name="多层建筑面积">[3]主要规划指标!#REF!</definedName>
    <definedName name="多层建筑面积1" localSheetId="44">[3]主要规划指标!#REF!</definedName>
    <definedName name="多层建筑面积1" localSheetId="43">[3]主要规划指标!#REF!</definedName>
    <definedName name="多层建筑面积1" localSheetId="12">[3]主要规划指标!#REF!</definedName>
    <definedName name="多层建筑面积1">[3]主要规划指标!#REF!</definedName>
    <definedName name="多层建筑面积2" localSheetId="44">[3]主要规划指标!#REF!</definedName>
    <definedName name="多层建筑面积2" localSheetId="43">[3]主要规划指标!#REF!</definedName>
    <definedName name="多层建筑面积2" localSheetId="12">[3]主要规划指标!#REF!</definedName>
    <definedName name="多层建筑面积2">[3]主要规划指标!#REF!</definedName>
    <definedName name="多层建筑面积3" localSheetId="44">[3]主要规划指标!#REF!</definedName>
    <definedName name="多层建筑面积3" localSheetId="43">[3]主要规划指标!#REF!</definedName>
    <definedName name="多层建筑面积3" localSheetId="12">[3]主要规划指标!#REF!</definedName>
    <definedName name="多层建筑面积3">[3]主要规划指标!#REF!</definedName>
    <definedName name="多层建筑面积4" localSheetId="44">[3]主要规划指标!#REF!</definedName>
    <definedName name="多层建筑面积4" localSheetId="43">[3]主要规划指标!#REF!</definedName>
    <definedName name="多层建筑面积4" localSheetId="12">[3]主要规划指标!#REF!</definedName>
    <definedName name="多层建筑面积4">[3]主要规划指标!#REF!</definedName>
    <definedName name="多层建筑面积5" localSheetId="44">[3]主要规划指标!#REF!</definedName>
    <definedName name="多层建筑面积5" localSheetId="43">[3]主要规划指标!#REF!</definedName>
    <definedName name="多层建筑面积5" localSheetId="12">[3]主要规划指标!#REF!</definedName>
    <definedName name="多层建筑面积5">[3]主要规划指标!#REF!</definedName>
    <definedName name="多层建筑面积6" localSheetId="44">[3]主要规划指标!#REF!</definedName>
    <definedName name="多层建筑面积6" localSheetId="43">[3]主要规划指标!#REF!</definedName>
    <definedName name="多层建筑面积6" localSheetId="12">[3]主要规划指标!#REF!</definedName>
    <definedName name="多层建筑面积6">[3]主要规划指标!#REF!</definedName>
    <definedName name="多层建筑面积7" localSheetId="44">[3]主要规划指标!#REF!</definedName>
    <definedName name="多层建筑面积7" localSheetId="43">[3]主要规划指标!#REF!</definedName>
    <definedName name="多层建筑面积7" localSheetId="12">[3]主要规划指标!#REF!</definedName>
    <definedName name="多层建筑面积7">[3]主要规划指标!#REF!</definedName>
    <definedName name="多层建筑面积8" localSheetId="44">[3]主要规划指标!#REF!</definedName>
    <definedName name="多层建筑面积8" localSheetId="43">[3]主要规划指标!#REF!</definedName>
    <definedName name="多层建筑面积8" localSheetId="12">[3]主要规划指标!#REF!</definedName>
    <definedName name="多层建筑面积8">[3]主要规划指标!#REF!</definedName>
    <definedName name="多层面积">[4]主要规划指标!$D$9</definedName>
    <definedName name="呃呃呃" localSheetId="44">EVALUATE+#REF!</definedName>
    <definedName name="呃呃呃" localSheetId="43">EVALUATE+#REF!</definedName>
    <definedName name="呃呃呃" localSheetId="13">EVALUATE+#REF!</definedName>
    <definedName name="呃呃呃" localSheetId="12">EVALUATE+#REF!</definedName>
    <definedName name="呃呃呃">EVALUATE+#REF!</definedName>
    <definedName name="二级">区片价!$J$1:$J$20</definedName>
    <definedName name="二级分类">修正!$C$17:$C$39</definedName>
    <definedName name="法定最高年限">定义!$G$2:$G$4</definedName>
    <definedName name="非人防地下室" localSheetId="44">[3]主要规划指标!#REF!</definedName>
    <definedName name="非人防地下室" localSheetId="43">[3]主要规划指标!#REF!</definedName>
    <definedName name="非人防地下室" localSheetId="12">[3]主要规划指标!#REF!</definedName>
    <definedName name="非人防地下室">[3]主要规划指标!#REF!</definedName>
    <definedName name="佛山" localSheetId="44">#REF!</definedName>
    <definedName name="佛山" localSheetId="43">#REF!</definedName>
    <definedName name="佛山" localSheetId="12">#REF!</definedName>
    <definedName name="佛山">#REF!</definedName>
    <definedName name="高层1" localSheetId="44">EVALUATE+#REF!</definedName>
    <definedName name="高层1" localSheetId="43">EVALUATE+#REF!</definedName>
    <definedName name="高层1" localSheetId="13">EVALUATE+#REF!</definedName>
    <definedName name="高层1" localSheetId="12">EVALUATE+#REF!</definedName>
    <definedName name="高层1">EVALUATE+#REF!</definedName>
    <definedName name="各产品类型目标成本表" localSheetId="44">#REF!</definedName>
    <definedName name="各产品类型目标成本表" localSheetId="43">#REF!</definedName>
    <definedName name="各产品类型目标成本表" localSheetId="12">#REF!</definedName>
    <definedName name="各产品类型目标成本表">#REF!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面积" localSheetId="44">[3]主要规划指标!#REF!</definedName>
    <definedName name="公建配套面积" localSheetId="43">[3]主要规划指标!#REF!</definedName>
    <definedName name="公建配套面积" localSheetId="12">[3]主要规划指标!#REF!</definedName>
    <definedName name="公建配套面积">[3]主要规划指标!#REF!</definedName>
    <definedName name="估价方法">定义!$B$1:$B$50</definedName>
    <definedName name="管理用房面积" localSheetId="44">[3]主要规划指标!#REF!</definedName>
    <definedName name="管理用房面积" localSheetId="43">[3]主要规划指标!#REF!</definedName>
    <definedName name="管理用房面积" localSheetId="12">[3]主要规划指标!#REF!</definedName>
    <definedName name="管理用房面积">[3]主要规划指标!#REF!</definedName>
    <definedName name="广州" localSheetId="44">#REF!</definedName>
    <definedName name="广州" localSheetId="43">#REF!</definedName>
    <definedName name="广州" localSheetId="12">#REF!</definedName>
    <definedName name="广州">#REF!</definedName>
    <definedName name="核算项目明细账_1133_06_00" localSheetId="44">#REF!</definedName>
    <definedName name="核算项目明细账_1133_06_00" localSheetId="43">#REF!</definedName>
    <definedName name="核算项目明细账_1133_06_00" localSheetId="12">#REF!</definedName>
    <definedName name="核算项目明细账_1133_06_00">#REF!</definedName>
    <definedName name="户数1" localSheetId="44">[3]主要规划指标!#REF!</definedName>
    <definedName name="户数1" localSheetId="43">[3]主要规划指标!#REF!</definedName>
    <definedName name="户数1" localSheetId="12">[3]主要规划指标!#REF!</definedName>
    <definedName name="户数1">[3]主要规划指标!#REF!</definedName>
    <definedName name="环境">定义!$S$1:$S$6</definedName>
    <definedName name="会所面积" localSheetId="44">[3]主要规划指标!#REF!</definedName>
    <definedName name="会所面积" localSheetId="43">[3]主要规划指标!#REF!</definedName>
    <definedName name="会所面积" localSheetId="12">[3]主要规划指标!#REF!</definedName>
    <definedName name="会所面积">[3]主要规划指标!#REF!</definedName>
    <definedName name="會所不可售部分" localSheetId="44">EVALUATE+#REF!</definedName>
    <definedName name="會所不可售部分" localSheetId="43">EVALUATE+#REF!</definedName>
    <definedName name="會所不可售部分" localSheetId="13">EVALUATE+#REF!</definedName>
    <definedName name="會所不可售部分" localSheetId="12">EVALUATE+#REF!</definedName>
    <definedName name="會所不可售部分">EVALUATE+#REF!</definedName>
    <definedName name="基础设施水平">定义!$R$1:$R$6</definedName>
    <definedName name="集中商业" localSheetId="44">EVALUATE+#REF!</definedName>
    <definedName name="集中商业" localSheetId="43">EVALUATE+#REF!</definedName>
    <definedName name="集中商业" localSheetId="13">EVALUATE+#REF!</definedName>
    <definedName name="集中商业" localSheetId="12">EVALUATE+#REF!</definedName>
    <definedName name="集中商业">EVALUATE+#REF!</definedName>
    <definedName name="计容积率面积" localSheetId="44">[3]主要规划指标!#REF!</definedName>
    <definedName name="计容积率面积" localSheetId="43">[3]主要规划指标!#REF!</definedName>
    <definedName name="计容积率面积" localSheetId="12">[3]主要规划指标!#REF!</definedName>
    <definedName name="计容积率面积">[3]主要规划指标!#REF!</definedName>
    <definedName name="季度">基准地价!$N$19:$AG$19</definedName>
    <definedName name="季度2014">地价!$A$2:$A$22</definedName>
    <definedName name="价值类型2">定义!$B$54:$B$56</definedName>
    <definedName name="架空层面积">[4]主要规划指标!$D$24</definedName>
    <definedName name="架空层面积1" localSheetId="44">[3]主要规划指标!#REF!</definedName>
    <definedName name="架空层面积1" localSheetId="43">[3]主要规划指标!#REF!</definedName>
    <definedName name="架空层面积1" localSheetId="12">[3]主要规划指标!#REF!</definedName>
    <definedName name="架空层面积1">[3]主要规划指标!#REF!</definedName>
    <definedName name="架空层面积2" localSheetId="44">[3]主要规划指标!#REF!</definedName>
    <definedName name="架空层面积2" localSheetId="43">[3]主要规划指标!#REF!</definedName>
    <definedName name="架空层面积2" localSheetId="12">[3]主要规划指标!#REF!</definedName>
    <definedName name="架空层面积2">[3]主要规划指标!#REF!</definedName>
    <definedName name="架空层面积3" localSheetId="44">[3]主要规划指标!#REF!</definedName>
    <definedName name="架空层面积3" localSheetId="43">[3]主要规划指标!#REF!</definedName>
    <definedName name="架空层面积3" localSheetId="12">[3]主要规划指标!#REF!</definedName>
    <definedName name="架空层面积3">[3]主要规划指标!#REF!</definedName>
    <definedName name="架空层面积4" localSheetId="44">[3]主要规划指标!#REF!</definedName>
    <definedName name="架空层面积4" localSheetId="43">[3]主要规划指标!#REF!</definedName>
    <definedName name="架空层面积4" localSheetId="12">[3]主要规划指标!#REF!</definedName>
    <definedName name="架空层面积4">[3]主要规划指标!#REF!</definedName>
    <definedName name="架空层面积5" localSheetId="44">[3]主要规划指标!#REF!</definedName>
    <definedName name="架空层面积5" localSheetId="43">[3]主要规划指标!#REF!</definedName>
    <definedName name="架空层面积5" localSheetId="12">[3]主要规划指标!#REF!</definedName>
    <definedName name="架空层面积5">[3]主要规划指标!#REF!</definedName>
    <definedName name="架空层面积6" localSheetId="44">[3]主要规划指标!#REF!</definedName>
    <definedName name="架空层面积6" localSheetId="43">[3]主要规划指标!#REF!</definedName>
    <definedName name="架空层面积6" localSheetId="12">[3]主要规划指标!#REF!</definedName>
    <definedName name="架空层面积6">[3]主要规划指标!#REF!</definedName>
    <definedName name="架空层面积7" localSheetId="44">[3]主要规划指标!#REF!</definedName>
    <definedName name="架空层面积7" localSheetId="43">[3]主要规划指标!#REF!</definedName>
    <definedName name="架空层面积7" localSheetId="12">[3]主要规划指标!#REF!</definedName>
    <definedName name="架空层面积7">[3]主要规划指标!#REF!</definedName>
    <definedName name="架空层面积8" localSheetId="44">[3]主要规划指标!#REF!</definedName>
    <definedName name="架空层面积8" localSheetId="43">[3]主要规划指标!#REF!</definedName>
    <definedName name="架空层面积8" localSheetId="12">[3]主要规划指标!#REF!</definedName>
    <definedName name="架空层面积8">[3]主要规划指标!#REF!</definedName>
    <definedName name="建筑覆盖率1" localSheetId="44">[3]主要规划指标!#REF!</definedName>
    <definedName name="建筑覆盖率1" localSheetId="43">[3]主要规划指标!#REF!</definedName>
    <definedName name="建筑覆盖率1" localSheetId="12">[3]主要规划指标!#REF!</definedName>
    <definedName name="建筑覆盖率1">[3]主要规划指标!#REF!</definedName>
    <definedName name="建筑面积" localSheetId="44">[3]主要规划指标!#REF!</definedName>
    <definedName name="建筑面积" localSheetId="43">[3]主要规划指标!#REF!</definedName>
    <definedName name="建筑面积" localSheetId="12">[3]主要规划指标!#REF!</definedName>
    <definedName name="建筑面积">[3]主要规划指标!#REF!</definedName>
    <definedName name="交通便捷度">定义!$O$1:$O$6</definedName>
    <definedName name="九级">区片价!$Q$1:$Q$46</definedName>
    <definedName name="酒店面积" localSheetId="44">[3]主要规划指标!#REF!</definedName>
    <definedName name="酒店面积" localSheetId="43">[3]主要规划指标!#REF!</definedName>
    <definedName name="酒店面积" localSheetId="12">[3]主要规划指标!#REF!</definedName>
    <definedName name="酒店面积">[3]主要规划指标!#REF!</definedName>
    <definedName name="居住社区成熟度">定义!$K$1:$K$6</definedName>
    <definedName name="据" localSheetId="44">[3]主要规划指标!#REF!</definedName>
    <definedName name="据" localSheetId="43">[3]主要规划指标!#REF!</definedName>
    <definedName name="据" localSheetId="12">[3]主要规划指标!#REF!</definedName>
    <definedName name="据">[3]主要规划指标!#REF!</definedName>
    <definedName name="开间费" localSheetId="44">#REF!</definedName>
    <definedName name="开间费" localSheetId="43">#REF!</definedName>
    <definedName name="开间费" localSheetId="12">#REF!</definedName>
    <definedName name="开间费">#REF!</definedName>
    <definedName name="开间费2" localSheetId="44">#REF!</definedName>
    <definedName name="开间费2" localSheetId="43">#REF!</definedName>
    <definedName name="开间费2" localSheetId="12">#REF!</definedName>
    <definedName name="开间费2">#REF!</definedName>
    <definedName name="科目余额表" localSheetId="44">#REF!</definedName>
    <definedName name="科目余额表" localSheetId="43">#REF!</definedName>
    <definedName name="科目余额表" localSheetId="12">#REF!</definedName>
    <definedName name="科目余额表">#REF!</definedName>
    <definedName name="可销售面积">[4]主要规划指标!$D$16</definedName>
    <definedName name="可销售面积1" localSheetId="44">[3]主要规划指标!#REF!</definedName>
    <definedName name="可销售面积1" localSheetId="43">[3]主要规划指标!#REF!</definedName>
    <definedName name="可销售面积1" localSheetId="12">[3]主要规划指标!#REF!</definedName>
    <definedName name="可销售面积1">[3]主要规划指标!#REF!</definedName>
    <definedName name="可销售面积2" localSheetId="44">[3]主要规划指标!#REF!</definedName>
    <definedName name="可销售面积2" localSheetId="43">[3]主要规划指标!#REF!</definedName>
    <definedName name="可销售面积2" localSheetId="12">[3]主要规划指标!#REF!</definedName>
    <definedName name="可销售面积2">[3]主要规划指标!#REF!</definedName>
    <definedName name="可销售面积3" localSheetId="44">[3]主要规划指标!#REF!</definedName>
    <definedName name="可销售面积3" localSheetId="43">[3]主要规划指标!#REF!</definedName>
    <definedName name="可销售面积3" localSheetId="12">[3]主要规划指标!#REF!</definedName>
    <definedName name="可销售面积3">[3]主要规划指标!#REF!</definedName>
    <definedName name="可研销售面积" localSheetId="44">[3]主要规划指标!#REF!</definedName>
    <definedName name="可研销售面积" localSheetId="43">[3]主要规划指标!#REF!</definedName>
    <definedName name="可研销售面积" localSheetId="12">[3]主要规划指标!#REF!</definedName>
    <definedName name="可研销售面积">[3]主要规划指标!#REF!</definedName>
    <definedName name="栏杆价格明细" localSheetId="44">EVALUATE+#REF!</definedName>
    <definedName name="栏杆价格明细" localSheetId="43">EVALUATE+#REF!</definedName>
    <definedName name="栏杆价格明细" localSheetId="13">EVALUATE+#REF!</definedName>
    <definedName name="栏杆价格明细" localSheetId="12">EVALUATE+#REF!</definedName>
    <definedName name="栏杆价格明细">EVALUATE+#REF!</definedName>
    <definedName name="栏杆价格明细1" localSheetId="44">EVALUATE+#REF!</definedName>
    <definedName name="栏杆价格明细1" localSheetId="43">EVALUATE+#REF!</definedName>
    <definedName name="栏杆价格明细1" localSheetId="13">EVALUATE+#REF!</definedName>
    <definedName name="栏杆价格明细1" localSheetId="12">EVALUATE+#REF!</definedName>
    <definedName name="栏杆价格明细1">EVALUATE+#REF!</definedName>
    <definedName name="栏杆明细" localSheetId="44">EVALUATE+#REF!</definedName>
    <definedName name="栏杆明细" localSheetId="43">EVALUATE+#REF!</definedName>
    <definedName name="栏杆明细" localSheetId="13">EVALUATE+#REF!</definedName>
    <definedName name="栏杆明细" localSheetId="12">EVALUATE+#REF!</definedName>
    <definedName name="栏杆明细">EVALUATE+#REF!</definedName>
    <definedName name="朗拿" localSheetId="44">EVALUATE+#REF!</definedName>
    <definedName name="朗拿" localSheetId="43">EVALUATE+#REF!</definedName>
    <definedName name="朗拿" localSheetId="13">EVALUATE+#REF!</definedName>
    <definedName name="朗拿" localSheetId="12">EVALUATE+#REF!</definedName>
    <definedName name="朗拿">EVALUATE+#REF!</definedName>
    <definedName name="类别">定义!$J$1:$J$3</definedName>
    <definedName name="利息总额" localSheetId="44">#REF!</definedName>
    <definedName name="利息总额" localSheetId="43">#REF!</definedName>
    <definedName name="利息总额" localSheetId="12">#REF!</definedName>
    <definedName name="利息总额">#REF!</definedName>
    <definedName name="连廊面积" localSheetId="44">[3]主要规划指标!#REF!</definedName>
    <definedName name="连廊面积" localSheetId="43">[3]主要规划指标!#REF!</definedName>
    <definedName name="连廊面积" localSheetId="12">[3]主要规划指标!#REF!</definedName>
    <definedName name="连廊面积">[3]主要规划指标!#REF!</definedName>
    <definedName name="联排别墅不含地下室" localSheetId="44">#REF!</definedName>
    <definedName name="联排别墅不含地下室" localSheetId="43">#REF!</definedName>
    <definedName name="联排别墅不含地下室" localSheetId="12">#REF!</definedName>
    <definedName name="联排别墅不含地下室">#REF!</definedName>
    <definedName name="临街状况">定义!$T$1:$T$5</definedName>
    <definedName name="六级">区片价!$N$1:$N$49</definedName>
    <definedName name="绿地率" localSheetId="44">[3]主要规划指标!#REF!</definedName>
    <definedName name="绿地率" localSheetId="43">[3]主要规划指标!#REF!</definedName>
    <definedName name="绿地率" localSheetId="12">[3]主要规划指标!#REF!</definedName>
    <definedName name="绿地率">[3]主要规划指标!#REF!</definedName>
    <definedName name="绿地率1" localSheetId="44">[3]主要规划指标!#REF!</definedName>
    <definedName name="绿地率1" localSheetId="43">[3]主要规划指标!#REF!</definedName>
    <definedName name="绿地率1" localSheetId="12">[3]主要规划指标!#REF!</definedName>
    <definedName name="绿地率1">[3]主要规划指标!#REF!</definedName>
    <definedName name="绿地率2" localSheetId="44">[3]主要规划指标!#REF!</definedName>
    <definedName name="绿地率2" localSheetId="43">[3]主要规划指标!#REF!</definedName>
    <definedName name="绿地率2" localSheetId="12">[3]主要规划指标!#REF!</definedName>
    <definedName name="绿地率2">[3]主要规划指标!#REF!</definedName>
    <definedName name="绿地率3" localSheetId="44">[3]主要规划指标!#REF!</definedName>
    <definedName name="绿地率3" localSheetId="43">[3]主要规划指标!#REF!</definedName>
    <definedName name="绿地率3" localSheetId="12">[3]主要规划指标!#REF!</definedName>
    <definedName name="绿地率3">[3]主要规划指标!#REF!</definedName>
    <definedName name="绿地率4" localSheetId="44">[3]主要规划指标!#REF!</definedName>
    <definedName name="绿地率4" localSheetId="43">[3]主要规划指标!#REF!</definedName>
    <definedName name="绿地率4" localSheetId="12">[3]主要规划指标!#REF!</definedName>
    <definedName name="绿地率4">[3]主要规划指标!#REF!</definedName>
    <definedName name="绿地率5" localSheetId="44">[3]主要规划指标!#REF!</definedName>
    <definedName name="绿地率5" localSheetId="43">[3]主要规划指标!#REF!</definedName>
    <definedName name="绿地率5" localSheetId="12">[3]主要规划指标!#REF!</definedName>
    <definedName name="绿地率5">[3]主要规划指标!#REF!</definedName>
    <definedName name="绿地率6" localSheetId="44">[3]主要规划指标!#REF!</definedName>
    <definedName name="绿地率6" localSheetId="43">[3]主要规划指标!#REF!</definedName>
    <definedName name="绿地率6" localSheetId="12">[3]主要规划指标!#REF!</definedName>
    <definedName name="绿地率6">[3]主要规划指标!#REF!</definedName>
    <definedName name="绿地率7" localSheetId="44">[3]主要规划指标!#REF!</definedName>
    <definedName name="绿地率7" localSheetId="43">[3]主要规划指标!#REF!</definedName>
    <definedName name="绿地率7" localSheetId="12">[3]主要规划指标!#REF!</definedName>
    <definedName name="绿地率7">[3]主要规划指标!#REF!</definedName>
    <definedName name="绿地率8" localSheetId="44">[3]主要规划指标!#REF!</definedName>
    <definedName name="绿地率8" localSheetId="43">[3]主要规划指标!#REF!</definedName>
    <definedName name="绿地率8" localSheetId="12">[3]主要规划指标!#REF!</definedName>
    <definedName name="绿地率8">[3]主要规划指标!#REF!</definedName>
    <definedName name="面积" localSheetId="44">#REF!</definedName>
    <definedName name="面积" localSheetId="43">#REF!</definedName>
    <definedName name="面积" localSheetId="12">#REF!</definedName>
    <definedName name="面积">#REF!</definedName>
    <definedName name="明细分类账" localSheetId="44">#REF!</definedName>
    <definedName name="明细分类账" localSheetId="43">#REF!</definedName>
    <definedName name="明细分类账" localSheetId="12">#REF!</definedName>
    <definedName name="明细分类账">#REF!</definedName>
    <definedName name="内部装修维护情况">定义!$U$1:$U$6</definedName>
    <definedName name="内街商铺面积" localSheetId="44">[3]主要规划指标!#REF!</definedName>
    <definedName name="内街商铺面积" localSheetId="43">[3]主要规划指标!#REF!</definedName>
    <definedName name="内街商铺面积" localSheetId="12">[3]主要规划指标!#REF!</definedName>
    <definedName name="内街商铺面积">[3]主要规划指标!#REF!</definedName>
    <definedName name="排水管线">[5]基础数据!$AB$2:$AB$10</definedName>
    <definedName name="判定">定义!$D$1:$D$4</definedName>
    <definedName name="普通地下室" localSheetId="44">EVALUATE+#REF!</definedName>
    <definedName name="普通地下室" localSheetId="43">EVALUATE+#REF!</definedName>
    <definedName name="普通地下室" localSheetId="13">EVALUATE+#REF!</definedName>
    <definedName name="普通地下室" localSheetId="12">EVALUATE+#REF!</definedName>
    <definedName name="普通地下室">EVALUATE+#REF!</definedName>
    <definedName name="普通多层" localSheetId="44">EVALUATE+#REF!</definedName>
    <definedName name="普通多层" localSheetId="43">EVALUATE+#REF!</definedName>
    <definedName name="普通多层" localSheetId="13">EVALUATE+#REF!</definedName>
    <definedName name="普通多层" localSheetId="12">EVALUATE+#REF!</definedName>
    <definedName name="普通多层">EVALUATE+#REF!</definedName>
    <definedName name="七级">区片价!$O$1:$O$49</definedName>
    <definedName name="七通一平">修正!$A$6:$A$14</definedName>
    <definedName name="区域土地利用方向">定义!$P$1:$P$6</definedName>
    <definedName name="全期地价分摊" localSheetId="44">EVALUATE+#REF!</definedName>
    <definedName name="全期地价分摊" localSheetId="43">EVALUATE+#REF!</definedName>
    <definedName name="全期地价分摊" localSheetId="13">EVALUATE+#REF!</definedName>
    <definedName name="全期地价分摊" localSheetId="12">EVALUATE+#REF!</definedName>
    <definedName name="全期地价分摊">EVALUATE+#REF!</definedName>
    <definedName name="全项目动态成本表" localSheetId="44">#REF!</definedName>
    <definedName name="全项目动态成本表" localSheetId="43">#REF!</definedName>
    <definedName name="全项目动态成本表" localSheetId="12">#REF!</definedName>
    <definedName name="全项目动态成本表">#REF!</definedName>
    <definedName name="人防地下室" localSheetId="44">[3]主要规划指标!#REF!</definedName>
    <definedName name="人防地下室" localSheetId="43">[3]主要规划指标!#REF!</definedName>
    <definedName name="人防地下室" localSheetId="12">[3]主要规划指标!#REF!</definedName>
    <definedName name="人防地下室">[3]主要规划指标!#REF!</definedName>
    <definedName name="人防地下室1" localSheetId="44">[3]主要规划指标!#REF!</definedName>
    <definedName name="人防地下室1" localSheetId="43">[3]主要规划指标!#REF!</definedName>
    <definedName name="人防地下室1" localSheetId="12">[3]主要规划指标!#REF!</definedName>
    <definedName name="人防地下室1">[3]主要规划指标!#REF!</definedName>
    <definedName name="人防地下室2" localSheetId="44">[3]主要规划指标!#REF!</definedName>
    <definedName name="人防地下室2" localSheetId="43">[3]主要规划指标!#REF!</definedName>
    <definedName name="人防地下室2" localSheetId="12">[3]主要规划指标!#REF!</definedName>
    <definedName name="人防地下室2">[3]主要规划指标!#REF!</definedName>
    <definedName name="人防地下室3" localSheetId="44">[3]主要规划指标!#REF!</definedName>
    <definedName name="人防地下室3" localSheetId="43">[3]主要规划指标!#REF!</definedName>
    <definedName name="人防地下室3" localSheetId="12">[3]主要规划指标!#REF!</definedName>
    <definedName name="人防地下室3">[3]主要规划指标!#REF!</definedName>
    <definedName name="人防地下室4" localSheetId="44">[3]主要规划指标!#REF!</definedName>
    <definedName name="人防地下室4" localSheetId="43">[3]主要规划指标!#REF!</definedName>
    <definedName name="人防地下室4" localSheetId="12">[3]主要规划指标!#REF!</definedName>
    <definedName name="人防地下室4">[3]主要规划指标!#REF!</definedName>
    <definedName name="人防地下室5" localSheetId="44">[3]主要规划指标!#REF!</definedName>
    <definedName name="人防地下室5" localSheetId="43">[3]主要规划指标!#REF!</definedName>
    <definedName name="人防地下室5" localSheetId="12">[3]主要规划指标!#REF!</definedName>
    <definedName name="人防地下室5">[3]主要规划指标!#REF!</definedName>
    <definedName name="人防地下室6" localSheetId="44">[3]主要规划指标!#REF!</definedName>
    <definedName name="人防地下室6" localSheetId="43">[3]主要规划指标!#REF!</definedName>
    <definedName name="人防地下室6" localSheetId="12">[3]主要规划指标!#REF!</definedName>
    <definedName name="人防地下室6">[3]主要规划指标!#REF!</definedName>
    <definedName name="人防地下室7" localSheetId="44">[3]主要规划指标!#REF!</definedName>
    <definedName name="人防地下室7" localSheetId="43">[3]主要规划指标!#REF!</definedName>
    <definedName name="人防地下室7" localSheetId="12">[3]主要规划指标!#REF!</definedName>
    <definedName name="人防地下室7">[3]主要规划指标!#REF!</definedName>
    <definedName name="人防地下室8" localSheetId="44">[3]主要规划指标!#REF!</definedName>
    <definedName name="人防地下室8" localSheetId="43">[3]主要规划指标!#REF!</definedName>
    <definedName name="人防地下室8" localSheetId="12">[3]主要规划指标!#REF!</definedName>
    <definedName name="人防地下室8">[3]主要规划指标!#REF!</definedName>
    <definedName name="容" localSheetId="44">[3]主要规划指标!#REF!</definedName>
    <definedName name="容" localSheetId="43">[3]主要规划指标!#REF!</definedName>
    <definedName name="容" localSheetId="12">[3]主要规划指标!#REF!</definedName>
    <definedName name="容">[3]主要规划指标!#REF!</definedName>
    <definedName name="容积率" localSheetId="44">[3]主要规划指标!#REF!</definedName>
    <definedName name="容积率" localSheetId="43">[3]主要规划指标!#REF!</definedName>
    <definedName name="容积率" localSheetId="12">[3]主要规划指标!#REF!</definedName>
    <definedName name="容积率">[3]主要规划指标!#REF!</definedName>
    <definedName name="容积率1" localSheetId="44">[3]主要规划指标!#REF!</definedName>
    <definedName name="容积率1" localSheetId="43">[3]主要规划指标!#REF!</definedName>
    <definedName name="容积率1" localSheetId="12">[3]主要规划指标!#REF!</definedName>
    <definedName name="容积率1">[3]主要规划指标!#REF!</definedName>
    <definedName name="容积率2" localSheetId="44">[3]主要规划指标!#REF!</definedName>
    <definedName name="容积率2" localSheetId="43">[3]主要规划指标!#REF!</definedName>
    <definedName name="容积率2" localSheetId="12">[3]主要规划指标!#REF!</definedName>
    <definedName name="容积率2">[3]主要规划指标!#REF!</definedName>
    <definedName name="入口商业" localSheetId="44">EVALUATE+#REF!</definedName>
    <definedName name="入口商业" localSheetId="43">EVALUATE+#REF!</definedName>
    <definedName name="入口商业" localSheetId="13">EVALUATE+#REF!</definedName>
    <definedName name="入口商业" localSheetId="12">EVALUATE+#REF!</definedName>
    <definedName name="入口商业">EVALUATE+#REF!</definedName>
    <definedName name="三级">区片价!$K$1:$K$21</definedName>
    <definedName name="厦门" localSheetId="44">#REF!</definedName>
    <definedName name="厦门" localSheetId="43">#REF!</definedName>
    <definedName name="厦门" localSheetId="12">#REF!</definedName>
    <definedName name="厦门">#REF!</definedName>
    <definedName name="商场1" localSheetId="44">[3]主要规划指标!#REF!</definedName>
    <definedName name="商场1" localSheetId="43">[3]主要规划指标!#REF!</definedName>
    <definedName name="商场1" localSheetId="12">[3]主要规划指标!#REF!</definedName>
    <definedName name="商场1">[3]主要规划指标!#REF!</definedName>
    <definedName name="商铺">[4]主要规划指标!$D$12</definedName>
    <definedName name="商铺1" localSheetId="44">[3]主要规划指标!#REF!</definedName>
    <definedName name="商铺1" localSheetId="43">[3]主要规划指标!#REF!</definedName>
    <definedName name="商铺1" localSheetId="12">[3]主要规划指标!#REF!</definedName>
    <definedName name="商铺1">[3]主要规划指标!#REF!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面积" localSheetId="44">[3]主要规划指标!#REF!</definedName>
    <definedName name="商业面积" localSheetId="43">[3]主要规划指标!#REF!</definedName>
    <definedName name="商业面积" localSheetId="12">[3]主要规划指标!#REF!</definedName>
    <definedName name="商业面积">[3]主要规划指标!#REF!</definedName>
    <definedName name="商业面积1" localSheetId="44">[3]主要规划指标!#REF!</definedName>
    <definedName name="商业面积1" localSheetId="43">[3]主要规划指标!#REF!</definedName>
    <definedName name="商业面积1" localSheetId="12">[3]主要规划指标!#REF!</definedName>
    <definedName name="商业面积1">[3]主要规划指标!#REF!</definedName>
    <definedName name="商业面积4" localSheetId="44">[3]主要规划指标!#REF!</definedName>
    <definedName name="商业面积4" localSheetId="43">[3]主要规划指标!#REF!</definedName>
    <definedName name="商业面积4" localSheetId="12">[3]主要规划指标!#REF!</definedName>
    <definedName name="商业面积4">[3]主要规划指标!#REF!</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商业中心" localSheetId="44">EVALUATE+#REF!</definedName>
    <definedName name="商业中心" localSheetId="43">EVALUATE+#REF!</definedName>
    <definedName name="商业中心" localSheetId="13">EVALUATE+#REF!</definedName>
    <definedName name="商业中心" localSheetId="12">EVALUATE+#REF!</definedName>
    <definedName name="商业中心">EVALUATE+#REF!</definedName>
    <definedName name="深圳" localSheetId="44">#REF!</definedName>
    <definedName name="深圳" localSheetId="43">#REF!</definedName>
    <definedName name="深圳" localSheetId="12">#REF!</definedName>
    <definedName name="深圳">#REF!</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室內" localSheetId="44">EVALUATE+#REF!</definedName>
    <definedName name="室內" localSheetId="43">EVALUATE+#REF!</definedName>
    <definedName name="室內" localSheetId="13">EVALUATE+#REF!</definedName>
    <definedName name="室內" localSheetId="12">EVALUATE+#REF!</definedName>
    <definedName name="室內">EVALUATE+#REF!</definedName>
    <definedName name="室内装修价格明细" localSheetId="44">EVALUATE+#REF!</definedName>
    <definedName name="室内装修价格明细" localSheetId="43">EVALUATE+#REF!</definedName>
    <definedName name="室内装修价格明细" localSheetId="13">EVALUATE+#REF!</definedName>
    <definedName name="室内装修价格明细" localSheetId="12">EVALUATE+#REF!</definedName>
    <definedName name="室内装修价格明细">EVALUATE+#REF!</definedName>
    <definedName name="室内装修价格明细1" localSheetId="44">EVALUATE+#REF!</definedName>
    <definedName name="室内装修价格明细1" localSheetId="43">EVALUATE+#REF!</definedName>
    <definedName name="室内装修价格明细1" localSheetId="13">EVALUATE+#REF!</definedName>
    <definedName name="室内装修价格明细1" localSheetId="12">EVALUATE+#REF!</definedName>
    <definedName name="室内装修价格明细1">EVALUATE+#REF!</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外廊架空层面积" localSheetId="44">[3]主要规划指标!#REF!</definedName>
    <definedName name="外廊架空层面积" localSheetId="43">[3]主要规划指标!#REF!</definedName>
    <definedName name="外廊架空层面积" localSheetId="12">[3]主要规划指标!#REF!</definedName>
    <definedName name="外廊架空层面积">[3]主要规划指标!#REF!</definedName>
    <definedName name="外廊商铺面积" localSheetId="44">[3]主要规划指标!#REF!</definedName>
    <definedName name="外廊商铺面积" localSheetId="43">[3]主要规划指标!#REF!</definedName>
    <definedName name="外廊商铺面积" localSheetId="12">[3]主要规划指标!#REF!</definedName>
    <definedName name="外廊商铺面积">[3]主要规划指标!#REF!</definedName>
    <definedName name="外墙装饰">[5]基础数据!$O$2:$O$8</definedName>
    <definedName name="位置">定义!$E$2:$E$4</definedName>
    <definedName name="我" localSheetId="44">EVALUATE+#REF!</definedName>
    <definedName name="我" localSheetId="43">EVALUATE+#REF!</definedName>
    <definedName name="我" localSheetId="13">EVALUATE+#REF!</definedName>
    <definedName name="我" localSheetId="12">EVALUATE+#REF!</definedName>
    <definedName name="我">EVALUATE+#REF!</definedName>
    <definedName name="我我" localSheetId="44">EVALUATE+#REF!</definedName>
    <definedName name="我我" localSheetId="43">EVALUATE+#REF!</definedName>
    <definedName name="我我" localSheetId="13">EVALUATE+#REF!</definedName>
    <definedName name="我我" localSheetId="12">EVALUATE+#REF!</definedName>
    <definedName name="我我">EVALUATE+#REF!</definedName>
    <definedName name="五等判定">定义!$W$1:$W$6</definedName>
    <definedName name="五级">区片价!$M$1:$M$35</definedName>
    <definedName name="现金流量表" localSheetId="44">#REF!</definedName>
    <definedName name="现金流量表" localSheetId="43">#REF!</definedName>
    <definedName name="现金流量表" localSheetId="12">#REF!</definedName>
    <definedName name="现金流量表">#REF!</definedName>
    <definedName name="项目类型">'数据-汇总表'!$C$17:$C$26</definedName>
    <definedName name="小高层建筑面积" localSheetId="44">[3]主要规划指标!#REF!</definedName>
    <definedName name="小高层建筑面积" localSheetId="43">[3]主要规划指标!#REF!</definedName>
    <definedName name="小高层建筑面积" localSheetId="12">[3]主要规划指标!#REF!</definedName>
    <definedName name="小高层建筑面积">[3]主要规划指标!#REF!</definedName>
    <definedName name="小高层建筑面积1" localSheetId="44">[3]主要规划指标!#REF!</definedName>
    <definedName name="小高层建筑面积1" localSheetId="43">[3]主要规划指标!#REF!</definedName>
    <definedName name="小高层建筑面积1" localSheetId="12">[3]主要规划指标!#REF!</definedName>
    <definedName name="小高层建筑面积1">[3]主要规划指标!#REF!</definedName>
    <definedName name="小高层建筑面积2" localSheetId="44">[3]主要规划指标!#REF!</definedName>
    <definedName name="小高层建筑面积2" localSheetId="43">[3]主要规划指标!#REF!</definedName>
    <definedName name="小高层建筑面积2" localSheetId="12">[3]主要规划指标!#REF!</definedName>
    <definedName name="小高层建筑面积2">[3]主要规划指标!#REF!</definedName>
    <definedName name="小高层建筑面积3" localSheetId="44">[3]主要规划指标!#REF!</definedName>
    <definedName name="小高层建筑面积3" localSheetId="43">[3]主要规划指标!#REF!</definedName>
    <definedName name="小高层建筑面积3" localSheetId="12">[3]主要规划指标!#REF!</definedName>
    <definedName name="小高层建筑面积3">[3]主要规划指标!#REF!</definedName>
    <definedName name="小高层建筑面积4" localSheetId="44">[3]主要规划指标!#REF!</definedName>
    <definedName name="小高层建筑面积4" localSheetId="43">[3]主要规划指标!#REF!</definedName>
    <definedName name="小高层建筑面积4" localSheetId="12">[3]主要规划指标!#REF!</definedName>
    <definedName name="小高层建筑面积4">[3]主要规划指标!#REF!</definedName>
    <definedName name="小高层建筑面积5" localSheetId="44">[3]主要规划指标!#REF!</definedName>
    <definedName name="小高层建筑面积5" localSheetId="43">[3]主要规划指标!#REF!</definedName>
    <definedName name="小高层建筑面积5" localSheetId="12">[3]主要规划指标!#REF!</definedName>
    <definedName name="小高层建筑面积5">[3]主要规划指标!#REF!</definedName>
    <definedName name="小高层建筑面积6" localSheetId="44">[3]主要规划指标!#REF!</definedName>
    <definedName name="小高层建筑面积6" localSheetId="43">[3]主要规划指标!#REF!</definedName>
    <definedName name="小高层建筑面积6" localSheetId="12">[3]主要规划指标!#REF!</definedName>
    <definedName name="小高层建筑面积6">[3]主要规划指标!#REF!</definedName>
    <definedName name="小高层建筑面积7" localSheetId="44">[3]主要规划指标!#REF!</definedName>
    <definedName name="小高层建筑面积7" localSheetId="43">[3]主要规划指标!#REF!</definedName>
    <definedName name="小高层建筑面积7" localSheetId="12">[3]主要规划指标!#REF!</definedName>
    <definedName name="小高层建筑面积7">[3]主要规划指标!#REF!</definedName>
    <definedName name="小高层建筑面积8" localSheetId="44">[3]主要规划指标!#REF!</definedName>
    <definedName name="小高层建筑面积8" localSheetId="43">[3]主要规划指标!#REF!</definedName>
    <definedName name="小高层建筑面积8" localSheetId="12">[3]主要规划指标!#REF!</definedName>
    <definedName name="小高层建筑面积8">[3]主要规划指标!#REF!</definedName>
    <definedName name="小高层面积">[4]主要规划指标!$D$10</definedName>
    <definedName name="小学面积" localSheetId="44">[3]主要规划指标!#REF!</definedName>
    <definedName name="小学面积" localSheetId="43">[3]主要规划指标!#REF!</definedName>
    <definedName name="小学面积" localSheetId="12">[3]主要规划指标!#REF!</definedName>
    <definedName name="小学面积">[3]主要规划指标!#REF!</definedName>
    <definedName name="小学面积4" localSheetId="44">[3]主要规划指标!#REF!</definedName>
    <definedName name="小学面积4" localSheetId="43">[3]主要规划指标!#REF!</definedName>
    <definedName name="小学面积4" localSheetId="12">[3]主要规划指标!#REF!</definedName>
    <definedName name="小学面积4">[3]主要规划指标!#REF!</definedName>
    <definedName name="写字楼等级">'不动产比较法-办公'!$B$113:$M$113</definedName>
    <definedName name="新地价分摊表" localSheetId="44">#REF!</definedName>
    <definedName name="新地价分摊表" localSheetId="43">#REF!</definedName>
    <definedName name="新地价分摊表" localSheetId="12">#REF!</definedName>
    <definedName name="新地价分摊表">#REF!</definedName>
    <definedName name="新地价分摊表2" localSheetId="44">#REF!</definedName>
    <definedName name="新地价分摊表2" localSheetId="43">#REF!</definedName>
    <definedName name="新地价分摊表2" localSheetId="12">#REF!</definedName>
    <definedName name="新地价分摊表2">#REF!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44">#REF!</definedName>
    <definedName name="依据" localSheetId="43">#REF!</definedName>
    <definedName name="依据" localSheetId="12">#REF!</definedName>
    <definedName name="依据">#REF!</definedName>
    <definedName name="已付款明细表" localSheetId="44">#REF!</definedName>
    <definedName name="已付款明细表" localSheetId="43">#REF!</definedName>
    <definedName name="已付款明细表" localSheetId="12">#REF!</definedName>
    <definedName name="已付款明细表">#REF!</definedName>
    <definedName name="用途类型">定义!$A$1:$A$50</definedName>
    <definedName name="有无电梯">'不动产比较法-仓储'!$B$84:$M$84</definedName>
    <definedName name="幼儿园面积" localSheetId="44">[3]主要规划指标!#REF!</definedName>
    <definedName name="幼儿园面积" localSheetId="43">[3]主要规划指标!#REF!</definedName>
    <definedName name="幼儿园面积" localSheetId="12">[3]主要规划指标!#REF!</definedName>
    <definedName name="幼儿园面积">[3]主要规划指标!#REF!</definedName>
    <definedName name="预控占地面积" localSheetId="44">[3]主要规划指标!#REF!</definedName>
    <definedName name="预控占地面积" localSheetId="43">[3]主要规划指标!#REF!</definedName>
    <definedName name="预控占地面积" localSheetId="12">[3]主要规划指标!#REF!</definedName>
    <definedName name="预控占地面积">[3]主要规划指标!#REF!</definedName>
    <definedName name="预控占地面积之一" localSheetId="44">[3]主要规划指标!#REF!</definedName>
    <definedName name="预控占地面积之一" localSheetId="43">[3]主要规划指标!#REF!</definedName>
    <definedName name="预控占地面积之一" localSheetId="12">[3]主要规划指标!#REF!</definedName>
    <definedName name="预控占地面积之一">[3]主要规划指标!#REF!</definedName>
    <definedName name="占地面积" localSheetId="44">[3]主要规划指标!#REF!</definedName>
    <definedName name="占地面积" localSheetId="43">[3]主要规划指标!#REF!</definedName>
    <definedName name="占地面积" localSheetId="12">[3]主要规划指标!#REF!</definedName>
    <definedName name="占地面积">[3]主要规划指标!#REF!</definedName>
    <definedName name="长沙" localSheetId="44">#REF!</definedName>
    <definedName name="长沙" localSheetId="43">#REF!</definedName>
    <definedName name="长沙" localSheetId="12">#REF!</definedName>
    <definedName name="长沙">#REF!</definedName>
    <definedName name="中高层建筑面积1" localSheetId="44">[3]主要规划指标!#REF!</definedName>
    <definedName name="中高层建筑面积1" localSheetId="43">[3]主要规划指标!#REF!</definedName>
    <definedName name="中高层建筑面积1" localSheetId="12">[3]主要规划指标!#REF!</definedName>
    <definedName name="中高层建筑面积1">[3]主要规划指标!#REF!</definedName>
    <definedName name="中高层建筑面积2">[6]主要规划指标!$D$12</definedName>
    <definedName name="中高层建筑面积3">[6]主要规划指标!$E$12</definedName>
    <definedName name="中高层面积">[4]主要规划指标!$D$11</definedName>
    <definedName name="珠海" localSheetId="44">#REF!</definedName>
    <definedName name="珠海" localSheetId="43">#REF!</definedName>
    <definedName name="珠海" localSheetId="12">#REF!</definedName>
    <definedName name="珠海">#REF!</definedName>
    <definedName name="主题商业面积" localSheetId="44">[3]主要规划指标!#REF!</definedName>
    <definedName name="主题商业面积" localSheetId="43">[3]主要规划指标!#REF!</definedName>
    <definedName name="主题商业面积" localSheetId="12">[3]主要规划指标!#REF!</definedName>
    <definedName name="主题商业面积">[3]主要规划指标!#REF!</definedName>
    <definedName name="主用途">定义!$F$1:$F$10</definedName>
    <definedName name="住宅朝向" localSheetId="44">'不动产比较法-住宅（独栋）'!$B$88:$M$88</definedName>
    <definedName name="住宅朝向" localSheetId="43">'不动产比较法-住宅（多层）'!$B$88:$M$88</definedName>
    <definedName name="住宅朝向">'不动产比较法-住宅（高层）'!$B$88:$M$88</definedName>
    <definedName name="住宅房型" localSheetId="44">'不动产比较法-住宅（独栋）'!$B$118:$M$118</definedName>
    <definedName name="住宅房型" localSheetId="43">'不动产比较法-住宅（多层）'!$B$118:$M$118</definedName>
    <definedName name="住宅房型">'不动产比较法-住宅（高层）'!$B$118:$M$118</definedName>
    <definedName name="住宅公共部分装修" localSheetId="44">'不动产比较法-住宅（独栋）'!$B$109:$M$109</definedName>
    <definedName name="住宅公共部分装修" localSheetId="43">'不动产比较法-住宅（多层）'!$B$109:$M$109</definedName>
    <definedName name="住宅公共部分装修">'不动产比较法-住宅（高层）'!$B$109:$M$109</definedName>
    <definedName name="住宅基础设施水平" localSheetId="44">'不动产比较法-住宅（独栋）'!$B$116:$M$116</definedName>
    <definedName name="住宅基础设施水平" localSheetId="43">'不动产比较法-住宅（多层）'!$B$116:$M$116</definedName>
    <definedName name="住宅基础设施水平">'不动产比较法-住宅（高层）'!$B$116:$M$116</definedName>
    <definedName name="住宅建筑结构" localSheetId="44">'不动产比较法-住宅（独栋）'!$B$105:$M$105</definedName>
    <definedName name="住宅建筑结构" localSheetId="43">'不动产比较法-住宅（多层）'!$B$105:$M$105</definedName>
    <definedName name="住宅建筑结构">'不动产比较法-住宅（高层）'!$B$105:$M$105</definedName>
    <definedName name="住宅建筑类型" localSheetId="44">'不动产比较法-住宅（独栋）'!$B$100:$M$100</definedName>
    <definedName name="住宅建筑类型" localSheetId="43">'不动产比较法-住宅（多层）'!$B$100:$M$100</definedName>
    <definedName name="住宅建筑类型">'不动产比较法-住宅（高层）'!$B$100:$M$100</definedName>
    <definedName name="住宅建筑品质" localSheetId="44">'不动产比较法-住宅（独栋）'!$B$107:$M$107</definedName>
    <definedName name="住宅建筑品质" localSheetId="43">'不动产比较法-住宅（多层）'!$B$107:$M$107</definedName>
    <definedName name="住宅建筑品质">'不动产比较法-住宅（高层）'!$B$107:$M$107</definedName>
    <definedName name="住宅交易情况" localSheetId="44">'不动产比较法-住宅（独栋）'!$A$61:$M$61</definedName>
    <definedName name="住宅交易情况" localSheetId="43">'不动产比较法-住宅（多层）'!$A$61:$M$61</definedName>
    <definedName name="住宅交易情况">'不动产比较法-住宅（高层）'!$A$61:$M$61</definedName>
    <definedName name="住宅楼层" localSheetId="44">'不动产比较法-住宅（独栋）'!$B$86:$M$86</definedName>
    <definedName name="住宅楼层" localSheetId="43">'不动产比较法-住宅（多层）'!$B$86:$M$86</definedName>
    <definedName name="住宅楼层">'不动产比较法-住宅（高层）'!$B$86:$M$86</definedName>
    <definedName name="住宅面积" localSheetId="44">[3]主要规划指标!#REF!</definedName>
    <definedName name="住宅面积" localSheetId="43">[3]主要规划指标!#REF!</definedName>
    <definedName name="住宅面积" localSheetId="12">[3]主要规划指标!#REF!</definedName>
    <definedName name="住宅面积">[3]主要规划指标!#REF!</definedName>
    <definedName name="住宅内部装修" localSheetId="44">'不动产比较法-住宅（独栋）'!$B$122:$M$122</definedName>
    <definedName name="住宅内部装修" localSheetId="43">'不动产比较法-住宅（多层）'!$B$122:$M$122</definedName>
    <definedName name="住宅内部装修">'不动产比较法-住宅（高层）'!$B$122:$M$122</definedName>
    <definedName name="住宅物业管理" localSheetId="44">'不动产比较法-住宅（独栋）'!$B$114:$M$114</definedName>
    <definedName name="住宅物业管理" localSheetId="43">'不动产比较法-住宅（多层）'!$B$114:$M$114</definedName>
    <definedName name="住宅物业管理">'不动产比较法-住宅（高层）'!$B$114:$M$114</definedName>
    <definedName name="住宅用途" localSheetId="44">'不动产比较法-住宅（独栋）'!$B$63:$M$63</definedName>
    <definedName name="住宅用途" localSheetId="43">'不动产比较法-住宅（多层）'!$B$63:$M$63</definedName>
    <definedName name="住宅用途">'不动产比较法-住宅（高层）'!$B$63:$M$63</definedName>
    <definedName name="住宅主力户型面积" localSheetId="44">'不动产比较法-住宅（独栋）'!$B$120:$M$120</definedName>
    <definedName name="住宅主力户型面积" localSheetId="43">'不动产比较法-住宅（多层）'!$B$120:$M$120</definedName>
    <definedName name="住宅主力户型面积">'不动产比较法-住宅（高层）'!$B$120:$M$120</definedName>
    <definedName name="住宅转换层面积" localSheetId="44">[3]主要规划指标!#REF!</definedName>
    <definedName name="住宅转换层面积" localSheetId="43">[3]主要规划指标!#REF!</definedName>
    <definedName name="住宅转换层面积" localSheetId="12">[3]主要规划指标!#REF!</definedName>
    <definedName name="住宅转换层面积">[3]主要规划指标!#REF!</definedName>
    <definedName name="注册房地产估价师">估价师及机构信息!$A$3:$A$24</definedName>
    <definedName name="总的商业面积" localSheetId="44">[3]主要规划指标!#REF!</definedName>
    <definedName name="总的商业面积" localSheetId="43">[3]主要规划指标!#REF!</definedName>
    <definedName name="总的商业面积" localSheetId="12">[3]主要规划指标!#REF!</definedName>
    <definedName name="总的商业面积">[3]主要规划指标!#REF!</definedName>
    <definedName name="总分类账" localSheetId="44">#REF!</definedName>
    <definedName name="总分类账" localSheetId="43">#REF!</definedName>
    <definedName name="总分类账" localSheetId="12">#REF!</definedName>
    <definedName name="总分类账">#REF!</definedName>
    <definedName name="总商业面积" localSheetId="44">[3]主要规划指标!#REF!</definedName>
    <definedName name="总商业面积" localSheetId="43">[3]主要规划指标!#REF!</definedName>
    <definedName name="总商业面积" localSheetId="12">[3]主要规划指标!#REF!</definedName>
    <definedName name="总商业面积">[3]主要规划指标!#REF!</definedName>
  </definedNames>
  <calcPr calcId="144525"/>
</workbook>
</file>

<file path=xl/calcChain.xml><?xml version="1.0" encoding="utf-8"?>
<calcChain xmlns="http://schemas.openxmlformats.org/spreadsheetml/2006/main">
  <c r="D10" i="12" l="1"/>
  <c r="D8" i="12"/>
  <c r="AT13" i="3"/>
  <c r="AN13" i="3"/>
  <c r="AD13" i="3"/>
  <c r="O13" i="3"/>
  <c r="M13" i="3"/>
  <c r="K13" i="3"/>
  <c r="I13" i="3"/>
  <c r="C145" i="78" l="1"/>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E81" i="78"/>
  <c r="F81" i="78" s="1"/>
  <c r="G81" i="78" s="1"/>
  <c r="D81" i="78"/>
  <c r="E79" i="78"/>
  <c r="F79" i="78" s="1"/>
  <c r="G79" i="78" s="1"/>
  <c r="D79" i="78"/>
  <c r="E77" i="78"/>
  <c r="F77" i="78" s="1"/>
  <c r="G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D59" i="78"/>
  <c r="E59" i="78" s="1"/>
  <c r="F59" i="78" s="1"/>
  <c r="G59" i="78" s="1"/>
  <c r="P49" i="78"/>
  <c r="P48" i="78"/>
  <c r="P47" i="78"/>
  <c r="I47" i="78"/>
  <c r="I54" i="78" s="1"/>
  <c r="J54" i="78" s="1"/>
  <c r="G47" i="78"/>
  <c r="T47" i="78" s="1"/>
  <c r="E47" i="78"/>
  <c r="E54" i="78" s="1"/>
  <c r="F54" i="78" s="1"/>
  <c r="Q46" i="78"/>
  <c r="Z46" i="78" s="1"/>
  <c r="J46" i="78"/>
  <c r="AC46" i="78" s="1"/>
  <c r="H46" i="78"/>
  <c r="AB46" i="78" s="1"/>
  <c r="F46" i="78"/>
  <c r="AB45" i="78"/>
  <c r="Q45" i="78"/>
  <c r="Z45" i="78" s="1"/>
  <c r="J45" i="78"/>
  <c r="AC45" i="78" s="1"/>
  <c r="H45" i="78"/>
  <c r="U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S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W8" i="78"/>
  <c r="S8" i="78"/>
  <c r="J8" i="78"/>
  <c r="AC8" i="78" s="1"/>
  <c r="H8" i="78"/>
  <c r="U8" i="78" s="1"/>
  <c r="F8" i="78"/>
  <c r="AA8" i="78" s="1"/>
  <c r="C7" i="78"/>
  <c r="C58" i="78" s="1"/>
  <c r="D58" i="78" s="1"/>
  <c r="E58" i="78" s="1"/>
  <c r="F58" i="78" s="1"/>
  <c r="G58" i="78" s="1"/>
  <c r="H58" i="78" s="1"/>
  <c r="I58" i="78" s="1"/>
  <c r="J58" i="78" s="1"/>
  <c r="K58" i="78" s="1"/>
  <c r="L58" i="78" s="1"/>
  <c r="M58" i="78" s="1"/>
  <c r="N58" i="78" s="1"/>
  <c r="O58" i="78" s="1"/>
  <c r="G47" i="21"/>
  <c r="AB8" i="78" l="1"/>
  <c r="S9" i="78"/>
  <c r="W9" i="78"/>
  <c r="E7" i="78"/>
  <c r="U9" i="78"/>
  <c r="S10" i="78"/>
  <c r="W10" i="78"/>
  <c r="U12" i="78"/>
  <c r="S13" i="78"/>
  <c r="W13" i="78"/>
  <c r="U14" i="78"/>
  <c r="U15" i="78"/>
  <c r="U17" i="78"/>
  <c r="AA17" i="78"/>
  <c r="W19" i="78"/>
  <c r="U10" i="78"/>
  <c r="S12" i="78"/>
  <c r="W12" i="78"/>
  <c r="U13" i="78"/>
  <c r="S14" i="78"/>
  <c r="W14" i="78"/>
  <c r="S15" i="78"/>
  <c r="W15" i="78"/>
  <c r="W17" i="78"/>
  <c r="S19"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AA46" i="78"/>
  <c r="S46" i="78"/>
  <c r="S21" i="78"/>
  <c r="W21" i="78"/>
  <c r="S23" i="78"/>
  <c r="W23"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S45" i="78"/>
  <c r="W45" i="78"/>
  <c r="U46" i="78"/>
  <c r="R47" i="78"/>
  <c r="V47" i="78"/>
  <c r="G54" i="78"/>
  <c r="H54" i="78" s="1"/>
  <c r="K141" i="78"/>
  <c r="K143" i="78"/>
  <c r="W46" i="78"/>
  <c r="K144" i="78"/>
  <c r="I47" i="77"/>
  <c r="G47" i="77"/>
  <c r="E47" i="77"/>
  <c r="R47" i="77" s="1"/>
  <c r="C145" i="77"/>
  <c r="J142" i="77"/>
  <c r="J140" i="77"/>
  <c r="K145" i="77" s="1"/>
  <c r="K139" i="77"/>
  <c r="K143" i="77" s="1"/>
  <c r="B130" i="77"/>
  <c r="B128" i="77"/>
  <c r="B126" i="77"/>
  <c r="D125" i="77"/>
  <c r="E125" i="77" s="1"/>
  <c r="F125" i="77" s="1"/>
  <c r="G125" i="77" s="1"/>
  <c r="E123" i="77"/>
  <c r="F123" i="77" s="1"/>
  <c r="G123" i="77" s="1"/>
  <c r="H123" i="77" s="1"/>
  <c r="I123" i="77" s="1"/>
  <c r="J123" i="77" s="1"/>
  <c r="K123" i="77" s="1"/>
  <c r="L123" i="77" s="1"/>
  <c r="M123" i="77" s="1"/>
  <c r="D123" i="77"/>
  <c r="D119" i="77"/>
  <c r="E119" i="77" s="1"/>
  <c r="F119" i="77" s="1"/>
  <c r="G119" i="77" s="1"/>
  <c r="H119" i="77" s="1"/>
  <c r="I119" i="77" s="1"/>
  <c r="J119" i="77" s="1"/>
  <c r="K119" i="77" s="1"/>
  <c r="L119" i="77" s="1"/>
  <c r="M119" i="77" s="1"/>
  <c r="E117" i="77"/>
  <c r="F117" i="77" s="1"/>
  <c r="G117" i="77" s="1"/>
  <c r="D117" i="77"/>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B98" i="77"/>
  <c r="B96" i="77"/>
  <c r="B94" i="77"/>
  <c r="B92" i="77"/>
  <c r="B90" i="77"/>
  <c r="H27" i="77" s="1"/>
  <c r="AB27" i="77" s="1"/>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D79" i="77"/>
  <c r="E79" i="77" s="1"/>
  <c r="F79" i="77" s="1"/>
  <c r="G79" i="77" s="1"/>
  <c r="D77" i="77"/>
  <c r="E77" i="77" s="1"/>
  <c r="F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E66" i="77"/>
  <c r="F66" i="77" s="1"/>
  <c r="G66" i="77" s="1"/>
  <c r="H66" i="77" s="1"/>
  <c r="I66" i="77" s="1"/>
  <c r="D66" i="77"/>
  <c r="C63" i="77"/>
  <c r="E59" i="77"/>
  <c r="F59" i="77" s="1"/>
  <c r="G59" i="77" s="1"/>
  <c r="D59" i="77"/>
  <c r="G54" i="77"/>
  <c r="H54" i="77" s="1"/>
  <c r="P49" i="77"/>
  <c r="P48" i="77"/>
  <c r="P47" i="77"/>
  <c r="AB46" i="77"/>
  <c r="U46" i="77"/>
  <c r="Q46" i="77"/>
  <c r="Z46" i="77" s="1"/>
  <c r="J46" i="77"/>
  <c r="AC46" i="77" s="1"/>
  <c r="H46" i="77"/>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Q32" i="77"/>
  <c r="Z32" i="77" s="1"/>
  <c r="H32" i="77"/>
  <c r="AB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C19" i="77"/>
  <c r="Q17" i="77"/>
  <c r="Z17" i="77" s="1"/>
  <c r="J17" i="77"/>
  <c r="AC17" i="77" s="1"/>
  <c r="H17" i="77"/>
  <c r="AB17" i="77" s="1"/>
  <c r="F17" i="77"/>
  <c r="AA17" i="77" s="1"/>
  <c r="C17" i="77"/>
  <c r="Q15" i="77"/>
  <c r="Z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I7" i="78" l="1"/>
  <c r="J7" i="78" s="1"/>
  <c r="G7" i="78"/>
  <c r="H7" i="78" s="1"/>
  <c r="F7" i="78"/>
  <c r="G77" i="77"/>
  <c r="J15" i="77"/>
  <c r="AC15" i="77" s="1"/>
  <c r="F15" i="77"/>
  <c r="AA15" i="77" s="1"/>
  <c r="H15" i="77"/>
  <c r="AB15" i="77" s="1"/>
  <c r="G81" i="77"/>
  <c r="J19" i="77"/>
  <c r="AC19" i="77" s="1"/>
  <c r="F19" i="77"/>
  <c r="AA19" i="77" s="1"/>
  <c r="H19" i="77"/>
  <c r="AB19" i="77" s="1"/>
  <c r="H113" i="77"/>
  <c r="H37" i="77"/>
  <c r="AB37" i="77" s="1"/>
  <c r="J37" i="77"/>
  <c r="AC37" i="77" s="1"/>
  <c r="F37" i="77"/>
  <c r="AA37" i="77" s="1"/>
  <c r="G101" i="77"/>
  <c r="H101" i="77" s="1"/>
  <c r="I101" i="77" s="1"/>
  <c r="J101" i="77" s="1"/>
  <c r="K101" i="77" s="1"/>
  <c r="L101" i="77" s="1"/>
  <c r="M101" i="77" s="1"/>
  <c r="J32" i="77"/>
  <c r="AC32" i="77" s="1"/>
  <c r="F32" i="77"/>
  <c r="AA32" i="77" s="1"/>
  <c r="K144" i="77"/>
  <c r="E54" i="77"/>
  <c r="F54" i="77" s="1"/>
  <c r="K141" i="77"/>
  <c r="I54" i="77"/>
  <c r="J54" i="77" s="1"/>
  <c r="V47" i="77"/>
  <c r="T47" i="77"/>
  <c r="U40" i="77"/>
  <c r="S8" i="77"/>
  <c r="W8" i="77"/>
  <c r="AB8" i="77"/>
  <c r="S9" i="77"/>
  <c r="W9" i="77"/>
  <c r="U10" i="77"/>
  <c r="S12" i="77"/>
  <c r="W12" i="77"/>
  <c r="U13" i="77"/>
  <c r="S14" i="77"/>
  <c r="W14" i="77"/>
  <c r="S15" i="77"/>
  <c r="W15" i="77"/>
  <c r="S17" i="77"/>
  <c r="W17" i="77"/>
  <c r="S19" i="77"/>
  <c r="W19" i="77"/>
  <c r="S21" i="77"/>
  <c r="W21" i="77"/>
  <c r="S23" i="77"/>
  <c r="W23" i="77"/>
  <c r="U25" i="77"/>
  <c r="S26" i="77"/>
  <c r="W26" i="77"/>
  <c r="U27" i="77"/>
  <c r="S28" i="77"/>
  <c r="W28" i="77"/>
  <c r="U29" i="77"/>
  <c r="S30" i="77"/>
  <c r="W30" i="77"/>
  <c r="U31" i="77"/>
  <c r="S32" i="77"/>
  <c r="U34" i="77"/>
  <c r="S35" i="77"/>
  <c r="W35" i="77"/>
  <c r="U36" i="77"/>
  <c r="S37" i="77"/>
  <c r="W37" i="77"/>
  <c r="U38" i="77"/>
  <c r="S39" i="77"/>
  <c r="W39" i="77"/>
  <c r="U9" i="77"/>
  <c r="S10" i="77"/>
  <c r="W10" i="77"/>
  <c r="U12" i="77"/>
  <c r="S13" i="77"/>
  <c r="W13" i="77"/>
  <c r="U14" i="77"/>
  <c r="U15" i="77"/>
  <c r="U17" i="77"/>
  <c r="U19" i="77"/>
  <c r="U21" i="77"/>
  <c r="U23" i="77"/>
  <c r="S25" i="77"/>
  <c r="W25" i="77"/>
  <c r="U26" i="77"/>
  <c r="S27" i="77"/>
  <c r="W27" i="77"/>
  <c r="U28" i="77"/>
  <c r="S29" i="77"/>
  <c r="W29" i="77"/>
  <c r="U30" i="77"/>
  <c r="S31" i="77"/>
  <c r="W31" i="77"/>
  <c r="U32" i="77"/>
  <c r="S34" i="77"/>
  <c r="W34" i="77"/>
  <c r="U35" i="77"/>
  <c r="S36" i="77"/>
  <c r="W36" i="77"/>
  <c r="U37" i="77"/>
  <c r="S38" i="77"/>
  <c r="W38" i="77"/>
  <c r="U39" i="77"/>
  <c r="AA40" i="77"/>
  <c r="S40" i="77"/>
  <c r="S41" i="77"/>
  <c r="W41" i="77"/>
  <c r="U42" i="77"/>
  <c r="S43" i="77"/>
  <c r="W43" i="77"/>
  <c r="U44" i="77"/>
  <c r="S45" i="77"/>
  <c r="W45" i="77"/>
  <c r="W40" i="77"/>
  <c r="U41" i="77"/>
  <c r="S42" i="77"/>
  <c r="W42" i="77"/>
  <c r="U43" i="77"/>
  <c r="S44" i="77"/>
  <c r="W44" i="77"/>
  <c r="U45" i="77"/>
  <c r="S46" i="77"/>
  <c r="W46" i="77"/>
  <c r="AA7" i="78" l="1"/>
  <c r="S7" i="78"/>
  <c r="AC7" i="78"/>
  <c r="W7" i="78"/>
  <c r="U7" i="78"/>
  <c r="AB7" i="78"/>
  <c r="W32" i="77"/>
  <c r="I40" i="39" l="1"/>
  <c r="G40" i="39"/>
  <c r="E40" i="39"/>
  <c r="G22" i="6" l="1"/>
  <c r="L46" i="75"/>
  <c r="I46" i="75"/>
  <c r="J45" i="75"/>
  <c r="H64" i="75" s="1"/>
  <c r="G45" i="75"/>
  <c r="E45" i="75"/>
  <c r="K44" i="75"/>
  <c r="J44" i="75"/>
  <c r="G44" i="75"/>
  <c r="E44" i="75"/>
  <c r="K43" i="75"/>
  <c r="K46" i="75" s="1"/>
  <c r="J43" i="75"/>
  <c r="E43" i="75"/>
  <c r="E46" i="75" s="1"/>
  <c r="R6" i="75" s="1"/>
  <c r="J42" i="75"/>
  <c r="L39" i="75"/>
  <c r="K39" i="75"/>
  <c r="H39" i="75"/>
  <c r="H66" i="75" s="1"/>
  <c r="G39" i="75"/>
  <c r="F39" i="75"/>
  <c r="D39" i="75"/>
  <c r="J33" i="75"/>
  <c r="J29" i="75"/>
  <c r="L27" i="75"/>
  <c r="I27" i="75"/>
  <c r="H27" i="75"/>
  <c r="G27" i="75"/>
  <c r="F27" i="75"/>
  <c r="D27" i="75"/>
  <c r="J26" i="75"/>
  <c r="K26" i="75" s="1"/>
  <c r="J25" i="75"/>
  <c r="K25" i="75" s="1"/>
  <c r="J24" i="75"/>
  <c r="K24" i="75" s="1"/>
  <c r="K23" i="75"/>
  <c r="J23" i="75"/>
  <c r="S22" i="75"/>
  <c r="P22" i="75"/>
  <c r="O22" i="75"/>
  <c r="L22" i="75"/>
  <c r="G22" i="75"/>
  <c r="F22" i="75"/>
  <c r="J21" i="75"/>
  <c r="K21" i="75" s="1"/>
  <c r="D21" i="75"/>
  <c r="J20" i="75"/>
  <c r="K20" i="75" s="1"/>
  <c r="D20" i="75"/>
  <c r="J19" i="75"/>
  <c r="K19" i="75" s="1"/>
  <c r="D19" i="75"/>
  <c r="J18" i="75"/>
  <c r="I18" i="75"/>
  <c r="D18" i="75"/>
  <c r="J17" i="75"/>
  <c r="K17" i="75" s="1"/>
  <c r="D17" i="75"/>
  <c r="I16" i="75"/>
  <c r="I22" i="75" s="1"/>
  <c r="I47" i="75" s="1"/>
  <c r="J15" i="75"/>
  <c r="K15" i="75" s="1"/>
  <c r="D15" i="75"/>
  <c r="K14" i="75"/>
  <c r="J14" i="75"/>
  <c r="D14" i="75"/>
  <c r="J13" i="75"/>
  <c r="K13" i="75" s="1"/>
  <c r="D13" i="75"/>
  <c r="H12" i="75"/>
  <c r="J12" i="75" s="1"/>
  <c r="H61" i="75" s="1"/>
  <c r="F7" i="75"/>
  <c r="B7" i="75"/>
  <c r="R4" i="75"/>
  <c r="K3" i="75"/>
  <c r="E46" i="74"/>
  <c r="J45" i="74"/>
  <c r="J43" i="74" s="1"/>
  <c r="J46" i="74" s="1"/>
  <c r="G45" i="74"/>
  <c r="K44" i="74"/>
  <c r="K43" i="74" s="1"/>
  <c r="K46" i="74" s="1"/>
  <c r="J44" i="74"/>
  <c r="G44" i="74"/>
  <c r="J42" i="74"/>
  <c r="L39" i="74"/>
  <c r="K39" i="74"/>
  <c r="I39" i="74"/>
  <c r="H39" i="74"/>
  <c r="F39" i="74"/>
  <c r="D39" i="74"/>
  <c r="J33" i="74"/>
  <c r="G33" i="74"/>
  <c r="J29" i="74"/>
  <c r="J39" i="74" s="1"/>
  <c r="G29" i="74"/>
  <c r="G39" i="74" s="1"/>
  <c r="L26" i="74"/>
  <c r="K26" i="74"/>
  <c r="I26" i="74"/>
  <c r="H26" i="74"/>
  <c r="G26" i="74"/>
  <c r="F26" i="74"/>
  <c r="E26" i="74"/>
  <c r="D26" i="74"/>
  <c r="L25" i="74"/>
  <c r="K25" i="74"/>
  <c r="I25" i="74"/>
  <c r="H25" i="74"/>
  <c r="G25" i="74"/>
  <c r="F25" i="74"/>
  <c r="E25" i="74"/>
  <c r="D25" i="74"/>
  <c r="L24" i="74"/>
  <c r="K24" i="74"/>
  <c r="I24" i="74"/>
  <c r="H24" i="74"/>
  <c r="G24" i="74"/>
  <c r="F24" i="74"/>
  <c r="E24" i="74"/>
  <c r="D24" i="74"/>
  <c r="L23" i="74"/>
  <c r="L27" i="74" s="1"/>
  <c r="K23" i="74"/>
  <c r="I23" i="74"/>
  <c r="I27" i="74" s="1"/>
  <c r="H23" i="74"/>
  <c r="H27" i="74" s="1"/>
  <c r="G23" i="74"/>
  <c r="G27" i="74" s="1"/>
  <c r="F23" i="74"/>
  <c r="F27" i="74" s="1"/>
  <c r="E23" i="74"/>
  <c r="D23" i="74"/>
  <c r="D27" i="74" s="1"/>
  <c r="E22" i="74"/>
  <c r="S21" i="74"/>
  <c r="R21" i="74"/>
  <c r="Q21" i="74"/>
  <c r="P21" i="74"/>
  <c r="O21" i="74"/>
  <c r="N21" i="74"/>
  <c r="M21" i="74"/>
  <c r="L21" i="74"/>
  <c r="K21" i="74"/>
  <c r="I21" i="74"/>
  <c r="H21" i="74"/>
  <c r="G21" i="74"/>
  <c r="F21" i="74"/>
  <c r="E21" i="74"/>
  <c r="D21" i="74"/>
  <c r="S20" i="74"/>
  <c r="R20" i="74"/>
  <c r="Q20" i="74"/>
  <c r="P20" i="74"/>
  <c r="O20" i="74"/>
  <c r="N20" i="74"/>
  <c r="M20" i="74"/>
  <c r="L20" i="74"/>
  <c r="K20" i="74"/>
  <c r="I20" i="74"/>
  <c r="H20" i="74"/>
  <c r="G20" i="74"/>
  <c r="F20" i="74"/>
  <c r="E20" i="74"/>
  <c r="D20" i="74"/>
  <c r="S19" i="74"/>
  <c r="R19" i="74"/>
  <c r="Q19" i="74"/>
  <c r="P19" i="74"/>
  <c r="O19" i="74"/>
  <c r="N19" i="74"/>
  <c r="M19" i="74"/>
  <c r="L19" i="74"/>
  <c r="K19" i="74"/>
  <c r="I19" i="74"/>
  <c r="H19" i="74"/>
  <c r="G19" i="74"/>
  <c r="F19" i="74"/>
  <c r="E19" i="74"/>
  <c r="D19" i="74"/>
  <c r="S18" i="74"/>
  <c r="R18" i="74"/>
  <c r="Q18" i="74"/>
  <c r="P18" i="74"/>
  <c r="O18" i="74"/>
  <c r="N18" i="74"/>
  <c r="M18" i="74"/>
  <c r="L18" i="74"/>
  <c r="K18" i="74"/>
  <c r="I18" i="74"/>
  <c r="H18" i="74"/>
  <c r="J18" i="74" s="1"/>
  <c r="G18" i="74"/>
  <c r="F18" i="74"/>
  <c r="E18" i="74"/>
  <c r="D18" i="74"/>
  <c r="S17" i="74"/>
  <c r="R17" i="74"/>
  <c r="Q17" i="74"/>
  <c r="P17" i="74"/>
  <c r="O17" i="74"/>
  <c r="N17" i="74"/>
  <c r="M17" i="74"/>
  <c r="L17" i="74"/>
  <c r="K17" i="74"/>
  <c r="I17" i="74"/>
  <c r="H17" i="74"/>
  <c r="G17" i="74"/>
  <c r="F17" i="74"/>
  <c r="E17" i="74"/>
  <c r="D17" i="74"/>
  <c r="S16" i="74"/>
  <c r="R16" i="74"/>
  <c r="Q16" i="74"/>
  <c r="P16" i="74"/>
  <c r="O16" i="74"/>
  <c r="N16" i="74"/>
  <c r="M16" i="74"/>
  <c r="L16" i="74"/>
  <c r="K16" i="74"/>
  <c r="I16" i="74"/>
  <c r="H16" i="74"/>
  <c r="J16" i="74" s="1"/>
  <c r="G16" i="74"/>
  <c r="F16" i="74"/>
  <c r="E16" i="74"/>
  <c r="D16" i="74"/>
  <c r="S15" i="74"/>
  <c r="R15" i="74"/>
  <c r="Q15" i="74"/>
  <c r="P15" i="74"/>
  <c r="O15" i="74"/>
  <c r="N15" i="74"/>
  <c r="M15" i="74"/>
  <c r="L15" i="74"/>
  <c r="K15" i="74"/>
  <c r="I15" i="74"/>
  <c r="H15" i="74"/>
  <c r="G15" i="74"/>
  <c r="F15" i="74"/>
  <c r="E15" i="74"/>
  <c r="D15" i="74"/>
  <c r="S14" i="74"/>
  <c r="R14" i="74"/>
  <c r="Q14" i="74"/>
  <c r="P14" i="74"/>
  <c r="O14" i="74"/>
  <c r="N14" i="74"/>
  <c r="M14" i="74"/>
  <c r="L14" i="74"/>
  <c r="K14" i="74"/>
  <c r="I14" i="74"/>
  <c r="H14" i="74"/>
  <c r="J14" i="74" s="1"/>
  <c r="G14" i="74"/>
  <c r="F14" i="74"/>
  <c r="E14" i="74"/>
  <c r="D14" i="74"/>
  <c r="S13" i="74"/>
  <c r="R13" i="74"/>
  <c r="Q13" i="74"/>
  <c r="P13" i="74"/>
  <c r="O13" i="74"/>
  <c r="N13" i="74"/>
  <c r="M13" i="74"/>
  <c r="L13" i="74"/>
  <c r="K13" i="74"/>
  <c r="I13" i="74"/>
  <c r="H13" i="74"/>
  <c r="G13" i="74"/>
  <c r="F13" i="74"/>
  <c r="E13" i="74"/>
  <c r="D13" i="74"/>
  <c r="S12" i="74"/>
  <c r="S22" i="74" s="1"/>
  <c r="R12" i="74"/>
  <c r="Q12" i="74"/>
  <c r="P12" i="74"/>
  <c r="O12" i="74"/>
  <c r="O22" i="74" s="1"/>
  <c r="N12" i="74"/>
  <c r="M12" i="74"/>
  <c r="M22" i="74" s="1"/>
  <c r="L12" i="74"/>
  <c r="K12" i="74"/>
  <c r="K22" i="74" s="1"/>
  <c r="I12" i="74"/>
  <c r="H12" i="74"/>
  <c r="H22" i="74" s="1"/>
  <c r="G12" i="74"/>
  <c r="F12" i="74"/>
  <c r="F22" i="74" s="1"/>
  <c r="E12" i="74"/>
  <c r="D12" i="74"/>
  <c r="D22" i="74" s="1"/>
  <c r="G9" i="74"/>
  <c r="D9" i="74"/>
  <c r="B9" i="74"/>
  <c r="P8" i="74"/>
  <c r="Q7" i="74"/>
  <c r="P7" i="74"/>
  <c r="M7" i="74"/>
  <c r="F7" i="74"/>
  <c r="D7" i="74"/>
  <c r="B7" i="74"/>
  <c r="P6" i="74"/>
  <c r="M6" i="74"/>
  <c r="O5" i="74"/>
  <c r="K5" i="74"/>
  <c r="D5" i="74"/>
  <c r="O4" i="74"/>
  <c r="K4" i="74"/>
  <c r="D4" i="74"/>
  <c r="O3" i="74"/>
  <c r="K3" i="74"/>
  <c r="D3" i="74"/>
  <c r="F77" i="39"/>
  <c r="E77" i="39"/>
  <c r="D77" i="39"/>
  <c r="I9" i="39"/>
  <c r="G9" i="39"/>
  <c r="E9" i="39"/>
  <c r="I8" i="39"/>
  <c r="G8" i="39"/>
  <c r="E8" i="39"/>
  <c r="I7" i="39"/>
  <c r="G7" i="39"/>
  <c r="E7" i="39"/>
  <c r="O101" i="72"/>
  <c r="O100" i="72"/>
  <c r="O99" i="72"/>
  <c r="O98" i="72"/>
  <c r="O97" i="72"/>
  <c r="O96" i="72"/>
  <c r="O95" i="72"/>
  <c r="O94" i="72"/>
  <c r="O93" i="72"/>
  <c r="O92" i="72"/>
  <c r="O91" i="72"/>
  <c r="O90" i="72"/>
  <c r="O89" i="72"/>
  <c r="O88" i="72"/>
  <c r="O87" i="72"/>
  <c r="O86" i="72"/>
  <c r="O85" i="72"/>
  <c r="O84" i="72"/>
  <c r="O83" i="72"/>
  <c r="O82" i="72"/>
  <c r="O81" i="72"/>
  <c r="O80" i="72"/>
  <c r="O79" i="72"/>
  <c r="O78" i="72"/>
  <c r="O77" i="72"/>
  <c r="O76" i="72"/>
  <c r="O75" i="72"/>
  <c r="O74" i="72"/>
  <c r="O73" i="72"/>
  <c r="O72" i="72"/>
  <c r="O71" i="72"/>
  <c r="O70" i="72"/>
  <c r="O69" i="72"/>
  <c r="O68" i="72"/>
  <c r="O67" i="72"/>
  <c r="O66" i="72"/>
  <c r="O65" i="72"/>
  <c r="O64" i="72"/>
  <c r="O63" i="72"/>
  <c r="O62" i="72"/>
  <c r="O61" i="72"/>
  <c r="O60" i="72"/>
  <c r="O59" i="72"/>
  <c r="O58" i="72"/>
  <c r="O57" i="72"/>
  <c r="O56" i="72"/>
  <c r="O55" i="72"/>
  <c r="O54" i="72"/>
  <c r="O53" i="72"/>
  <c r="O52" i="72"/>
  <c r="O51" i="72"/>
  <c r="O50" i="72"/>
  <c r="O49" i="72"/>
  <c r="O48" i="72"/>
  <c r="O47" i="72"/>
  <c r="O46" i="72"/>
  <c r="O45" i="72"/>
  <c r="O44" i="72"/>
  <c r="O43" i="72"/>
  <c r="O42" i="72"/>
  <c r="O41" i="72"/>
  <c r="O40" i="72"/>
  <c r="O39" i="72"/>
  <c r="O38" i="72"/>
  <c r="O37" i="72"/>
  <c r="O36" i="72"/>
  <c r="O35" i="72"/>
  <c r="O34" i="72"/>
  <c r="O33" i="72"/>
  <c r="O32" i="72"/>
  <c r="O31" i="72"/>
  <c r="O30" i="72"/>
  <c r="O29" i="72"/>
  <c r="O28" i="72"/>
  <c r="O27" i="72"/>
  <c r="O26" i="72"/>
  <c r="O25" i="72"/>
  <c r="O24" i="72"/>
  <c r="O23" i="72"/>
  <c r="O22" i="72"/>
  <c r="O21" i="72"/>
  <c r="O20" i="72"/>
  <c r="O19" i="72"/>
  <c r="O18" i="72"/>
  <c r="O17" i="72"/>
  <c r="O16" i="72"/>
  <c r="O15" i="72"/>
  <c r="O14" i="72"/>
  <c r="O13" i="72"/>
  <c r="O12" i="72"/>
  <c r="O11" i="72"/>
  <c r="O10" i="72"/>
  <c r="O9" i="72"/>
  <c r="O8" i="72"/>
  <c r="O7" i="72"/>
  <c r="O6" i="72"/>
  <c r="O5" i="72"/>
  <c r="O4" i="72"/>
  <c r="O3" i="72"/>
  <c r="O2" i="72"/>
  <c r="G22" i="74" l="1"/>
  <c r="G47" i="74" s="1"/>
  <c r="I22" i="74"/>
  <c r="L22" i="74"/>
  <c r="L47" i="74" s="1"/>
  <c r="P22" i="74"/>
  <c r="J13" i="74"/>
  <c r="J15" i="74"/>
  <c r="J17" i="74"/>
  <c r="J24" i="74"/>
  <c r="J25" i="74"/>
  <c r="J26" i="74"/>
  <c r="K27" i="74"/>
  <c r="K47" i="74" s="1"/>
  <c r="F20" i="6"/>
  <c r="P6" i="75"/>
  <c r="P7" i="75" s="1"/>
  <c r="D22" i="75"/>
  <c r="D47" i="75" s="1"/>
  <c r="F47" i="75"/>
  <c r="L47" i="75"/>
  <c r="J39" i="75"/>
  <c r="J46" i="75"/>
  <c r="F19" i="6"/>
  <c r="F21" i="6"/>
  <c r="K18" i="75"/>
  <c r="H63" i="75"/>
  <c r="G46" i="75"/>
  <c r="G47" i="75" s="1"/>
  <c r="D4" i="75" s="1"/>
  <c r="K12" i="75"/>
  <c r="K27" i="75"/>
  <c r="H22" i="75"/>
  <c r="J27" i="75"/>
  <c r="J16" i="75"/>
  <c r="D47" i="74"/>
  <c r="F47" i="74"/>
  <c r="H47" i="74"/>
  <c r="J12" i="74"/>
  <c r="J22" i="74" s="1"/>
  <c r="J47" i="74" s="1"/>
  <c r="J23" i="74"/>
  <c r="J27" i="74" s="1"/>
  <c r="K4" i="75" l="1"/>
  <c r="B9" i="75"/>
  <c r="M23" i="74"/>
  <c r="M24" i="74"/>
  <c r="M25" i="74"/>
  <c r="M26" i="74"/>
  <c r="M46" i="74"/>
  <c r="K16" i="75"/>
  <c r="H62" i="75"/>
  <c r="H65" i="75" s="1"/>
  <c r="H67" i="75" s="1"/>
  <c r="I47" i="74"/>
  <c r="K22" i="75"/>
  <c r="K47" i="75" s="1"/>
  <c r="M16" i="75"/>
  <c r="H47" i="75"/>
  <c r="D5" i="75"/>
  <c r="K5" i="75" s="1"/>
  <c r="J22" i="75"/>
  <c r="J47" i="75" s="1"/>
  <c r="O3" i="75" s="1"/>
  <c r="M27" i="74" l="1"/>
  <c r="M47" i="74" s="1"/>
  <c r="D9" i="75"/>
  <c r="G9" i="75"/>
  <c r="M15" i="75"/>
  <c r="M24" i="75"/>
  <c r="M14" i="75"/>
  <c r="M19" i="75"/>
  <c r="M21" i="75"/>
  <c r="M26" i="75"/>
  <c r="M13" i="75"/>
  <c r="M17" i="75"/>
  <c r="M25" i="75"/>
  <c r="M18" i="75"/>
  <c r="M20" i="75"/>
  <c r="M46" i="75"/>
  <c r="M23" i="75"/>
  <c r="M12" i="75"/>
  <c r="M22" i="75" l="1"/>
  <c r="M27" i="75"/>
  <c r="M47" i="75" s="1"/>
  <c r="I47" i="21" l="1"/>
  <c r="E47" i="21"/>
  <c r="D59" i="21" l="1"/>
  <c r="E59" i="21" s="1"/>
  <c r="F59" i="21" s="1"/>
  <c r="G59" i="21" s="1"/>
  <c r="D73" i="39"/>
  <c r="E73" i="39" s="1"/>
  <c r="F73" i="39" s="1"/>
  <c r="G73" i="39" s="1"/>
  <c r="H73" i="39" s="1"/>
  <c r="I73" i="39" s="1"/>
  <c r="J73" i="39" s="1"/>
  <c r="K73" i="39" s="1"/>
  <c r="L73" i="39" s="1"/>
  <c r="M73" i="39" s="1"/>
  <c r="N73" i="39" s="1"/>
  <c r="B5" i="4"/>
  <c r="B7" i="4"/>
  <c r="BQ13" i="3" l="1"/>
  <c r="BM13" i="3"/>
  <c r="D3" i="4"/>
  <c r="D7" i="59"/>
  <c r="AH5" i="59"/>
  <c r="AG5" i="59"/>
  <c r="AE5" i="59"/>
  <c r="AF5" i="59" s="1"/>
  <c r="AD5" i="59"/>
  <c r="Q5" i="59"/>
  <c r="P5" i="59"/>
  <c r="O5" i="59"/>
  <c r="N5" i="59"/>
  <c r="I3" i="59"/>
  <c r="L3" i="59"/>
  <c r="K3" i="59"/>
  <c r="J3" i="59"/>
  <c r="BF13" i="3"/>
  <c r="BG13" i="3"/>
  <c r="BH13" i="3"/>
  <c r="BI13" i="3"/>
  <c r="BJ13" i="3"/>
  <c r="BK13" i="3"/>
  <c r="BN13" i="3"/>
  <c r="BO13" i="3"/>
  <c r="BP13" i="3"/>
  <c r="BS13" i="3"/>
  <c r="BT13" i="3"/>
  <c r="BB14"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A16" i="3" s="1"/>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A49" i="3" s="1"/>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A51" i="3" s="1"/>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A53" i="3" s="1"/>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A57" i="3" s="1"/>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A61" i="3" s="1"/>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s="1"/>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s="1"/>
  <c r="BM67" i="3"/>
  <c r="BN67" i="3"/>
  <c r="BO67" i="3"/>
  <c r="BP67" i="3"/>
  <c r="BQ67" i="3"/>
  <c r="BR67" i="3"/>
  <c r="BS67" i="3"/>
  <c r="BT67" i="3"/>
  <c r="BB68" i="3"/>
  <c r="BC68" i="3"/>
  <c r="BD68" i="3"/>
  <c r="BE68" i="3"/>
  <c r="BF68" i="3"/>
  <c r="BG68" i="3"/>
  <c r="BH68" i="3"/>
  <c r="BI68" i="3"/>
  <c r="BJ68" i="3"/>
  <c r="BK68" i="3"/>
  <c r="BM68" i="3"/>
  <c r="BN68" i="3"/>
  <c r="BO68" i="3"/>
  <c r="BP68" i="3"/>
  <c r="BQ68" i="3"/>
  <c r="BR68" i="3"/>
  <c r="BL68" i="3" s="1"/>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A84" i="3" s="1"/>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A86" i="3" s="1"/>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A96" i="3" s="1"/>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A100" i="3" s="1"/>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A104" i="3" s="1"/>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A112" i="3" s="1"/>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A114" i="3" s="1"/>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A116" i="3" s="1"/>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A120" i="3" s="1"/>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A124" i="3" s="1"/>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A132" i="3" s="1"/>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A134" i="3" s="1"/>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A138" i="3" s="1"/>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A146" i="3" s="1"/>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A158" i="3" s="1"/>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A160" i="3" s="1"/>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A162" i="3" s="1"/>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A166" i="3" s="1"/>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L175" i="3" s="1"/>
  <c r="BQ175" i="3"/>
  <c r="BR175" i="3"/>
  <c r="BS175" i="3"/>
  <c r="BT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L177" i="3" s="1"/>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L179" i="3" s="1"/>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L181" i="3" s="1"/>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L183" i="3" s="1"/>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L185" i="3" s="1"/>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L189" i="3" s="1"/>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L195" i="3" s="1"/>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L197" i="3" s="1"/>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L203" i="3" s="1"/>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L205" i="3" s="1"/>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L207" i="3" s="1"/>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L209" i="3" s="1"/>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L211" i="3" s="1"/>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L213" i="3" s="1"/>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s="1"/>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L221" i="3" s="1"/>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L223" i="3" s="1"/>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A230" i="3" s="1"/>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A232" i="3" s="1"/>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A236" i="3" s="1"/>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s="1"/>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s="1"/>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s="1"/>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L247" i="3" s="1"/>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s="1"/>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L251" i="3" s="1"/>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L348" i="3" s="1"/>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L356" i="3" s="1"/>
  <c r="BO356" i="3"/>
  <c r="BP356" i="3"/>
  <c r="BQ356" i="3"/>
  <c r="BR356" i="3"/>
  <c r="BS356" i="3"/>
  <c r="BT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A361" i="3" s="1"/>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A373" i="3" s="1"/>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A387" i="3" s="1"/>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A395" i="3" s="1"/>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L400" i="3" s="1"/>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A403" i="3" s="1"/>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L406" i="3" s="1"/>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A413" i="3" s="1"/>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A419" i="3" s="1"/>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A425" i="3" s="1"/>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BD467" i="3"/>
  <c r="BE467" i="3"/>
  <c r="BF467" i="3"/>
  <c r="BG467" i="3"/>
  <c r="BH467" i="3"/>
  <c r="BI467" i="3"/>
  <c r="BJ467" i="3"/>
  <c r="BK467" i="3"/>
  <c r="BM467" i="3"/>
  <c r="BN467" i="3"/>
  <c r="BO467" i="3"/>
  <c r="BP467" i="3"/>
  <c r="BQ467" i="3"/>
  <c r="BR467" i="3"/>
  <c r="BS467" i="3"/>
  <c r="BT467" i="3"/>
  <c r="BL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BD471" i="3"/>
  <c r="BE471" i="3"/>
  <c r="BF471" i="3"/>
  <c r="BG471" i="3"/>
  <c r="BH471" i="3"/>
  <c r="BI471" i="3"/>
  <c r="BJ471" i="3"/>
  <c r="BK471" i="3"/>
  <c r="BM471" i="3"/>
  <c r="BN471" i="3"/>
  <c r="BO471" i="3"/>
  <c r="BP471" i="3"/>
  <c r="BQ471" i="3"/>
  <c r="BR471" i="3"/>
  <c r="BS471" i="3"/>
  <c r="BT471" i="3"/>
  <c r="BL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BD475" i="3"/>
  <c r="BE475" i="3"/>
  <c r="BF475" i="3"/>
  <c r="BG475" i="3"/>
  <c r="BH475" i="3"/>
  <c r="BI475" i="3"/>
  <c r="BJ475" i="3"/>
  <c r="BK475" i="3"/>
  <c r="BM475" i="3"/>
  <c r="BN475" i="3"/>
  <c r="BO475" i="3"/>
  <c r="BP475" i="3"/>
  <c r="BQ475" i="3"/>
  <c r="BR475" i="3"/>
  <c r="BS475" i="3"/>
  <c r="BT475" i="3"/>
  <c r="BL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L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BD483" i="3"/>
  <c r="BE483" i="3"/>
  <c r="BF483" i="3"/>
  <c r="BG483" i="3"/>
  <c r="BH483" i="3"/>
  <c r="BI483" i="3"/>
  <c r="BJ483" i="3"/>
  <c r="BK483" i="3"/>
  <c r="BM483" i="3"/>
  <c r="BN483" i="3"/>
  <c r="BO483" i="3"/>
  <c r="BP483" i="3"/>
  <c r="BQ483" i="3"/>
  <c r="BR483" i="3"/>
  <c r="BS483" i="3"/>
  <c r="BT483" i="3"/>
  <c r="BL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BD487" i="3"/>
  <c r="BE487" i="3"/>
  <c r="BF487" i="3"/>
  <c r="BG487" i="3"/>
  <c r="BH487" i="3"/>
  <c r="BI487" i="3"/>
  <c r="BJ487" i="3"/>
  <c r="BK487" i="3"/>
  <c r="BM487" i="3"/>
  <c r="BN487" i="3"/>
  <c r="BO487" i="3"/>
  <c r="BP487" i="3"/>
  <c r="BQ487" i="3"/>
  <c r="BR487" i="3"/>
  <c r="BS487" i="3"/>
  <c r="BT487" i="3"/>
  <c r="BL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BD491" i="3"/>
  <c r="BE491" i="3"/>
  <c r="BF491" i="3"/>
  <c r="BG491" i="3"/>
  <c r="BH491" i="3"/>
  <c r="BI491" i="3"/>
  <c r="BJ491" i="3"/>
  <c r="BK491" i="3"/>
  <c r="BM491" i="3"/>
  <c r="BN491" i="3"/>
  <c r="BO491" i="3"/>
  <c r="BP491" i="3"/>
  <c r="BQ491" i="3"/>
  <c r="BR491" i="3"/>
  <c r="BS491" i="3"/>
  <c r="BT491" i="3"/>
  <c r="BL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L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L520" i="3" s="1"/>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L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L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L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L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L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L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L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L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L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L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L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D572" i="3"/>
  <c r="BE572" i="3"/>
  <c r="BF572" i="3"/>
  <c r="BG572" i="3"/>
  <c r="BH572" i="3"/>
  <c r="BI572" i="3"/>
  <c r="BJ572" i="3"/>
  <c r="BK572" i="3"/>
  <c r="BA572" i="3"/>
  <c r="BM572" i="3"/>
  <c r="BN572" i="3"/>
  <c r="BL572" i="3" s="1"/>
  <c r="AZ572" i="3" s="1"/>
  <c r="BO572" i="3"/>
  <c r="BP572" i="3"/>
  <c r="BQ572" i="3"/>
  <c r="BR572" i="3"/>
  <c r="BS572" i="3"/>
  <c r="BT572"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E6" i="59"/>
  <c r="AF6" i="59"/>
  <c r="AG6" i="59"/>
  <c r="AH6" i="59"/>
  <c r="AD6" i="59"/>
  <c r="Q6" i="59"/>
  <c r="F6" i="59" s="1"/>
  <c r="Q7" i="59"/>
  <c r="Q8" i="59"/>
  <c r="Q9" i="59"/>
  <c r="Q10" i="59"/>
  <c r="F10" i="59" s="1"/>
  <c r="Q11" i="59"/>
  <c r="Q12" i="59"/>
  <c r="AB11" i="59" s="1"/>
  <c r="Q13" i="59"/>
  <c r="Q14" i="59"/>
  <c r="AB13" i="59" s="1"/>
  <c r="Q15" i="59"/>
  <c r="Q16" i="59"/>
  <c r="AB15" i="59" s="1"/>
  <c r="Q17" i="59"/>
  <c r="Q18" i="59"/>
  <c r="AB17" i="59" s="1"/>
  <c r="Q19" i="59"/>
  <c r="Q20" i="59"/>
  <c r="AB19" i="59" s="1"/>
  <c r="Q21" i="59"/>
  <c r="AB5" i="59"/>
  <c r="P6" i="59"/>
  <c r="P7" i="59"/>
  <c r="AA5" i="59" s="1"/>
  <c r="P8" i="59"/>
  <c r="P9" i="59"/>
  <c r="P10" i="59"/>
  <c r="P11" i="59"/>
  <c r="P12" i="59"/>
  <c r="P13" i="59"/>
  <c r="AA12" i="59" s="1"/>
  <c r="P14" i="59"/>
  <c r="P15" i="59"/>
  <c r="AA14" i="59" s="1"/>
  <c r="P16" i="59"/>
  <c r="P17" i="59"/>
  <c r="AA16" i="59" s="1"/>
  <c r="P18" i="59"/>
  <c r="P19" i="59"/>
  <c r="AA18" i="59" s="1"/>
  <c r="P20" i="59"/>
  <c r="P21" i="59"/>
  <c r="AA20" i="59" s="1"/>
  <c r="O6" i="59"/>
  <c r="Y6" i="59" s="1"/>
  <c r="Z6" i="59" s="1"/>
  <c r="O7" i="59"/>
  <c r="O8" i="59"/>
  <c r="O9" i="59"/>
  <c r="O10" i="59"/>
  <c r="O11" i="59"/>
  <c r="O12" i="59"/>
  <c r="Y12" i="59" s="1"/>
  <c r="Z12" i="59" s="1"/>
  <c r="O13" i="59"/>
  <c r="O14" i="59"/>
  <c r="Y14" i="59" s="1"/>
  <c r="Z14" i="59" s="1"/>
  <c r="O15" i="59"/>
  <c r="O16" i="59"/>
  <c r="Y16" i="59" s="1"/>
  <c r="Z16" i="59" s="1"/>
  <c r="O17" i="59"/>
  <c r="O18" i="59"/>
  <c r="Y18" i="59" s="1"/>
  <c r="Z18" i="59" s="1"/>
  <c r="O19" i="59"/>
  <c r="O20" i="59"/>
  <c r="O21" i="59"/>
  <c r="Y5" i="59"/>
  <c r="Z5" i="59" s="1"/>
  <c r="N6" i="59"/>
  <c r="X6" i="59" s="1"/>
  <c r="N7" i="59"/>
  <c r="N8" i="59"/>
  <c r="N9" i="59"/>
  <c r="N10" i="59"/>
  <c r="B10" i="59" s="1"/>
  <c r="N11" i="59"/>
  <c r="N12" i="59"/>
  <c r="X11" i="59" s="1"/>
  <c r="N13" i="59"/>
  <c r="N14" i="59"/>
  <c r="X13" i="59" s="1"/>
  <c r="N15" i="59"/>
  <c r="N16" i="59"/>
  <c r="X15" i="59" s="1"/>
  <c r="N17" i="59"/>
  <c r="N18" i="59"/>
  <c r="X17" i="59" s="1"/>
  <c r="N19" i="59"/>
  <c r="N20" i="59"/>
  <c r="X19" i="59" s="1"/>
  <c r="N21" i="59"/>
  <c r="X5" i="59"/>
  <c r="L4" i="9"/>
  <c r="M4" i="9"/>
  <c r="A30" i="64" s="1"/>
  <c r="A30" i="51"/>
  <c r="K59" i="15"/>
  <c r="P62" i="15" s="1"/>
  <c r="Q74" i="44"/>
  <c r="Q61" i="44"/>
  <c r="Q60" i="44"/>
  <c r="Q53" i="44"/>
  <c r="J51" i="44"/>
  <c r="J52" i="44" s="1"/>
  <c r="M48" i="44"/>
  <c r="A16" i="55"/>
  <c r="A15" i="55"/>
  <c r="A10" i="55"/>
  <c r="A9" i="55"/>
  <c r="A8" i="55"/>
  <c r="A6" i="54"/>
  <c r="A8" i="54"/>
  <c r="A7" i="54"/>
  <c r="C57" i="10"/>
  <c r="A28" i="51"/>
  <c r="A27" i="51"/>
  <c r="D5" i="46"/>
  <c r="AB6" i="59"/>
  <c r="AA6" i="59"/>
  <c r="C10" i="59"/>
  <c r="D10" i="59" s="1"/>
  <c r="E10" i="59"/>
  <c r="U10" i="59" s="1"/>
  <c r="K75" i="9"/>
  <c r="K6" i="4"/>
  <c r="O76" i="9" s="1"/>
  <c r="L76" i="9"/>
  <c r="B22" i="31"/>
  <c r="E15" i="66"/>
  <c r="F15" i="66"/>
  <c r="E16" i="66"/>
  <c r="F16" i="66"/>
  <c r="E17" i="66"/>
  <c r="F17" i="66"/>
  <c r="E18" i="66"/>
  <c r="F18" i="66"/>
  <c r="E19" i="66"/>
  <c r="F19" i="66"/>
  <c r="E20" i="66"/>
  <c r="F20" i="66"/>
  <c r="E21" i="66"/>
  <c r="F21" i="66"/>
  <c r="E22" i="66"/>
  <c r="F22" i="66"/>
  <c r="E23" i="66"/>
  <c r="F23" i="66"/>
  <c r="B3" i="66"/>
  <c r="M19" i="46"/>
  <c r="T10" i="59"/>
  <c r="B6" i="59"/>
  <c r="S6" i="59" s="1"/>
  <c r="E6" i="59"/>
  <c r="C9" i="59"/>
  <c r="C8" i="59" s="1"/>
  <c r="D8" i="59" s="1"/>
  <c r="E5" i="59"/>
  <c r="U6" i="59"/>
  <c r="B5" i="59"/>
  <c r="D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Y11" i="59"/>
  <c r="Z11" i="59" s="1"/>
  <c r="AA11" i="59"/>
  <c r="X12" i="59"/>
  <c r="AB12" i="59"/>
  <c r="Y13" i="59"/>
  <c r="Z13" i="59" s="1"/>
  <c r="AA13" i="59"/>
  <c r="X14" i="59"/>
  <c r="AB14" i="59"/>
  <c r="Y15" i="59"/>
  <c r="Z15" i="59" s="1"/>
  <c r="AA15" i="59"/>
  <c r="X16" i="59"/>
  <c r="AB16" i="59"/>
  <c r="Y17" i="59"/>
  <c r="Z17" i="59" s="1"/>
  <c r="AA17" i="59"/>
  <c r="X18" i="59"/>
  <c r="AB18" i="59"/>
  <c r="Y19" i="59"/>
  <c r="Z19" i="59" s="1"/>
  <c r="AA19" i="59"/>
  <c r="AB20" i="59"/>
  <c r="Y20" i="59"/>
  <c r="S2" i="31"/>
  <c r="M2" i="31"/>
  <c r="N2" i="31"/>
  <c r="O2" i="31"/>
  <c r="P2" i="31"/>
  <c r="Q2" i="31"/>
  <c r="R2" i="31"/>
  <c r="C6" i="59"/>
  <c r="D6" i="59" s="1"/>
  <c r="C3" i="65"/>
  <c r="C1" i="65"/>
  <c r="N1" i="65" s="1"/>
  <c r="C5" i="59"/>
  <c r="D5" i="59" s="1"/>
  <c r="T6" i="59"/>
  <c r="B2" i="1"/>
  <c r="G19" i="46"/>
  <c r="D11" i="59"/>
  <c r="B12" i="59"/>
  <c r="C12" i="59"/>
  <c r="D12" i="59" s="1"/>
  <c r="E12" i="59"/>
  <c r="F12" i="59"/>
  <c r="B13" i="59"/>
  <c r="E13" i="59"/>
  <c r="E14" i="59" s="1"/>
  <c r="U14" i="59" s="1"/>
  <c r="F13" i="59"/>
  <c r="B14" i="59"/>
  <c r="F14" i="59"/>
  <c r="D15" i="59"/>
  <c r="B16" i="59"/>
  <c r="C16" i="59"/>
  <c r="D16" i="59" s="1"/>
  <c r="E16" i="59"/>
  <c r="F16" i="59"/>
  <c r="B17" i="59"/>
  <c r="E17" i="59"/>
  <c r="E18" i="59" s="1"/>
  <c r="U18" i="59" s="1"/>
  <c r="F17" i="59"/>
  <c r="B18" i="59"/>
  <c r="F18" i="59"/>
  <c r="D19" i="59"/>
  <c r="B20" i="59"/>
  <c r="C20" i="59"/>
  <c r="D20" i="59" s="1"/>
  <c r="E20" i="59"/>
  <c r="F20" i="59"/>
  <c r="B21" i="59"/>
  <c r="E21" i="59"/>
  <c r="E22" i="59" s="1"/>
  <c r="U22" i="59" s="1"/>
  <c r="F21" i="59"/>
  <c r="B22" i="59"/>
  <c r="F22" i="59"/>
  <c r="H1" i="65"/>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A21" i="64"/>
  <c r="B75" i="63" s="1"/>
  <c r="B73" i="63"/>
  <c r="A28" i="64"/>
  <c r="A27" i="64"/>
  <c r="A15" i="64"/>
  <c r="A14" i="64"/>
  <c r="A11" i="64"/>
  <c r="A3" i="64"/>
  <c r="A45" i="9"/>
  <c r="A44" i="9"/>
  <c r="K39" i="9" s="1"/>
  <c r="C56" i="10"/>
  <c r="C55" i="10"/>
  <c r="C54" i="10"/>
  <c r="A26" i="51" s="1"/>
  <c r="B19" i="63" s="1"/>
  <c r="B49" i="63"/>
  <c r="B44" i="63"/>
  <c r="B40" i="63"/>
  <c r="B30" i="63"/>
  <c r="B27" i="63"/>
  <c r="B25" i="63"/>
  <c r="A11" i="51"/>
  <c r="A26" i="64"/>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G5" i="54"/>
  <c r="B34" i="63" s="1"/>
  <c r="E5" i="54"/>
  <c r="B32" i="63" s="1"/>
  <c r="R2" i="54"/>
  <c r="B24" i="63" s="1"/>
  <c r="B49" i="50"/>
  <c r="B5" i="63" s="1"/>
  <c r="B40" i="50"/>
  <c r="B3" i="63" s="1"/>
  <c r="N4" i="63"/>
  <c r="B21" i="63"/>
  <c r="B67" i="63"/>
  <c r="I19" i="46"/>
  <c r="D71" i="59"/>
  <c r="F70" i="59"/>
  <c r="F69" i="59" s="1"/>
  <c r="F68" i="59" s="1"/>
  <c r="E70" i="59"/>
  <c r="E69" i="59" s="1"/>
  <c r="E68" i="59" s="1"/>
  <c r="C70" i="59"/>
  <c r="D70" i="59" s="1"/>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T50" i="59" s="1"/>
  <c r="B50" i="59"/>
  <c r="N50" i="59"/>
  <c r="B49" i="59"/>
  <c r="B48" i="59" s="1"/>
  <c r="D47" i="59"/>
  <c r="Q46" i="59"/>
  <c r="P46" i="59"/>
  <c r="O46" i="59"/>
  <c r="N46" i="59"/>
  <c r="Q45" i="59"/>
  <c r="P45" i="59"/>
  <c r="O45" i="59"/>
  <c r="N45" i="59"/>
  <c r="Q44" i="59"/>
  <c r="P44" i="59"/>
  <c r="O44" i="59"/>
  <c r="N44" i="59"/>
  <c r="Q43" i="59"/>
  <c r="F44" i="59"/>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C33"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F25" i="59" s="1"/>
  <c r="F26" i="59" s="1"/>
  <c r="V26" i="59" s="1"/>
  <c r="P23" i="59"/>
  <c r="E24" i="59"/>
  <c r="E25" i="59" s="1"/>
  <c r="E26" i="59" s="1"/>
  <c r="U26" i="59" s="1"/>
  <c r="O23" i="59"/>
  <c r="C24" i="59" s="1"/>
  <c r="N23" i="59"/>
  <c r="B24" i="59" s="1"/>
  <c r="B25" i="59" s="1"/>
  <c r="B26" i="59" s="1"/>
  <c r="S26" i="59" s="1"/>
  <c r="D23" i="59"/>
  <c r="Q22" i="59"/>
  <c r="P22" i="59"/>
  <c r="O22" i="59"/>
  <c r="N22" i="59"/>
  <c r="AB21" i="59"/>
  <c r="Y21" i="59"/>
  <c r="Z21" i="59"/>
  <c r="X21" i="59"/>
  <c r="S22" i="59"/>
  <c r="S18"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S14" i="59"/>
  <c r="S50" i="59"/>
  <c r="Z20" i="59"/>
  <c r="AA21" i="59"/>
  <c r="V14" i="59"/>
  <c r="V18" i="59"/>
  <c r="V22" i="59"/>
  <c r="D32" i="59"/>
  <c r="N49" i="59"/>
  <c r="O50" i="59"/>
  <c r="P50" i="59"/>
  <c r="Q50" i="59"/>
  <c r="C53" i="59"/>
  <c r="C52" i="59" s="1"/>
  <c r="D52" i="59" s="1"/>
  <c r="C57" i="59"/>
  <c r="D57" i="59" s="1"/>
  <c r="C61" i="59"/>
  <c r="D61" i="59" s="1"/>
  <c r="U16" i="4"/>
  <c r="S16" i="4"/>
  <c r="Q16" i="4"/>
  <c r="O16" i="4"/>
  <c r="M16" i="4"/>
  <c r="N16" i="4" s="1"/>
  <c r="K16" i="4"/>
  <c r="C60" i="59"/>
  <c r="D60" i="59" s="1"/>
  <c r="D53" i="59"/>
  <c r="C56" i="59"/>
  <c r="D56"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C21" i="37"/>
  <c r="D77" i="37"/>
  <c r="E77" i="37" s="1"/>
  <c r="F77" i="37" s="1"/>
  <c r="G77" i="37" s="1"/>
  <c r="Q21" i="34"/>
  <c r="Z21" i="34"/>
  <c r="C21" i="34"/>
  <c r="D84" i="34"/>
  <c r="E84" i="34" s="1"/>
  <c r="F21" i="34"/>
  <c r="AA21" i="34"/>
  <c r="Q21" i="33"/>
  <c r="Z21" i="33"/>
  <c r="C21" i="33"/>
  <c r="D83" i="33"/>
  <c r="E83" i="33" s="1"/>
  <c r="F83" i="33" s="1"/>
  <c r="G83" i="33" s="1"/>
  <c r="Q21" i="21"/>
  <c r="Z21" i="21" s="1"/>
  <c r="D83" i="21"/>
  <c r="E83" i="21" s="1"/>
  <c r="F83" i="21" s="1"/>
  <c r="G83" i="21" s="1"/>
  <c r="F21" i="21"/>
  <c r="C21" i="21"/>
  <c r="Q27" i="40"/>
  <c r="Z27" i="40"/>
  <c r="D96" i="40"/>
  <c r="E96" i="40"/>
  <c r="F96" i="40" s="1"/>
  <c r="F27" i="40"/>
  <c r="AA27" i="40"/>
  <c r="Q31" i="39"/>
  <c r="Z31" i="39"/>
  <c r="D105" i="39"/>
  <c r="E105" i="39" s="1"/>
  <c r="F105" i="39" s="1"/>
  <c r="G105" i="39" s="1"/>
  <c r="F31" i="39"/>
  <c r="AA31" i="39" s="1"/>
  <c r="G20" i="20"/>
  <c r="B85" i="46" s="1"/>
  <c r="C22" i="20"/>
  <c r="B65" i="46" s="1"/>
  <c r="S18" i="35"/>
  <c r="S21" i="34"/>
  <c r="S27" i="40"/>
  <c r="C27" i="40"/>
  <c r="B54" i="46"/>
  <c r="E66" i="36"/>
  <c r="H18" i="35"/>
  <c r="J18" i="35"/>
  <c r="H21" i="37"/>
  <c r="J21" i="37"/>
  <c r="F84" i="34"/>
  <c r="G84" i="34" s="1"/>
  <c r="J21" i="34"/>
  <c r="H21" i="34"/>
  <c r="F21" i="33"/>
  <c r="H21" i="33"/>
  <c r="J21" i="33"/>
  <c r="H21" i="21"/>
  <c r="J21" i="21"/>
  <c r="H27" i="40"/>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E26" i="57" s="1"/>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C42" i="1"/>
  <c r="A12" i="1"/>
  <c r="A13" i="1"/>
  <c r="B13" i="1" s="1"/>
  <c r="E13" i="1" s="1"/>
  <c r="A7" i="1"/>
  <c r="A8" i="1"/>
  <c r="A9" i="1"/>
  <c r="A10" i="1"/>
  <c r="BF10" i="3"/>
  <c r="BQ5" i="3"/>
  <c r="A11" i="1"/>
  <c r="A6" i="1"/>
  <c r="T4" i="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G2" i="46"/>
  <c r="X7"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G36" i="4"/>
  <c r="K2" i="54"/>
  <c r="B23" i="63" s="1"/>
  <c r="A3" i="51"/>
  <c r="R41" i="4"/>
  <c r="Q41" i="4"/>
  <c r="P41" i="4"/>
  <c r="O41" i="4"/>
  <c r="N41" i="4"/>
  <c r="M41" i="4"/>
  <c r="L41" i="4"/>
  <c r="K40" i="4"/>
  <c r="T40" i="4" s="1"/>
  <c r="F23" i="4"/>
  <c r="D19" i="4"/>
  <c r="F7" i="1" s="1"/>
  <c r="I19" i="4"/>
  <c r="H19" i="4"/>
  <c r="G19" i="4"/>
  <c r="E19" i="4"/>
  <c r="F9" i="1" s="1"/>
  <c r="F19" i="4"/>
  <c r="F8" i="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c r="C9" i="46"/>
  <c r="E3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s="1"/>
  <c r="B22" i="1"/>
  <c r="C2" i="65" s="1"/>
  <c r="I1" i="65" s="1"/>
  <c r="B23" i="1"/>
  <c r="BC11" i="3"/>
  <c r="BD11" i="3"/>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9" i="12"/>
  <c r="I9" i="12"/>
  <c r="J9" i="12"/>
  <c r="K9" i="12"/>
  <c r="G111" i="21"/>
  <c r="H111" i="21"/>
  <c r="B112" i="39"/>
  <c r="F37" i="39" s="1"/>
  <c r="B114" i="39"/>
  <c r="F38" i="39"/>
  <c r="AA38" i="39" s="1"/>
  <c r="J30" i="36"/>
  <c r="H30" i="36"/>
  <c r="U30" i="36" s="1"/>
  <c r="F30" i="36"/>
  <c r="AA30" i="36" s="1"/>
  <c r="C26" i="35"/>
  <c r="C79" i="35" s="1"/>
  <c r="J31" i="35"/>
  <c r="AC31" i="35" s="1"/>
  <c r="H31" i="35"/>
  <c r="F31" i="35"/>
  <c r="AA31" i="35" s="1"/>
  <c r="D87" i="35"/>
  <c r="E87" i="35" s="1"/>
  <c r="F87" i="35"/>
  <c r="G87" i="35" s="1"/>
  <c r="H87" i="35" s="1"/>
  <c r="I87" i="35" s="1"/>
  <c r="J87" i="35" s="1"/>
  <c r="K87" i="35" s="1"/>
  <c r="L87" i="35" s="1"/>
  <c r="M87" i="35" s="1"/>
  <c r="H34" i="37"/>
  <c r="AB34" i="37" s="1"/>
  <c r="D101" i="37"/>
  <c r="F34" i="37"/>
  <c r="AA34" i="37" s="1"/>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F33" i="40" s="1"/>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J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H47" i="39" s="1"/>
  <c r="B131" i="39"/>
  <c r="B129" i="39"/>
  <c r="J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c r="Q17" i="39"/>
  <c r="Z17" i="39"/>
  <c r="Q16" i="39"/>
  <c r="Z16" i="39" s="1"/>
  <c r="Q15" i="39"/>
  <c r="Z15" i="39" s="1"/>
  <c r="Q14" i="39"/>
  <c r="Z14" i="39" s="1"/>
  <c r="Q13" i="39"/>
  <c r="Z13" i="39" s="1"/>
  <c r="Q12" i="39"/>
  <c r="Z12" i="39" s="1"/>
  <c r="Q11" i="39"/>
  <c r="Z11" i="39" s="1"/>
  <c r="U10" i="39"/>
  <c r="C9" i="39"/>
  <c r="C20" i="36"/>
  <c r="C20" i="35"/>
  <c r="C16" i="36"/>
  <c r="C16" i="35"/>
  <c r="C14" i="36"/>
  <c r="C14" i="35"/>
  <c r="B80" i="37"/>
  <c r="B110" i="37"/>
  <c r="J39" i="37"/>
  <c r="B108" i="37"/>
  <c r="C23" i="37"/>
  <c r="C19" i="37"/>
  <c r="C17" i="37"/>
  <c r="C15" i="37"/>
  <c r="B112" i="37"/>
  <c r="H40" i="37" s="1"/>
  <c r="D107" i="37"/>
  <c r="E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c r="B82" i="37"/>
  <c r="D79" i="37"/>
  <c r="E79" i="37" s="1"/>
  <c r="F79" i="37" s="1"/>
  <c r="G79" i="37" s="1"/>
  <c r="D75" i="37"/>
  <c r="E75" i="37" s="1"/>
  <c r="F75" i="37"/>
  <c r="D73" i="37"/>
  <c r="E73" i="37"/>
  <c r="F73" i="37" s="1"/>
  <c r="G73" i="37" s="1"/>
  <c r="D71" i="37"/>
  <c r="E71" i="37"/>
  <c r="F71" i="37" s="1"/>
  <c r="G71" i="37" s="1"/>
  <c r="F15" i="37"/>
  <c r="AA15" i="37" s="1"/>
  <c r="B68" i="37"/>
  <c r="H14" i="37" s="1"/>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J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c r="W24" i="36" s="1"/>
  <c r="B71" i="36"/>
  <c r="D70" i="36"/>
  <c r="H22" i="36"/>
  <c r="AB22" i="36" s="1"/>
  <c r="D68" i="36"/>
  <c r="E68" i="36" s="1"/>
  <c r="F68" i="36" s="1"/>
  <c r="D64" i="36"/>
  <c r="E64" i="36" s="1"/>
  <c r="F64" i="36"/>
  <c r="G64" i="36" s="1"/>
  <c r="J16" i="36"/>
  <c r="D62" i="36"/>
  <c r="E62" i="36" s="1"/>
  <c r="F62" i="36" s="1"/>
  <c r="G62" i="36" s="1"/>
  <c r="B59" i="36"/>
  <c r="J13" i="36" s="1"/>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B77" i="35"/>
  <c r="J25" i="35" s="1"/>
  <c r="B75" i="35"/>
  <c r="J24" i="35" s="1"/>
  <c r="B73" i="35"/>
  <c r="J23" i="35" s="1"/>
  <c r="B57" i="35"/>
  <c r="B61" i="35"/>
  <c r="J13" i="35" s="1"/>
  <c r="B59" i="35"/>
  <c r="H12" i="35" s="1"/>
  <c r="B131" i="34"/>
  <c r="H47" i="34" s="1"/>
  <c r="B129" i="34"/>
  <c r="B127" i="34"/>
  <c r="J45" i="34" s="1"/>
  <c r="B99" i="34"/>
  <c r="B97" i="34"/>
  <c r="J31" i="34" s="1"/>
  <c r="B95" i="34"/>
  <c r="B93" i="34"/>
  <c r="F29" i="34" s="1"/>
  <c r="B75" i="34"/>
  <c r="B73" i="34"/>
  <c r="H13" i="34" s="1"/>
  <c r="B71" i="34"/>
  <c r="B130" i="33"/>
  <c r="F46" i="33" s="1"/>
  <c r="B128" i="33"/>
  <c r="H45" i="33"/>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E80" i="35" s="1"/>
  <c r="F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AB8" i="35" s="1"/>
  <c r="F8" i="35"/>
  <c r="AA8" i="35" s="1"/>
  <c r="C7"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c r="G88" i="34" s="1"/>
  <c r="H88" i="34" s="1"/>
  <c r="I88" i="34" s="1"/>
  <c r="J88" i="34" s="1"/>
  <c r="K88" i="34" s="1"/>
  <c r="L88" i="34" s="1"/>
  <c r="M88" i="34" s="1"/>
  <c r="D86" i="34"/>
  <c r="E86" i="34" s="1"/>
  <c r="F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H8" i="33"/>
  <c r="F8" i="33"/>
  <c r="S8" i="33" s="1"/>
  <c r="C7" i="33"/>
  <c r="C58" i="33" s="1"/>
  <c r="D58" i="33"/>
  <c r="E58" i="33" s="1"/>
  <c r="F58" i="33" s="1"/>
  <c r="G58" i="33" s="1"/>
  <c r="H58" i="33" s="1"/>
  <c r="I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W46" i="21" s="1"/>
  <c r="B128" i="21"/>
  <c r="B126" i="21"/>
  <c r="J44" i="21" s="1"/>
  <c r="B98" i="21"/>
  <c r="H31" i="21" s="1"/>
  <c r="U31" i="21" s="1"/>
  <c r="B96" i="21"/>
  <c r="F30" i="21" s="1"/>
  <c r="B94" i="21"/>
  <c r="J29" i="21" s="1"/>
  <c r="B92" i="21"/>
  <c r="H28" i="21" s="1"/>
  <c r="B90" i="21"/>
  <c r="J27" i="21" s="1"/>
  <c r="B74" i="21"/>
  <c r="F14" i="21" s="1"/>
  <c r="B72" i="21"/>
  <c r="B70" i="21"/>
  <c r="F12" i="21" s="1"/>
  <c r="F10" i="21"/>
  <c r="AA10" i="21" s="1"/>
  <c r="C7" i="21"/>
  <c r="E7" i="21" s="1"/>
  <c r="C58" i="21"/>
  <c r="D58" i="21" s="1"/>
  <c r="E58" i="21" s="1"/>
  <c r="F58" i="21" s="1"/>
  <c r="G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BD10" i="3"/>
  <c r="BC10"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F5" i="3"/>
  <c r="G27" i="6"/>
  <c r="F34" i="21"/>
  <c r="H34" i="21"/>
  <c r="H38" i="21"/>
  <c r="AB38" i="21" s="1"/>
  <c r="F32" i="21"/>
  <c r="S32" i="21" s="1"/>
  <c r="F38" i="21"/>
  <c r="S38" i="21" s="1"/>
  <c r="F36" i="21"/>
  <c r="S36" i="21" s="1"/>
  <c r="F39" i="21"/>
  <c r="AA39" i="21" s="1"/>
  <c r="J40" i="21"/>
  <c r="W40" i="21" s="1"/>
  <c r="H35" i="21"/>
  <c r="AB35" i="21" s="1"/>
  <c r="J8" i="21"/>
  <c r="AC8" i="21" s="1"/>
  <c r="H8" i="21"/>
  <c r="H10" i="21"/>
  <c r="U10" i="21" s="1"/>
  <c r="H39" i="21"/>
  <c r="J34" i="21"/>
  <c r="H36" i="21"/>
  <c r="U36" i="21" s="1"/>
  <c r="F35" i="21"/>
  <c r="J10" i="21"/>
  <c r="AC10" i="21" s="1"/>
  <c r="H26" i="21"/>
  <c r="U26" i="21" s="1"/>
  <c r="H19" i="21"/>
  <c r="AB19" i="21" s="1"/>
  <c r="J12" i="21"/>
  <c r="W12" i="21" s="1"/>
  <c r="J26" i="21"/>
  <c r="W26" i="21" s="1"/>
  <c r="F26" i="21"/>
  <c r="AA26" i="21" s="1"/>
  <c r="AB41" i="21"/>
  <c r="W41" i="21"/>
  <c r="S10" i="39"/>
  <c r="U30" i="37"/>
  <c r="F39" i="37"/>
  <c r="S39" i="37"/>
  <c r="F29" i="36"/>
  <c r="F16" i="36"/>
  <c r="AA16" i="36" s="1"/>
  <c r="U22" i="36"/>
  <c r="W22" i="36"/>
  <c r="AC31" i="36"/>
  <c r="U31" i="35"/>
  <c r="S31" i="35"/>
  <c r="F36" i="34"/>
  <c r="S36" i="34" s="1"/>
  <c r="W9" i="34"/>
  <c r="S34" i="34"/>
  <c r="H39" i="33"/>
  <c r="U9" i="33"/>
  <c r="U33" i="33"/>
  <c r="W38" i="33"/>
  <c r="S33" i="33"/>
  <c r="W8" i="21"/>
  <c r="H39" i="37"/>
  <c r="AB39" i="37"/>
  <c r="S10" i="40"/>
  <c r="W10" i="40"/>
  <c r="S11" i="40"/>
  <c r="U11" i="40"/>
  <c r="S36" i="40"/>
  <c r="U36" i="40"/>
  <c r="S36" i="39"/>
  <c r="U36" i="39"/>
  <c r="S42" i="39"/>
  <c r="H32" i="33"/>
  <c r="AB32" i="33" s="1"/>
  <c r="F100" i="40"/>
  <c r="J27" i="36"/>
  <c r="W27" i="36" s="1"/>
  <c r="J30" i="35"/>
  <c r="W30" i="35" s="1"/>
  <c r="F22" i="35"/>
  <c r="H10" i="35"/>
  <c r="U29" i="36"/>
  <c r="F85" i="36"/>
  <c r="G85" i="36" s="1"/>
  <c r="H85" i="36" s="1"/>
  <c r="I85" i="36" s="1"/>
  <c r="J85" i="36" s="1"/>
  <c r="K85" i="36" s="1"/>
  <c r="L85" i="36" s="1"/>
  <c r="M85" i="36" s="1"/>
  <c r="J29" i="36"/>
  <c r="AC29" i="36" s="1"/>
  <c r="F12" i="36"/>
  <c r="S12" i="36" s="1"/>
  <c r="F24" i="36"/>
  <c r="S10" i="36"/>
  <c r="H16" i="35"/>
  <c r="H33" i="35"/>
  <c r="W8" i="35"/>
  <c r="AC8" i="35"/>
  <c r="F35" i="37"/>
  <c r="S35" i="37" s="1"/>
  <c r="E101"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19" i="33" s="1"/>
  <c r="W40" i="33"/>
  <c r="F125" i="21"/>
  <c r="G125" i="21" s="1"/>
  <c r="AB30" i="36"/>
  <c r="H29" i="35"/>
  <c r="U29" i="35" s="1"/>
  <c r="S34" i="37"/>
  <c r="AC43" i="34"/>
  <c r="AB40" i="34"/>
  <c r="W36" i="34"/>
  <c r="J19" i="34"/>
  <c r="H37" i="33"/>
  <c r="AB37" i="33" s="1"/>
  <c r="S37" i="33"/>
  <c r="W43" i="34"/>
  <c r="AC42" i="34"/>
  <c r="W42" i="34"/>
  <c r="AA42" i="34"/>
  <c r="AC38" i="34"/>
  <c r="W38" i="34"/>
  <c r="AA38" i="34"/>
  <c r="S38" i="34"/>
  <c r="J37" i="33"/>
  <c r="J42" i="21"/>
  <c r="AC42" i="21" s="1"/>
  <c r="J44" i="34"/>
  <c r="AC44" i="34" s="1"/>
  <c r="F44" i="34"/>
  <c r="J10" i="35"/>
  <c r="AL5" i="3"/>
  <c r="J14" i="21"/>
  <c r="W14" i="21" s="1"/>
  <c r="H14" i="21"/>
  <c r="F28" i="21"/>
  <c r="S28" i="21" s="1"/>
  <c r="H30" i="21"/>
  <c r="U30" i="21" s="1"/>
  <c r="J30" i="21"/>
  <c r="W30" i="21" s="1"/>
  <c r="H44" i="21"/>
  <c r="U44" i="21" s="1"/>
  <c r="H46" i="21"/>
  <c r="F46" i="21"/>
  <c r="AA46" i="21"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F27" i="36"/>
  <c r="H13" i="21"/>
  <c r="J13" i="21"/>
  <c r="AC13" i="21" s="1"/>
  <c r="F13" i="21"/>
  <c r="AA13" i="21" s="1"/>
  <c r="H27" i="21"/>
  <c r="AB27" i="21" s="1"/>
  <c r="F27" i="21"/>
  <c r="AA27" i="21" s="1"/>
  <c r="H29" i="21"/>
  <c r="U29" i="21" s="1"/>
  <c r="J31" i="21"/>
  <c r="AC31" i="21" s="1"/>
  <c r="F31" i="21"/>
  <c r="S31" i="21" s="1"/>
  <c r="J45" i="21"/>
  <c r="W45" i="21" s="1"/>
  <c r="F45" i="21"/>
  <c r="H45" i="21"/>
  <c r="U45" i="21" s="1"/>
  <c r="J27" i="33"/>
  <c r="F13" i="33"/>
  <c r="S13" i="33" s="1"/>
  <c r="J29" i="33"/>
  <c r="W29" i="33" s="1"/>
  <c r="J31" i="33"/>
  <c r="J45" i="33"/>
  <c r="W45" i="33"/>
  <c r="F45" i="33"/>
  <c r="S45" i="33"/>
  <c r="F11" i="35"/>
  <c r="S11" i="35"/>
  <c r="H28" i="36"/>
  <c r="U28" i="36"/>
  <c r="H13" i="36"/>
  <c r="AB13" i="36" s="1"/>
  <c r="F13" i="36"/>
  <c r="S13" i="36" s="1"/>
  <c r="E89" i="37"/>
  <c r="F89" i="37" s="1"/>
  <c r="G89" i="37"/>
  <c r="H89" i="37" s="1"/>
  <c r="I89" i="37" s="1"/>
  <c r="J89" i="37" s="1"/>
  <c r="K89" i="37" s="1"/>
  <c r="L89" i="37" s="1"/>
  <c r="M89" i="37" s="1"/>
  <c r="J29" i="37"/>
  <c r="W29" i="37"/>
  <c r="F29" i="37"/>
  <c r="AA29" i="37"/>
  <c r="AB36" i="37"/>
  <c r="F107" i="37"/>
  <c r="G107" i="37" s="1"/>
  <c r="H107" i="37" s="1"/>
  <c r="I107" i="37" s="1"/>
  <c r="J107" i="37" s="1"/>
  <c r="K107" i="37" s="1"/>
  <c r="L107" i="37" s="1"/>
  <c r="M107" i="37" s="1"/>
  <c r="J37" i="37"/>
  <c r="AC37" i="37" s="1"/>
  <c r="H37" i="37"/>
  <c r="J40" i="37"/>
  <c r="AC40" i="37" s="1"/>
  <c r="H44" i="33"/>
  <c r="U44" i="33" s="1"/>
  <c r="J44" i="33"/>
  <c r="AC44" i="33" s="1"/>
  <c r="F44" i="33"/>
  <c r="J46" i="33"/>
  <c r="H46" i="33"/>
  <c r="J13" i="34"/>
  <c r="W13" i="34" s="1"/>
  <c r="J29" i="34"/>
  <c r="AC29" i="34" s="1"/>
  <c r="H29" i="34"/>
  <c r="U29" i="34" s="1"/>
  <c r="H31" i="34"/>
  <c r="AB31" i="34" s="1"/>
  <c r="H45" i="34"/>
  <c r="U45" i="34" s="1"/>
  <c r="F45" i="34"/>
  <c r="F47" i="34"/>
  <c r="AA47" i="34" s="1"/>
  <c r="F13" i="35"/>
  <c r="S13" i="35" s="1"/>
  <c r="H13" i="35"/>
  <c r="U13" i="35" s="1"/>
  <c r="F25" i="35"/>
  <c r="J35" i="35"/>
  <c r="H35" i="35"/>
  <c r="U35" i="35" s="1"/>
  <c r="F25" i="36"/>
  <c r="AA25" i="36" s="1"/>
  <c r="H13" i="37"/>
  <c r="AB13" i="37" s="1"/>
  <c r="J13" i="37"/>
  <c r="AC13" i="37" s="1"/>
  <c r="J28" i="37"/>
  <c r="AC28" i="37" s="1"/>
  <c r="H38" i="37"/>
  <c r="AB38" i="37" s="1"/>
  <c r="J38" i="37"/>
  <c r="AC38" i="37" s="1"/>
  <c r="F38" i="37"/>
  <c r="S38" i="37" s="1"/>
  <c r="F27" i="37"/>
  <c r="J27" i="37"/>
  <c r="J36" i="37"/>
  <c r="AC36" i="37" s="1"/>
  <c r="AB28" i="36"/>
  <c r="AC30" i="21"/>
  <c r="AA28" i="21"/>
  <c r="AC14" i="21"/>
  <c r="W42" i="21"/>
  <c r="U36" i="37"/>
  <c r="AC28" i="3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c r="F42" i="33"/>
  <c r="F22" i="36"/>
  <c r="S22" i="36" s="1"/>
  <c r="H35" i="34"/>
  <c r="U35" i="34" s="1"/>
  <c r="F41" i="34"/>
  <c r="S41" i="34" s="1"/>
  <c r="H41" i="34"/>
  <c r="U41" i="34" s="1"/>
  <c r="J41" i="34"/>
  <c r="F10" i="35"/>
  <c r="H24" i="35"/>
  <c r="AB24" i="35" s="1"/>
  <c r="H23" i="37"/>
  <c r="AB23" i="37" s="1"/>
  <c r="J32" i="37"/>
  <c r="F36" i="37"/>
  <c r="S36" i="37" s="1"/>
  <c r="F37" i="37"/>
  <c r="U23" i="37"/>
  <c r="H42" i="33"/>
  <c r="U42" i="33" s="1"/>
  <c r="J43" i="33"/>
  <c r="AC43" i="33" s="1"/>
  <c r="J23" i="37"/>
  <c r="W23" i="37" s="1"/>
  <c r="F17" i="37"/>
  <c r="AA17" i="37" s="1"/>
  <c r="AB43" i="33"/>
  <c r="AC12" i="35"/>
  <c r="AC23" i="37"/>
  <c r="U39" i="37"/>
  <c r="AC8" i="37"/>
  <c r="AC36" i="34"/>
  <c r="AB8" i="34"/>
  <c r="AC45" i="33"/>
  <c r="S39" i="33"/>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E90" i="40"/>
  <c r="F21" i="40"/>
  <c r="S21" i="40" s="1"/>
  <c r="W36" i="40"/>
  <c r="F90" i="40"/>
  <c r="G90" i="40" s="1"/>
  <c r="J21" i="40"/>
  <c r="AC21" i="40"/>
  <c r="S27" i="31"/>
  <c r="BT5" i="3"/>
  <c r="J57" i="39"/>
  <c r="H13" i="40"/>
  <c r="U13" i="40" s="1"/>
  <c r="H12" i="48"/>
  <c r="I4" i="4"/>
  <c r="K141" i="21"/>
  <c r="K143" i="21"/>
  <c r="K144" i="21"/>
  <c r="I59" i="40"/>
  <c r="C59" i="40" s="1"/>
  <c r="I60" i="40"/>
  <c r="C60" i="40" s="1"/>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S37" i="34"/>
  <c r="J16" i="35"/>
  <c r="W16" i="35"/>
  <c r="AC26" i="36"/>
  <c r="AA36" i="35"/>
  <c r="H11" i="37"/>
  <c r="W37" i="37"/>
  <c r="AA36" i="37"/>
  <c r="U32" i="33"/>
  <c r="AC29" i="33"/>
  <c r="AA45" i="33"/>
  <c r="AC10" i="36"/>
  <c r="AB45" i="34"/>
  <c r="AC29" i="37"/>
  <c r="J33" i="34"/>
  <c r="AC33" i="34" s="1"/>
  <c r="J40" i="34"/>
  <c r="W40" i="34" s="1"/>
  <c r="F16" i="35"/>
  <c r="AA16" i="35" s="1"/>
  <c r="W42" i="33"/>
  <c r="J35" i="34"/>
  <c r="W35" i="34"/>
  <c r="S30" i="36"/>
  <c r="H16" i="36"/>
  <c r="AB16" i="36" s="1"/>
  <c r="H35" i="37"/>
  <c r="AB35" i="37" s="1"/>
  <c r="S26" i="21"/>
  <c r="H32" i="21"/>
  <c r="U32" i="21" s="1"/>
  <c r="J32" i="21"/>
  <c r="AC32" i="21" s="1"/>
  <c r="H17" i="21"/>
  <c r="AB17" i="21" s="1"/>
  <c r="F40" i="21"/>
  <c r="H40" i="21"/>
  <c r="AB40" i="21" s="1"/>
  <c r="AA8" i="33"/>
  <c r="H66" i="33"/>
  <c r="I66" i="33" s="1"/>
  <c r="F10" i="33"/>
  <c r="AA10" i="33"/>
  <c r="F11" i="33"/>
  <c r="S11" i="33"/>
  <c r="J15" i="33"/>
  <c r="W15" i="33"/>
  <c r="H19" i="33"/>
  <c r="AB19" i="33"/>
  <c r="F32" i="33"/>
  <c r="AA32" i="33"/>
  <c r="J32" i="33"/>
  <c r="AC32" i="33"/>
  <c r="F35" i="33"/>
  <c r="AA35" i="33"/>
  <c r="AB39" i="34"/>
  <c r="F11" i="34"/>
  <c r="S11" i="34" s="1"/>
  <c r="E80" i="34"/>
  <c r="F80" i="34" s="1"/>
  <c r="H1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43" i="39"/>
  <c r="S43" i="39" s="1"/>
  <c r="H43" i="39"/>
  <c r="U43" i="39" s="1"/>
  <c r="J43" i="39"/>
  <c r="AC43" i="39" s="1"/>
  <c r="F99" i="37"/>
  <c r="G99" i="37" s="1"/>
  <c r="H99" i="37" s="1"/>
  <c r="W40" i="37"/>
  <c r="AC45" i="21"/>
  <c r="S28" i="33"/>
  <c r="AC19" i="33"/>
  <c r="U43" i="34"/>
  <c r="AB43" i="34"/>
  <c r="AC34" i="37"/>
  <c r="F42" i="21"/>
  <c r="AA42" i="21" s="1"/>
  <c r="U40" i="33"/>
  <c r="S35" i="34"/>
  <c r="H27" i="34"/>
  <c r="AB27" i="34" s="1"/>
  <c r="U8" i="35"/>
  <c r="J14" i="35"/>
  <c r="AC14" i="35"/>
  <c r="F14" i="35"/>
  <c r="H14" i="35"/>
  <c r="U14" i="35" s="1"/>
  <c r="E94" i="35"/>
  <c r="F94" i="35"/>
  <c r="G94" i="35" s="1"/>
  <c r="H94" i="35" s="1"/>
  <c r="I94" i="35" s="1"/>
  <c r="J94" i="35" s="1"/>
  <c r="K94" i="35" s="1"/>
  <c r="L94" i="35" s="1"/>
  <c r="M94" i="35" s="1"/>
  <c r="J32" i="35"/>
  <c r="AC32" i="35" s="1"/>
  <c r="F11" i="36"/>
  <c r="S11" i="36" s="1"/>
  <c r="W16" i="36"/>
  <c r="AC16" i="36"/>
  <c r="F26" i="36"/>
  <c r="S26" i="36" s="1"/>
  <c r="H33" i="36"/>
  <c r="U33" i="36" s="1"/>
  <c r="F33" i="36"/>
  <c r="AA33" i="36" s="1"/>
  <c r="H27" i="36"/>
  <c r="AB27" i="36" s="1"/>
  <c r="AA31" i="36"/>
  <c r="W26" i="37"/>
  <c r="AA30" i="37"/>
  <c r="S30" i="37"/>
  <c r="AC30" i="37"/>
  <c r="W31" i="37"/>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E103" i="39"/>
  <c r="F103" i="39" s="1"/>
  <c r="G103" i="39" s="1"/>
  <c r="F34" i="39"/>
  <c r="AA34" i="39" s="1"/>
  <c r="H34" i="39"/>
  <c r="AB34" i="39" s="1"/>
  <c r="J34" i="39"/>
  <c r="AC34" i="39" s="1"/>
  <c r="J39" i="39"/>
  <c r="AC39" i="39" s="1"/>
  <c r="J29" i="35"/>
  <c r="AC29" i="35"/>
  <c r="F29" i="35"/>
  <c r="S29" i="35"/>
  <c r="W30" i="36"/>
  <c r="AC30" i="36"/>
  <c r="H37" i="39"/>
  <c r="U37" i="39" s="1"/>
  <c r="BJ5" i="3"/>
  <c r="H38" i="34"/>
  <c r="U38" i="34" s="1"/>
  <c r="H30" i="40"/>
  <c r="AB30" i="40" s="1"/>
  <c r="G100" i="40"/>
  <c r="H100" i="40" s="1"/>
  <c r="I100" i="40" s="1"/>
  <c r="J30" i="40"/>
  <c r="AC30" i="40"/>
  <c r="F38" i="40"/>
  <c r="AA38" i="40"/>
  <c r="AC12" i="21"/>
  <c r="U8" i="21"/>
  <c r="AB8" i="21"/>
  <c r="AB8" i="33"/>
  <c r="U8" i="33"/>
  <c r="H34" i="33"/>
  <c r="U34" i="33" s="1"/>
  <c r="F34" i="33"/>
  <c r="E121" i="33"/>
  <c r="F41" i="33"/>
  <c r="S41" i="33"/>
  <c r="AC34" i="34"/>
  <c r="W34" i="34"/>
  <c r="E78" i="34"/>
  <c r="F78" i="34" s="1"/>
  <c r="G78" i="34" s="1"/>
  <c r="F15" i="34"/>
  <c r="AC28" i="35"/>
  <c r="W28" i="35"/>
  <c r="J20" i="35"/>
  <c r="E72" i="35"/>
  <c r="F72" i="35" s="1"/>
  <c r="G72" i="35" s="1"/>
  <c r="H22" i="35"/>
  <c r="AB22" i="35" s="1"/>
  <c r="H23" i="35"/>
  <c r="AB23" i="35" s="1"/>
  <c r="W12" i="36"/>
  <c r="AC12" i="36"/>
  <c r="S8" i="37"/>
  <c r="F14" i="39"/>
  <c r="AA14" i="39" s="1"/>
  <c r="H14" i="39"/>
  <c r="AB14" i="39" s="1"/>
  <c r="J14" i="39"/>
  <c r="AC14" i="39" s="1"/>
  <c r="F16" i="39"/>
  <c r="AA16" i="39" s="1"/>
  <c r="H16" i="39"/>
  <c r="U16" i="39" s="1"/>
  <c r="J16" i="39"/>
  <c r="AC16" i="39" s="1"/>
  <c r="F23" i="39"/>
  <c r="AA23" i="39" s="1"/>
  <c r="E97" i="39"/>
  <c r="F97" i="39" s="1"/>
  <c r="G97" i="39" s="1"/>
  <c r="H27" i="39"/>
  <c r="AB27" i="39" s="1"/>
  <c r="F15" i="40"/>
  <c r="AA15" i="40" s="1"/>
  <c r="H15" i="40"/>
  <c r="AB15" i="40" s="1"/>
  <c r="E92" i="40"/>
  <c r="F92" i="40" s="1"/>
  <c r="G92" i="40" s="1"/>
  <c r="H23" i="40"/>
  <c r="U23" i="40" s="1"/>
  <c r="H41" i="40"/>
  <c r="AB41" i="40" s="1"/>
  <c r="F41" i="40"/>
  <c r="AA41" i="40" s="1"/>
  <c r="J41" i="40"/>
  <c r="W41" i="40" s="1"/>
  <c r="H36" i="33"/>
  <c r="AB36" i="33" s="1"/>
  <c r="H37" i="34"/>
  <c r="AB37" i="34" s="1"/>
  <c r="J25" i="39"/>
  <c r="AC25" i="39" s="1"/>
  <c r="F45" i="39"/>
  <c r="AA45" i="39" s="1"/>
  <c r="H45" i="39"/>
  <c r="U45" i="39" s="1"/>
  <c r="F47" i="39"/>
  <c r="AA47" i="39" s="1"/>
  <c r="J47" i="39"/>
  <c r="W47" i="39" s="1"/>
  <c r="F41" i="39"/>
  <c r="AA41" i="39" s="1"/>
  <c r="H41" i="39"/>
  <c r="AB41" i="39" s="1"/>
  <c r="J41" i="39"/>
  <c r="AC41" i="39" s="1"/>
  <c r="E94" i="40"/>
  <c r="F94" i="40" s="1"/>
  <c r="G94" i="40" s="1"/>
  <c r="J25" i="40"/>
  <c r="AC25" i="40" s="1"/>
  <c r="J32" i="40"/>
  <c r="H32" i="40"/>
  <c r="U32" i="40" s="1"/>
  <c r="H33" i="40"/>
  <c r="AB33" i="40" s="1"/>
  <c r="J33" i="40"/>
  <c r="H35" i="40"/>
  <c r="AB35" i="40" s="1"/>
  <c r="F35" i="40"/>
  <c r="J35" i="40"/>
  <c r="AC35" i="40" s="1"/>
  <c r="J38" i="39"/>
  <c r="H38" i="39"/>
  <c r="U38" i="39" s="1"/>
  <c r="J16" i="40"/>
  <c r="W16" i="40" s="1"/>
  <c r="J14" i="40"/>
  <c r="H42" i="40"/>
  <c r="B41" i="1"/>
  <c r="J42" i="40"/>
  <c r="AC42" i="40" s="1"/>
  <c r="J34" i="40"/>
  <c r="H14" i="40"/>
  <c r="F32" i="40"/>
  <c r="AA32" i="40" s="1"/>
  <c r="M1" i="46"/>
  <c r="M6" i="46"/>
  <c r="M10" i="46"/>
  <c r="N2" i="46"/>
  <c r="N5" i="46"/>
  <c r="F58" i="46"/>
  <c r="F47" i="46"/>
  <c r="N7" i="46"/>
  <c r="M7" i="46"/>
  <c r="M11" i="46"/>
  <c r="N3" i="46"/>
  <c r="N6" i="46"/>
  <c r="N10" i="46"/>
  <c r="J13" i="40"/>
  <c r="W13" i="40"/>
  <c r="F34" i="44"/>
  <c r="F27" i="43"/>
  <c r="C27" i="43" s="1"/>
  <c r="F66" i="9"/>
  <c r="P72" i="9" s="1"/>
  <c r="F71" i="9"/>
  <c r="F72" i="9"/>
  <c r="W35" i="40"/>
  <c r="AB32" i="40"/>
  <c r="AC47" i="39"/>
  <c r="AC41" i="40"/>
  <c r="U41" i="40"/>
  <c r="J23" i="40"/>
  <c r="AC23" i="40"/>
  <c r="F23" i="40"/>
  <c r="U23" i="35"/>
  <c r="H20" i="35"/>
  <c r="U20" i="35" s="1"/>
  <c r="F20" i="35"/>
  <c r="S20" i="35"/>
  <c r="H15" i="34"/>
  <c r="AB15" i="34"/>
  <c r="J15" i="34"/>
  <c r="AC15" i="34" s="1"/>
  <c r="H41" i="33"/>
  <c r="F121" i="33"/>
  <c r="G121" i="33" s="1"/>
  <c r="H121" i="33" s="1"/>
  <c r="I121" i="33" s="1"/>
  <c r="J121" i="33" s="1"/>
  <c r="K121" i="33" s="1"/>
  <c r="L121" i="33" s="1"/>
  <c r="M121" i="33" s="1"/>
  <c r="F30" i="40"/>
  <c r="J100" i="40"/>
  <c r="K100" i="40" s="1"/>
  <c r="L100" i="40" s="1"/>
  <c r="M100" i="40" s="1"/>
  <c r="AB37" i="39"/>
  <c r="AA29" i="35"/>
  <c r="J29" i="39"/>
  <c r="AC29" i="39" s="1"/>
  <c r="AB33" i="36"/>
  <c r="AA14" i="35"/>
  <c r="S14" i="35"/>
  <c r="F33" i="37"/>
  <c r="U46" i="34"/>
  <c r="AC30" i="34"/>
  <c r="AA14" i="34"/>
  <c r="W12" i="34"/>
  <c r="U29" i="33"/>
  <c r="AC13" i="33"/>
  <c r="W32" i="33"/>
  <c r="H15" i="33"/>
  <c r="AA11" i="33"/>
  <c r="H25" i="40"/>
  <c r="AB25" i="40" s="1"/>
  <c r="J37" i="34"/>
  <c r="AC37" i="34" s="1"/>
  <c r="J36" i="33"/>
  <c r="W36" i="33" s="1"/>
  <c r="AB23" i="40"/>
  <c r="H23" i="39"/>
  <c r="AB23" i="39" s="1"/>
  <c r="J23" i="39"/>
  <c r="AC23" i="39" s="1"/>
  <c r="S16" i="39"/>
  <c r="S15" i="34"/>
  <c r="AA15" i="34"/>
  <c r="AA41" i="33"/>
  <c r="J34" i="33"/>
  <c r="AC34" i="33" s="1"/>
  <c r="U30" i="40"/>
  <c r="W29" i="35"/>
  <c r="S39" i="39"/>
  <c r="S33" i="39"/>
  <c r="G80" i="35"/>
  <c r="H80" i="35" s="1"/>
  <c r="I80" i="35" s="1"/>
  <c r="J80" i="35" s="1"/>
  <c r="K80" i="35"/>
  <c r="L80" i="35" s="1"/>
  <c r="M80" i="35" s="1"/>
  <c r="W14" i="35"/>
  <c r="F27" i="34"/>
  <c r="S27" i="34"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AC16" i="35"/>
  <c r="AC13" i="40"/>
  <c r="J11" i="34"/>
  <c r="W11" i="34" s="1"/>
  <c r="S17" i="34"/>
  <c r="F25" i="40"/>
  <c r="AA25" i="40" s="1"/>
  <c r="J11" i="33"/>
  <c r="W11" i="33" s="1"/>
  <c r="H33" i="37"/>
  <c r="AB33" i="37" s="1"/>
  <c r="W15" i="34"/>
  <c r="AB20" i="35"/>
  <c r="W23" i="40"/>
  <c r="D73" i="9"/>
  <c r="N73" i="9" s="1"/>
  <c r="AP11" i="1"/>
  <c r="J51" i="15"/>
  <c r="B11" i="1"/>
  <c r="E11" i="1" s="1"/>
  <c r="K11" i="1"/>
  <c r="M11" i="1" s="1"/>
  <c r="O11" i="1" s="1"/>
  <c r="B9" i="1"/>
  <c r="E9" i="1" s="1"/>
  <c r="B7" i="1"/>
  <c r="E7" i="1" s="1"/>
  <c r="C20" i="43"/>
  <c r="F6" i="1"/>
  <c r="G11" i="1"/>
  <c r="F32" i="15"/>
  <c r="F59" i="15" s="1"/>
  <c r="F29" i="12"/>
  <c r="F70" i="9"/>
  <c r="D86" i="9"/>
  <c r="M20" i="44"/>
  <c r="F31" i="43"/>
  <c r="C31" i="43" s="1"/>
  <c r="F30" i="44"/>
  <c r="C30" i="44" s="1"/>
  <c r="C25" i="12"/>
  <c r="S23" i="36"/>
  <c r="AA26" i="36"/>
  <c r="H20" i="36"/>
  <c r="U20" i="36" s="1"/>
  <c r="G68" i="36"/>
  <c r="J20" i="36"/>
  <c r="AC20" i="36"/>
  <c r="F20" i="36"/>
  <c r="S20" i="36"/>
  <c r="J14" i="36"/>
  <c r="H14" i="36"/>
  <c r="F14" i="36"/>
  <c r="AA14" i="36"/>
  <c r="W20" i="36"/>
  <c r="U27" i="36"/>
  <c r="AB12" i="36"/>
  <c r="S33" i="36"/>
  <c r="S16" i="36"/>
  <c r="AC33" i="35"/>
  <c r="S8" i="35"/>
  <c r="AA20" i="35"/>
  <c r="S16" i="35"/>
  <c r="AB14" i="35"/>
  <c r="AC18" i="35"/>
  <c r="W18" i="35"/>
  <c r="U18" i="35"/>
  <c r="AB18" i="35"/>
  <c r="S30" i="35"/>
  <c r="AB30" i="35"/>
  <c r="S27" i="35"/>
  <c r="S28" i="35"/>
  <c r="AB9" i="37"/>
  <c r="W12" i="37"/>
  <c r="AA9" i="37"/>
  <c r="S17" i="37"/>
  <c r="AA31" i="37"/>
  <c r="U32" i="37"/>
  <c r="AA32" i="37"/>
  <c r="J33" i="37"/>
  <c r="W33" i="37"/>
  <c r="I99" i="37"/>
  <c r="J99" i="37" s="1"/>
  <c r="K99" i="37" s="1"/>
  <c r="L99" i="37" s="1"/>
  <c r="M99" i="37"/>
  <c r="S29" i="37"/>
  <c r="J19" i="37"/>
  <c r="G75" i="37"/>
  <c r="F19" i="37"/>
  <c r="AA19" i="37" s="1"/>
  <c r="H19" i="37"/>
  <c r="J17" i="37"/>
  <c r="S15" i="37"/>
  <c r="AC10" i="37"/>
  <c r="AC21" i="37"/>
  <c r="W21" i="37"/>
  <c r="AC9" i="37"/>
  <c r="U35" i="37"/>
  <c r="U8" i="37"/>
  <c r="AB21" i="37"/>
  <c r="U21" i="37"/>
  <c r="AA11" i="37"/>
  <c r="S10" i="37"/>
  <c r="W46" i="34"/>
  <c r="W33" i="34"/>
  <c r="U30" i="34"/>
  <c r="S32" i="34"/>
  <c r="AB33" i="34"/>
  <c r="AA12" i="34"/>
  <c r="AC35" i="34"/>
  <c r="AA30" i="34"/>
  <c r="AC32" i="34"/>
  <c r="AA33" i="34"/>
  <c r="U34" i="34"/>
  <c r="AA27" i="34"/>
  <c r="J25" i="34"/>
  <c r="H25" i="34"/>
  <c r="F25" i="34"/>
  <c r="J23" i="34"/>
  <c r="G86" i="34"/>
  <c r="F23" i="34"/>
  <c r="H23" i="34"/>
  <c r="AB23" i="34" s="1"/>
  <c r="W17" i="34"/>
  <c r="U11" i="34"/>
  <c r="W10" i="34"/>
  <c r="U10" i="34"/>
  <c r="W37" i="34"/>
  <c r="AC40" i="34"/>
  <c r="W44" i="34"/>
  <c r="AC21" i="34"/>
  <c r="W21" i="34"/>
  <c r="U15" i="34"/>
  <c r="AB21" i="34"/>
  <c r="U21" i="34"/>
  <c r="U27" i="34"/>
  <c r="U19" i="34"/>
  <c r="AA41" i="34"/>
  <c r="S9" i="34"/>
  <c r="S10" i="34"/>
  <c r="U37" i="33"/>
  <c r="S35" i="33"/>
  <c r="W34" i="33"/>
  <c r="AB11" i="33"/>
  <c r="U36" i="33"/>
  <c r="AC35" i="33"/>
  <c r="S29" i="33"/>
  <c r="W43" i="33"/>
  <c r="W39" i="33"/>
  <c r="U35" i="33"/>
  <c r="AB34" i="33"/>
  <c r="H25" i="33"/>
  <c r="AB25" i="33" s="1"/>
  <c r="J25" i="33"/>
  <c r="W25" i="33" s="1"/>
  <c r="F87" i="33"/>
  <c r="G87" i="33" s="1"/>
  <c r="H87" i="33" s="1"/>
  <c r="I87" i="33" s="1"/>
  <c r="J87" i="33" s="1"/>
  <c r="K87" i="33" s="1"/>
  <c r="L87" i="33" s="1"/>
  <c r="M87" i="33" s="1"/>
  <c r="F25" i="33"/>
  <c r="F85" i="33"/>
  <c r="G85" i="33" s="1"/>
  <c r="J23" i="33"/>
  <c r="AC23" i="33" s="1"/>
  <c r="F23" i="33"/>
  <c r="H23" i="33"/>
  <c r="AB23" i="33" s="1"/>
  <c r="U19" i="33"/>
  <c r="F17" i="33"/>
  <c r="H17" i="33"/>
  <c r="J17" i="33"/>
  <c r="W17" i="33" s="1"/>
  <c r="S10" i="33"/>
  <c r="AC21" i="33"/>
  <c r="W21" i="33"/>
  <c r="AB10" i="33"/>
  <c r="U25" i="33"/>
  <c r="AB21" i="33"/>
  <c r="U21" i="33"/>
  <c r="AA21" i="33"/>
  <c r="S21" i="33"/>
  <c r="AA36" i="33"/>
  <c r="U35" i="21"/>
  <c r="W43" i="21"/>
  <c r="AC26" i="21"/>
  <c r="J23" i="21"/>
  <c r="F23" i="21"/>
  <c r="AA23" i="21" s="1"/>
  <c r="H23" i="21"/>
  <c r="AB23" i="21" s="1"/>
  <c r="F15" i="21"/>
  <c r="S15" i="21" s="1"/>
  <c r="J15" i="21"/>
  <c r="AC15" i="21" s="1"/>
  <c r="H15" i="21"/>
  <c r="AB15" i="21" s="1"/>
  <c r="W13" i="21"/>
  <c r="AC21" i="21"/>
  <c r="W21" i="21"/>
  <c r="AC38" i="21"/>
  <c r="AB21" i="21"/>
  <c r="U21" i="21"/>
  <c r="U33" i="40"/>
  <c r="U15" i="40"/>
  <c r="S14" i="40"/>
  <c r="S15" i="40"/>
  <c r="AB13" i="40"/>
  <c r="S16" i="40"/>
  <c r="W11" i="40"/>
  <c r="AA21" i="40"/>
  <c r="U21" i="40"/>
  <c r="W25" i="40"/>
  <c r="U25" i="40"/>
  <c r="U35" i="40"/>
  <c r="F37" i="40"/>
  <c r="AA37" i="40" s="1"/>
  <c r="J37" i="40"/>
  <c r="AC37" i="40" s="1"/>
  <c r="H37" i="40"/>
  <c r="AB37" i="40" s="1"/>
  <c r="F39" i="40"/>
  <c r="S38" i="40"/>
  <c r="H39" i="40"/>
  <c r="J39" i="40"/>
  <c r="AC39" i="40" s="1"/>
  <c r="W38" i="40"/>
  <c r="F29" i="40"/>
  <c r="AA29" i="40" s="1"/>
  <c r="H29" i="40"/>
  <c r="J29" i="40"/>
  <c r="AC29" i="40" s="1"/>
  <c r="F98" i="40"/>
  <c r="G98" i="40"/>
  <c r="H98" i="40" s="1"/>
  <c r="I98" i="40" s="1"/>
  <c r="J98" i="40" s="1"/>
  <c r="K98" i="40" s="1"/>
  <c r="L98" i="40" s="1"/>
  <c r="M98" i="40" s="1"/>
  <c r="F88" i="40"/>
  <c r="G88" i="40" s="1"/>
  <c r="F19" i="40"/>
  <c r="AA19" i="40" s="1"/>
  <c r="H19" i="40"/>
  <c r="AB19" i="40" s="1"/>
  <c r="J19" i="40"/>
  <c r="W19" i="40" s="1"/>
  <c r="W17" i="40"/>
  <c r="AC17" i="40"/>
  <c r="F17" i="40"/>
  <c r="AA17" i="40" s="1"/>
  <c r="H17" i="40"/>
  <c r="AB17" i="40" s="1"/>
  <c r="W21" i="40"/>
  <c r="U10" i="40"/>
  <c r="U27" i="40"/>
  <c r="AB27" i="40"/>
  <c r="S11" i="39"/>
  <c r="AB45" i="39"/>
  <c r="S14" i="39"/>
  <c r="U11" i="39"/>
  <c r="U41" i="39"/>
  <c r="AB38" i="39"/>
  <c r="U31" i="39"/>
  <c r="AB31" i="39"/>
  <c r="S38" i="39"/>
  <c r="B22" i="63"/>
  <c r="M20" i="15"/>
  <c r="D96" i="9"/>
  <c r="F28" i="15"/>
  <c r="C28" i="15"/>
  <c r="M18" i="15"/>
  <c r="A18" i="64"/>
  <c r="B74" i="63" s="1"/>
  <c r="C53" i="10"/>
  <c r="A18" i="51"/>
  <c r="B14" i="63" s="1"/>
  <c r="F3" i="35"/>
  <c r="K1" i="43"/>
  <c r="K1" i="12"/>
  <c r="G1" i="44"/>
  <c r="BK5" i="3"/>
  <c r="BO5" i="3"/>
  <c r="BP5" i="3"/>
  <c r="BN5" i="3"/>
  <c r="BS5" i="3"/>
  <c r="F28" i="6" s="1"/>
  <c r="BM5" i="3"/>
  <c r="F29" i="6" s="1"/>
  <c r="H52"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E58" i="46"/>
  <c r="B56" i="46" s="1"/>
  <c r="A4" i="64"/>
  <c r="A4" i="51"/>
  <c r="B6" i="63" s="1"/>
  <c r="C51" i="10"/>
  <c r="A9" i="51" s="1"/>
  <c r="B9" i="63" s="1"/>
  <c r="H58" i="46"/>
  <c r="H61" i="46"/>
  <c r="H62" i="46"/>
  <c r="I100" i="46"/>
  <c r="C24" i="46"/>
  <c r="N100" i="46"/>
  <c r="H100" i="46"/>
  <c r="F108" i="46"/>
  <c r="H80" i="46"/>
  <c r="B45" i="46"/>
  <c r="E100" i="46"/>
  <c r="G100" i="46"/>
  <c r="H84" i="46"/>
  <c r="H65" i="46"/>
  <c r="H66" i="46"/>
  <c r="C100" i="46"/>
  <c r="J100" i="46"/>
  <c r="M100" i="46"/>
  <c r="AA12" i="36"/>
  <c r="U12" i="35"/>
  <c r="AB12" i="35"/>
  <c r="AA11" i="35"/>
  <c r="U13" i="37"/>
  <c r="S13" i="21"/>
  <c r="C24" i="9"/>
  <c r="C25" i="9"/>
  <c r="AP8" i="1"/>
  <c r="G8" i="1"/>
  <c r="I20" i="46"/>
  <c r="C20" i="46" s="1"/>
  <c r="L5" i="54"/>
  <c r="B39" i="63" s="1"/>
  <c r="K5" i="54"/>
  <c r="B38" i="63" s="1"/>
  <c r="T41" i="4"/>
  <c r="A17" i="64" s="1"/>
  <c r="B46" i="50"/>
  <c r="B4" i="63" s="1"/>
  <c r="C46" i="36"/>
  <c r="D46" i="36" s="1"/>
  <c r="E46" i="36" s="1"/>
  <c r="F46" i="36" s="1"/>
  <c r="G46" i="36" s="1"/>
  <c r="C59" i="34"/>
  <c r="D59" i="34" s="1"/>
  <c r="C48" i="35"/>
  <c r="C52" i="37"/>
  <c r="C67" i="40"/>
  <c r="D65" i="40"/>
  <c r="P24" i="46"/>
  <c r="B68" i="40" s="1"/>
  <c r="P25" i="46"/>
  <c r="P23" i="46"/>
  <c r="P21" i="46"/>
  <c r="P22" i="46"/>
  <c r="O19" i="46"/>
  <c r="H77" i="46"/>
  <c r="H69" i="46"/>
  <c r="H86" i="46"/>
  <c r="H82" i="46"/>
  <c r="H63" i="46"/>
  <c r="H59" i="46"/>
  <c r="H64" i="46"/>
  <c r="H60" i="46"/>
  <c r="H10" i="48"/>
  <c r="H87" i="46"/>
  <c r="H85" i="46"/>
  <c r="H83" i="46"/>
  <c r="O13" i="1"/>
  <c r="P13" i="1" s="1"/>
  <c r="K10" i="1"/>
  <c r="M10" i="1" s="1"/>
  <c r="O10" i="1" s="1"/>
  <c r="S11" i="1"/>
  <c r="R11" i="1"/>
  <c r="S13" i="1"/>
  <c r="R13" i="1"/>
  <c r="B6" i="1"/>
  <c r="E6" i="1" s="1"/>
  <c r="B10" i="1"/>
  <c r="E10" i="1" s="1"/>
  <c r="B8" i="1"/>
  <c r="E8" i="1" s="1"/>
  <c r="B12" i="1"/>
  <c r="E12" i="1" s="1"/>
  <c r="S12" i="1"/>
  <c r="G1" i="15"/>
  <c r="F66" i="36"/>
  <c r="G66" i="36" s="1"/>
  <c r="H18" i="36"/>
  <c r="U16" i="36"/>
  <c r="S25" i="36"/>
  <c r="U23" i="36"/>
  <c r="AC27" i="36"/>
  <c r="W28" i="36"/>
  <c r="U13" i="36"/>
  <c r="AA22" i="36"/>
  <c r="U10" i="36"/>
  <c r="AA13" i="36"/>
  <c r="W29" i="36"/>
  <c r="W9" i="36"/>
  <c r="S9" i="36"/>
  <c r="W8" i="36"/>
  <c r="AC30" i="35"/>
  <c r="U24" i="35"/>
  <c r="W32" i="35"/>
  <c r="AA33" i="35"/>
  <c r="U32" i="35"/>
  <c r="W22" i="35"/>
  <c r="S32" i="35"/>
  <c r="W35" i="37"/>
  <c r="AC33" i="37"/>
  <c r="U33" i="37"/>
  <c r="AC15" i="37"/>
  <c r="S12" i="37"/>
  <c r="W38" i="37"/>
  <c r="W36" i="37"/>
  <c r="U26" i="37"/>
  <c r="W13" i="37"/>
  <c r="U38" i="37"/>
  <c r="S26" i="37"/>
  <c r="AB35" i="34"/>
  <c r="AB29" i="34"/>
  <c r="AC13" i="34"/>
  <c r="S47" i="34"/>
  <c r="S19" i="34"/>
  <c r="S8" i="34"/>
  <c r="AA19" i="33"/>
  <c r="AC25" i="33"/>
  <c r="S43" i="33"/>
  <c r="AB42" i="33"/>
  <c r="S15" i="33"/>
  <c r="S39" i="21"/>
  <c r="AB45" i="21"/>
  <c r="U27" i="21"/>
  <c r="G96" i="40"/>
  <c r="J27" i="40"/>
  <c r="AC27" i="40" s="1"/>
  <c r="S17" i="40"/>
  <c r="W30" i="40"/>
  <c r="U38" i="40"/>
  <c r="S42" i="40"/>
  <c r="J31" i="39"/>
  <c r="W31" i="39" s="1"/>
  <c r="S45" i="39"/>
  <c r="AB33" i="39"/>
  <c r="W42" i="39"/>
  <c r="W36" i="39"/>
  <c r="U14" i="39"/>
  <c r="W16" i="39"/>
  <c r="S41" i="39"/>
  <c r="AA46"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S19" i="37"/>
  <c r="AB19" i="37"/>
  <c r="U19" i="37"/>
  <c r="AC17" i="37"/>
  <c r="W17" i="37"/>
  <c r="U25" i="34"/>
  <c r="AB25" i="34"/>
  <c r="AA25" i="34"/>
  <c r="S25" i="34"/>
  <c r="W25" i="34"/>
  <c r="AC25" i="34"/>
  <c r="U23" i="34"/>
  <c r="AA23" i="34"/>
  <c r="S23" i="34"/>
  <c r="AC23" i="34"/>
  <c r="W23" i="34"/>
  <c r="AA25" i="33"/>
  <c r="S25" i="33"/>
  <c r="U23" i="33"/>
  <c r="W23" i="33"/>
  <c r="S23" i="33"/>
  <c r="AA23" i="33"/>
  <c r="AC17" i="33"/>
  <c r="AA17" i="33"/>
  <c r="S17" i="33"/>
  <c r="U17" i="33"/>
  <c r="AB17" i="33"/>
  <c r="AB39" i="40"/>
  <c r="U39" i="40"/>
  <c r="AA39" i="40"/>
  <c r="S39" i="40"/>
  <c r="U37" i="40"/>
  <c r="S37" i="40"/>
  <c r="U29" i="40"/>
  <c r="AB29" i="40"/>
  <c r="S29" i="40"/>
  <c r="AC19" i="40"/>
  <c r="S19" i="40"/>
  <c r="U19" i="40"/>
  <c r="G29" i="6"/>
  <c r="H70" i="46"/>
  <c r="A9" i="64"/>
  <c r="D67" i="40"/>
  <c r="E65" i="40"/>
  <c r="F65" i="40" s="1"/>
  <c r="E4" i="4"/>
  <c r="B21" i="55" s="1"/>
  <c r="B72" i="63" s="1"/>
  <c r="J18" i="36"/>
  <c r="W18" i="36" s="1"/>
  <c r="AE8" i="1"/>
  <c r="AE7" i="1"/>
  <c r="AE6" i="1"/>
  <c r="L20" i="6"/>
  <c r="L19" i="6"/>
  <c r="E67" i="40"/>
  <c r="C45" i="9"/>
  <c r="H14" i="66" s="1"/>
  <c r="B7" i="66" s="1"/>
  <c r="O40" i="9"/>
  <c r="K31" i="9"/>
  <c r="K32" i="9" s="1"/>
  <c r="R7" i="54"/>
  <c r="B52" i="63" s="1"/>
  <c r="N76" i="9"/>
  <c r="F33" i="44"/>
  <c r="F31" i="15"/>
  <c r="F37" i="15"/>
  <c r="M29" i="44"/>
  <c r="N5" i="65"/>
  <c r="L47" i="15"/>
  <c r="N3" i="65"/>
  <c r="I3" i="65"/>
  <c r="F6" i="15"/>
  <c r="E14" i="67"/>
  <c r="F45" i="44"/>
  <c r="M24" i="44"/>
  <c r="F40" i="15"/>
  <c r="M10" i="44"/>
  <c r="J6" i="65"/>
  <c r="M8" i="44"/>
  <c r="F38" i="15"/>
  <c r="M8" i="15"/>
  <c r="J15" i="15"/>
  <c r="E13" i="67"/>
  <c r="F26" i="15"/>
  <c r="F14" i="67"/>
  <c r="F12" i="67"/>
  <c r="N7" i="65"/>
  <c r="J3" i="65"/>
  <c r="M26" i="15"/>
  <c r="F9" i="15"/>
  <c r="B10" i="67"/>
  <c r="N6" i="65"/>
  <c r="E11" i="67"/>
  <c r="I5" i="65"/>
  <c r="F13" i="67"/>
  <c r="M23" i="15"/>
  <c r="I4" i="65"/>
  <c r="F16" i="15"/>
  <c r="B12" i="67"/>
  <c r="M6" i="15"/>
  <c r="F10" i="67"/>
  <c r="B14" i="67"/>
  <c r="M30" i="44"/>
  <c r="B11" i="67"/>
  <c r="M22" i="15"/>
  <c r="E12" i="67"/>
  <c r="E8" i="67"/>
  <c r="B8" i="67"/>
  <c r="F8" i="44"/>
  <c r="F15" i="44"/>
  <c r="M26" i="44"/>
  <c r="M27" i="15"/>
  <c r="F18" i="44"/>
  <c r="J4" i="65"/>
  <c r="M28" i="15"/>
  <c r="L48" i="15"/>
  <c r="F13" i="15"/>
  <c r="B13" i="67"/>
  <c r="F36" i="15"/>
  <c r="I7" i="65"/>
  <c r="F11" i="67"/>
  <c r="J5" i="65"/>
  <c r="N4" i="65"/>
  <c r="E10" i="67"/>
  <c r="J7" i="65"/>
  <c r="F9" i="67"/>
  <c r="M24" i="15"/>
  <c r="J36" i="15"/>
  <c r="F42" i="15"/>
  <c r="I6" i="65"/>
  <c r="B9" i="67"/>
  <c r="F8" i="67"/>
  <c r="F8" i="15"/>
  <c r="E9" i="67"/>
  <c r="M9" i="15"/>
  <c r="F11" i="44"/>
  <c r="S12" i="21" l="1"/>
  <c r="AA12" i="21"/>
  <c r="AA14" i="21"/>
  <c r="S14" i="21"/>
  <c r="S30" i="21"/>
  <c r="AA30" i="21"/>
  <c r="AC44" i="21"/>
  <c r="W44" i="21"/>
  <c r="AC9" i="33"/>
  <c r="W9" i="33"/>
  <c r="S28" i="34"/>
  <c r="AA28" i="34"/>
  <c r="AA31" i="33"/>
  <c r="S31" i="33"/>
  <c r="AA46" i="33"/>
  <c r="S46" i="33"/>
  <c r="U13" i="34"/>
  <c r="AB13" i="34"/>
  <c r="S29" i="34"/>
  <c r="AA29" i="34"/>
  <c r="W45" i="34"/>
  <c r="AC45" i="34"/>
  <c r="U47" i="34"/>
  <c r="AB47" i="34"/>
  <c r="AC23" i="35"/>
  <c r="W23" i="35"/>
  <c r="U34" i="36"/>
  <c r="AB34" i="36"/>
  <c r="W33" i="36"/>
  <c r="AC33" i="36"/>
  <c r="S13" i="37"/>
  <c r="AA13" i="37"/>
  <c r="AC45" i="39"/>
  <c r="W45" i="39"/>
  <c r="AB47" i="39"/>
  <c r="U47" i="39"/>
  <c r="AA40" i="40"/>
  <c r="S40" i="40"/>
  <c r="D18" i="9"/>
  <c r="M44" i="9" s="1"/>
  <c r="M43" i="9"/>
  <c r="S22" i="31"/>
  <c r="F67" i="40"/>
  <c r="G65" i="40"/>
  <c r="U12" i="33"/>
  <c r="AB12" i="33"/>
  <c r="U36" i="35"/>
  <c r="AB36" i="35"/>
  <c r="W11" i="36"/>
  <c r="AC11" i="36"/>
  <c r="W13" i="36"/>
  <c r="AC13" i="36"/>
  <c r="AA28" i="37"/>
  <c r="S28" i="37"/>
  <c r="W15" i="40"/>
  <c r="AC15" i="40"/>
  <c r="AA34" i="40"/>
  <c r="S34" i="40"/>
  <c r="F26" i="35"/>
  <c r="J26" i="35"/>
  <c r="H26" i="35"/>
  <c r="S37" i="39"/>
  <c r="AA37" i="39"/>
  <c r="E29" i="6"/>
  <c r="K15" i="1" s="1"/>
  <c r="AC18" i="36"/>
  <c r="W27" i="40"/>
  <c r="W29" i="40"/>
  <c r="W39" i="40"/>
  <c r="U17" i="40"/>
  <c r="W37" i="40"/>
  <c r="B73" i="39"/>
  <c r="S25" i="40"/>
  <c r="W42" i="40"/>
  <c r="AC11" i="33"/>
  <c r="AC11" i="34"/>
  <c r="U22" i="35"/>
  <c r="AC36" i="33"/>
  <c r="W39" i="39"/>
  <c r="S41" i="40"/>
  <c r="AC16" i="40"/>
  <c r="AA11" i="36"/>
  <c r="AB21" i="39"/>
  <c r="AB38" i="34"/>
  <c r="W14" i="39"/>
  <c r="S47" i="39"/>
  <c r="H16" i="40"/>
  <c r="J40" i="40"/>
  <c r="H34" i="40"/>
  <c r="H40" i="40"/>
  <c r="F25" i="39"/>
  <c r="AA25" i="39" s="1"/>
  <c r="H25" i="39"/>
  <c r="U25" i="39" s="1"/>
  <c r="J27" i="39"/>
  <c r="AC27" i="39" s="1"/>
  <c r="F27" i="39"/>
  <c r="AA27" i="39" s="1"/>
  <c r="U31" i="36"/>
  <c r="F23" i="35"/>
  <c r="S39" i="34"/>
  <c r="AA36" i="34"/>
  <c r="J37" i="39"/>
  <c r="H39" i="39"/>
  <c r="H29" i="39"/>
  <c r="U29" i="39" s="1"/>
  <c r="F29" i="39"/>
  <c r="AA29" i="39" s="1"/>
  <c r="H11" i="36"/>
  <c r="AB11" i="36" s="1"/>
  <c r="U31" i="34"/>
  <c r="AC27" i="34"/>
  <c r="J17" i="21"/>
  <c r="AC17" i="21" s="1"/>
  <c r="F17" i="21"/>
  <c r="S17" i="21" s="1"/>
  <c r="AB26" i="21"/>
  <c r="AB36" i="34"/>
  <c r="U28" i="33"/>
  <c r="W44" i="33"/>
  <c r="AB17" i="37"/>
  <c r="U31" i="37"/>
  <c r="AA23" i="37"/>
  <c r="AA13" i="33"/>
  <c r="H28" i="34"/>
  <c r="AC28" i="34"/>
  <c r="AB44" i="21"/>
  <c r="AB27" i="33"/>
  <c r="AB30" i="21"/>
  <c r="S46" i="21"/>
  <c r="AB13" i="35"/>
  <c r="J14" i="37"/>
  <c r="F14" i="37"/>
  <c r="H28" i="37"/>
  <c r="H25" i="36"/>
  <c r="H25" i="35"/>
  <c r="J47" i="34"/>
  <c r="F31" i="34"/>
  <c r="F13" i="34"/>
  <c r="F40" i="37"/>
  <c r="H31" i="33"/>
  <c r="U31" i="33" s="1"/>
  <c r="F27" i="33"/>
  <c r="H26" i="33"/>
  <c r="F44" i="21"/>
  <c r="J28" i="21"/>
  <c r="U34" i="37"/>
  <c r="AB8" i="36"/>
  <c r="F34" i="36"/>
  <c r="AC24" i="36"/>
  <c r="J34" i="36"/>
  <c r="AB27" i="35"/>
  <c r="U38" i="33"/>
  <c r="S40" i="33"/>
  <c r="F26" i="33"/>
  <c r="W31" i="35"/>
  <c r="AC27" i="35"/>
  <c r="U26" i="36"/>
  <c r="AA41" i="21"/>
  <c r="H12" i="21"/>
  <c r="J19" i="21"/>
  <c r="W19" i="21" s="1"/>
  <c r="F19" i="21"/>
  <c r="H43" i="21"/>
  <c r="AB43" i="21" s="1"/>
  <c r="F43" i="21"/>
  <c r="G7" i="21"/>
  <c r="I7" i="21"/>
  <c r="F9" i="33"/>
  <c r="J36" i="35"/>
  <c r="R12" i="1"/>
  <c r="K12" i="1"/>
  <c r="M12" i="1" s="1"/>
  <c r="O12" i="1" s="1"/>
  <c r="P12" i="1" s="1"/>
  <c r="D28" i="59"/>
  <c r="C29" i="59"/>
  <c r="D29" i="59" s="1"/>
  <c r="C41" i="59"/>
  <c r="D40" i="59"/>
  <c r="S10" i="59"/>
  <c r="B9" i="59"/>
  <c r="B8" i="59" s="1"/>
  <c r="F9" i="59"/>
  <c r="F8" i="59" s="1"/>
  <c r="V10" i="59"/>
  <c r="V6" i="59"/>
  <c r="F5" i="59"/>
  <c r="D1" i="57"/>
  <c r="E10" i="57" s="1"/>
  <c r="I20" i="57"/>
  <c r="S18" i="36"/>
  <c r="C65" i="59"/>
  <c r="D58" i="59"/>
  <c r="E57" i="59"/>
  <c r="E56" i="59" s="1"/>
  <c r="U50" i="59"/>
  <c r="C49" i="59"/>
  <c r="F49" i="59"/>
  <c r="AD12" i="46"/>
  <c r="AH12" i="46"/>
  <c r="C21" i="59"/>
  <c r="D21" i="59" s="1"/>
  <c r="C17" i="59"/>
  <c r="D17" i="59" s="1"/>
  <c r="C13" i="59"/>
  <c r="D13" i="59" s="1"/>
  <c r="C7" i="77"/>
  <c r="X20" i="59"/>
  <c r="E9" i="59"/>
  <c r="E8" i="59" s="1"/>
  <c r="BA519" i="3"/>
  <c r="BL517" i="3"/>
  <c r="AZ517" i="3" s="1"/>
  <c r="BA516" i="3"/>
  <c r="AZ516" i="3" s="1"/>
  <c r="BL514" i="3"/>
  <c r="AZ514" i="3" s="1"/>
  <c r="BA511" i="3"/>
  <c r="BL509" i="3"/>
  <c r="AZ509" i="3" s="1"/>
  <c r="BA508" i="3"/>
  <c r="AZ508" i="3" s="1"/>
  <c r="AZ507" i="3"/>
  <c r="BL506" i="3"/>
  <c r="AZ506" i="3" s="1"/>
  <c r="BA503" i="3"/>
  <c r="BL501" i="3"/>
  <c r="AZ501" i="3" s="1"/>
  <c r="BA500" i="3"/>
  <c r="AZ500" i="3" s="1"/>
  <c r="BL498" i="3"/>
  <c r="AZ498" i="3" s="1"/>
  <c r="AZ421" i="3"/>
  <c r="AZ569" i="3"/>
  <c r="AZ565" i="3"/>
  <c r="AZ561" i="3"/>
  <c r="AZ557" i="3"/>
  <c r="AZ553" i="3"/>
  <c r="AZ549" i="3"/>
  <c r="AZ545" i="3"/>
  <c r="AZ541" i="3"/>
  <c r="AZ537" i="3"/>
  <c r="AZ533" i="3"/>
  <c r="AZ529" i="3"/>
  <c r="AZ525" i="3"/>
  <c r="AZ521" i="3"/>
  <c r="BA520" i="3"/>
  <c r="AZ520" i="3" s="1"/>
  <c r="AZ519" i="3"/>
  <c r="BL518" i="3"/>
  <c r="AZ518" i="3" s="1"/>
  <c r="BA515" i="3"/>
  <c r="AZ515" i="3" s="1"/>
  <c r="BL513" i="3"/>
  <c r="AZ513" i="3" s="1"/>
  <c r="BA512" i="3"/>
  <c r="AZ512" i="3" s="1"/>
  <c r="AZ511" i="3"/>
  <c r="BL510" i="3"/>
  <c r="AZ510" i="3" s="1"/>
  <c r="BA507" i="3"/>
  <c r="BL505" i="3"/>
  <c r="AZ505" i="3" s="1"/>
  <c r="BA504" i="3"/>
  <c r="AZ504" i="3" s="1"/>
  <c r="AZ503" i="3"/>
  <c r="BL502" i="3"/>
  <c r="AZ502" i="3" s="1"/>
  <c r="BA499" i="3"/>
  <c r="AZ499" i="3" s="1"/>
  <c r="AZ427" i="3"/>
  <c r="AZ415" i="3"/>
  <c r="AZ403" i="3"/>
  <c r="BL449" i="3"/>
  <c r="AZ449" i="3" s="1"/>
  <c r="BA448" i="3"/>
  <c r="AZ448" i="3" s="1"/>
  <c r="BL447" i="3"/>
  <c r="AZ447" i="3" s="1"/>
  <c r="BA446" i="3"/>
  <c r="AZ446" i="3" s="1"/>
  <c r="BL439" i="3"/>
  <c r="AZ439" i="3" s="1"/>
  <c r="BA438" i="3"/>
  <c r="AZ438" i="3" s="1"/>
  <c r="BL437" i="3"/>
  <c r="AZ437" i="3" s="1"/>
  <c r="BA436" i="3"/>
  <c r="AZ436" i="3" s="1"/>
  <c r="BL435" i="3"/>
  <c r="AZ435" i="3" s="1"/>
  <c r="BA434" i="3"/>
  <c r="AZ434" i="3" s="1"/>
  <c r="BL427" i="3"/>
  <c r="BA426" i="3"/>
  <c r="AZ426" i="3" s="1"/>
  <c r="BL425" i="3"/>
  <c r="AZ425" i="3" s="1"/>
  <c r="BA424" i="3"/>
  <c r="AZ424" i="3" s="1"/>
  <c r="BL421" i="3"/>
  <c r="BA420" i="3"/>
  <c r="AZ420" i="3" s="1"/>
  <c r="BL419" i="3"/>
  <c r="AZ419" i="3" s="1"/>
  <c r="BA418" i="3"/>
  <c r="AZ418" i="3" s="1"/>
  <c r="BL415" i="3"/>
  <c r="BA414" i="3"/>
  <c r="AZ414" i="3" s="1"/>
  <c r="BL413" i="3"/>
  <c r="AZ413" i="3" s="1"/>
  <c r="BA412" i="3"/>
  <c r="AZ412" i="3" s="1"/>
  <c r="BL403" i="3"/>
  <c r="BA402" i="3"/>
  <c r="AZ402" i="3" s="1"/>
  <c r="BL397" i="3"/>
  <c r="AZ397" i="3" s="1"/>
  <c r="BA396" i="3"/>
  <c r="AZ396" i="3" s="1"/>
  <c r="BL395" i="3"/>
  <c r="AZ395" i="3" s="1"/>
  <c r="BA394" i="3"/>
  <c r="AZ394" i="3" s="1"/>
  <c r="BL389" i="3"/>
  <c r="AZ389" i="3" s="1"/>
  <c r="BA388" i="3"/>
  <c r="AZ388" i="3" s="1"/>
  <c r="BL387" i="3"/>
  <c r="AZ387" i="3" s="1"/>
  <c r="BA386" i="3"/>
  <c r="AZ386" i="3" s="1"/>
  <c r="BL381" i="3"/>
  <c r="AZ381" i="3" s="1"/>
  <c r="BA380" i="3"/>
  <c r="AZ380" i="3" s="1"/>
  <c r="BL379" i="3"/>
  <c r="AZ379" i="3" s="1"/>
  <c r="BA378" i="3"/>
  <c r="AZ378" i="3" s="1"/>
  <c r="BL373" i="3"/>
  <c r="AZ373" i="3" s="1"/>
  <c r="BL370" i="3"/>
  <c r="BA370" i="3"/>
  <c r="BA367" i="3"/>
  <c r="BL364" i="3"/>
  <c r="BA364" i="3"/>
  <c r="AZ364" i="3" s="1"/>
  <c r="AZ495" i="3"/>
  <c r="AZ491" i="3"/>
  <c r="AZ487" i="3"/>
  <c r="AZ483" i="3"/>
  <c r="AZ479" i="3"/>
  <c r="AZ475" i="3"/>
  <c r="AZ471" i="3"/>
  <c r="AZ467" i="3"/>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5" i="3"/>
  <c r="AZ445" i="3" s="1"/>
  <c r="BA444" i="3"/>
  <c r="AZ444" i="3" s="1"/>
  <c r="BL443" i="3"/>
  <c r="AZ443" i="3" s="1"/>
  <c r="BA442" i="3"/>
  <c r="AZ442" i="3" s="1"/>
  <c r="BL441" i="3"/>
  <c r="AZ441" i="3" s="1"/>
  <c r="BA440" i="3"/>
  <c r="AZ440" i="3" s="1"/>
  <c r="BL433" i="3"/>
  <c r="AZ433" i="3" s="1"/>
  <c r="BA432" i="3"/>
  <c r="AZ432" i="3" s="1"/>
  <c r="BL431" i="3"/>
  <c r="AZ431" i="3" s="1"/>
  <c r="BA430" i="3"/>
  <c r="AZ430" i="3" s="1"/>
  <c r="BL429" i="3"/>
  <c r="AZ429" i="3" s="1"/>
  <c r="BA428" i="3"/>
  <c r="AZ428" i="3" s="1"/>
  <c r="BL423" i="3"/>
  <c r="AZ423" i="3" s="1"/>
  <c r="BA422" i="3"/>
  <c r="AZ422" i="3" s="1"/>
  <c r="BL417" i="3"/>
  <c r="AZ417" i="3" s="1"/>
  <c r="BA416" i="3"/>
  <c r="AZ416" i="3" s="1"/>
  <c r="BL411" i="3"/>
  <c r="AZ411" i="3" s="1"/>
  <c r="BA410" i="3"/>
  <c r="AZ410" i="3" s="1"/>
  <c r="BL409" i="3"/>
  <c r="AZ409" i="3" s="1"/>
  <c r="BA408" i="3"/>
  <c r="AZ408" i="3" s="1"/>
  <c r="BL407" i="3"/>
  <c r="AZ407" i="3" s="1"/>
  <c r="BA406" i="3"/>
  <c r="AZ406" i="3" s="1"/>
  <c r="BL405" i="3"/>
  <c r="AZ405" i="3" s="1"/>
  <c r="BA404" i="3"/>
  <c r="AZ404" i="3" s="1"/>
  <c r="BL401" i="3"/>
  <c r="AZ401" i="3" s="1"/>
  <c r="BA400" i="3"/>
  <c r="AZ400" i="3" s="1"/>
  <c r="BL399" i="3"/>
  <c r="AZ399" i="3" s="1"/>
  <c r="BA398" i="3"/>
  <c r="AZ398" i="3" s="1"/>
  <c r="BL393" i="3"/>
  <c r="AZ393" i="3" s="1"/>
  <c r="BA392" i="3"/>
  <c r="AZ392" i="3" s="1"/>
  <c r="BL391" i="3"/>
  <c r="AZ391" i="3" s="1"/>
  <c r="BA390" i="3"/>
  <c r="AZ390" i="3" s="1"/>
  <c r="BL385" i="3"/>
  <c r="AZ385" i="3" s="1"/>
  <c r="BA384" i="3"/>
  <c r="AZ384" i="3" s="1"/>
  <c r="BL383" i="3"/>
  <c r="AZ383" i="3" s="1"/>
  <c r="BA382" i="3"/>
  <c r="AZ382" i="3" s="1"/>
  <c r="BL377" i="3"/>
  <c r="AZ377" i="3" s="1"/>
  <c r="BA376" i="3"/>
  <c r="AZ376" i="3" s="1"/>
  <c r="BL375" i="3"/>
  <c r="AZ375" i="3" s="1"/>
  <c r="BA374" i="3"/>
  <c r="AZ374" i="3" s="1"/>
  <c r="BL372" i="3"/>
  <c r="BA372" i="3"/>
  <c r="BL371" i="3"/>
  <c r="AZ371" i="3" s="1"/>
  <c r="BA369" i="3"/>
  <c r="BL365" i="3"/>
  <c r="AZ365" i="3" s="1"/>
  <c r="BL369" i="3"/>
  <c r="BA368" i="3"/>
  <c r="AZ368" i="3" s="1"/>
  <c r="BL367" i="3"/>
  <c r="AZ367" i="3" s="1"/>
  <c r="BA366" i="3"/>
  <c r="AZ366" i="3" s="1"/>
  <c r="BL361" i="3"/>
  <c r="AZ361" i="3" s="1"/>
  <c r="BA360" i="3"/>
  <c r="AZ360" i="3" s="1"/>
  <c r="BL359" i="3"/>
  <c r="AZ359" i="3" s="1"/>
  <c r="BA358" i="3"/>
  <c r="AZ358" i="3" s="1"/>
  <c r="BL353" i="3"/>
  <c r="AZ353" i="3" s="1"/>
  <c r="BA352" i="3"/>
  <c r="AZ352" i="3" s="1"/>
  <c r="BL351" i="3"/>
  <c r="AZ351" i="3" s="1"/>
  <c r="BA350" i="3"/>
  <c r="AZ350" i="3" s="1"/>
  <c r="BL345" i="3"/>
  <c r="AZ345" i="3" s="1"/>
  <c r="BA344" i="3"/>
  <c r="AZ344" i="3" s="1"/>
  <c r="BL343" i="3"/>
  <c r="AZ343" i="3" s="1"/>
  <c r="BA342" i="3"/>
  <c r="AZ342" i="3" s="1"/>
  <c r="BL337" i="3"/>
  <c r="AZ337" i="3" s="1"/>
  <c r="BA336" i="3"/>
  <c r="AZ336" i="3" s="1"/>
  <c r="BL335" i="3"/>
  <c r="AZ335" i="3" s="1"/>
  <c r="BA334" i="3"/>
  <c r="AZ334" i="3" s="1"/>
  <c r="BL363" i="3"/>
  <c r="AZ363" i="3" s="1"/>
  <c r="BA362" i="3"/>
  <c r="AZ362" i="3" s="1"/>
  <c r="BL357" i="3"/>
  <c r="AZ357" i="3" s="1"/>
  <c r="BA356" i="3"/>
  <c r="AZ356" i="3" s="1"/>
  <c r="BL355" i="3"/>
  <c r="AZ355" i="3" s="1"/>
  <c r="BA354" i="3"/>
  <c r="AZ354" i="3" s="1"/>
  <c r="BL349" i="3"/>
  <c r="AZ349" i="3" s="1"/>
  <c r="BA348" i="3"/>
  <c r="AZ348" i="3" s="1"/>
  <c r="BL347" i="3"/>
  <c r="AZ347" i="3" s="1"/>
  <c r="BA346" i="3"/>
  <c r="AZ346" i="3" s="1"/>
  <c r="BL341" i="3"/>
  <c r="AZ341" i="3" s="1"/>
  <c r="BA340" i="3"/>
  <c r="AZ340" i="3" s="1"/>
  <c r="BL339" i="3"/>
  <c r="AZ339" i="3" s="1"/>
  <c r="BA338" i="3"/>
  <c r="AZ338"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BA170" i="3"/>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L16" i="3"/>
  <c r="AZ16" i="3" s="1"/>
  <c r="BL14" i="3"/>
  <c r="AZ14" i="3" s="1"/>
  <c r="BL75" i="3"/>
  <c r="AZ75" i="3" s="1"/>
  <c r="BA74" i="3"/>
  <c r="AZ74" i="3" s="1"/>
  <c r="BL73" i="3"/>
  <c r="AZ73" i="3" s="1"/>
  <c r="BA72" i="3"/>
  <c r="AZ72" i="3" s="1"/>
  <c r="BL71" i="3"/>
  <c r="AZ71" i="3" s="1"/>
  <c r="BA70" i="3"/>
  <c r="AZ70" i="3" s="1"/>
  <c r="BL69" i="3"/>
  <c r="AZ69" i="3" s="1"/>
  <c r="BA68" i="3"/>
  <c r="AZ68" i="3" s="1"/>
  <c r="BL67" i="3"/>
  <c r="AZ67" i="3" s="1"/>
  <c r="BA66" i="3"/>
  <c r="AZ66" i="3" s="1"/>
  <c r="BL65" i="3"/>
  <c r="AZ65" i="3" s="1"/>
  <c r="BA64" i="3"/>
  <c r="AZ64" i="3" s="1"/>
  <c r="BL63" i="3"/>
  <c r="AZ63" i="3" s="1"/>
  <c r="BA62" i="3"/>
  <c r="AZ62" i="3" s="1"/>
  <c r="BL61" i="3"/>
  <c r="AZ61" i="3" s="1"/>
  <c r="BA60" i="3"/>
  <c r="AZ60" i="3" s="1"/>
  <c r="BL59" i="3"/>
  <c r="AZ59" i="3" s="1"/>
  <c r="BA58" i="3"/>
  <c r="AZ58" i="3" s="1"/>
  <c r="BL57" i="3"/>
  <c r="AZ57" i="3" s="1"/>
  <c r="BA56" i="3"/>
  <c r="AZ56" i="3" s="1"/>
  <c r="BL55" i="3"/>
  <c r="AZ55" i="3" s="1"/>
  <c r="BA54" i="3"/>
  <c r="AZ54" i="3" s="1"/>
  <c r="BL53" i="3"/>
  <c r="AZ53" i="3" s="1"/>
  <c r="BA52" i="3"/>
  <c r="AZ52" i="3" s="1"/>
  <c r="BL51" i="3"/>
  <c r="AZ51" i="3" s="1"/>
  <c r="BA50" i="3"/>
  <c r="AZ50" i="3" s="1"/>
  <c r="BL49" i="3"/>
  <c r="AZ49" i="3" s="1"/>
  <c r="BA48" i="3"/>
  <c r="AZ48" i="3" s="1"/>
  <c r="BL47" i="3"/>
  <c r="AZ47" i="3" s="1"/>
  <c r="S27" i="21"/>
  <c r="BA17" i="3"/>
  <c r="AZ17" i="3" s="1"/>
  <c r="BA15" i="3"/>
  <c r="AZ15" i="3" s="1"/>
  <c r="P11" i="1"/>
  <c r="G7" i="1"/>
  <c r="AP7" i="1"/>
  <c r="AB43" i="39"/>
  <c r="AA43" i="39"/>
  <c r="L27" i="6"/>
  <c r="P75" i="15"/>
  <c r="B74" i="46"/>
  <c r="C31" i="39"/>
  <c r="E11" i="52"/>
  <c r="B23" i="52"/>
  <c r="B4" i="52"/>
  <c r="C16" i="46"/>
  <c r="C5" i="46" s="1"/>
  <c r="B6" i="52"/>
  <c r="E9" i="52"/>
  <c r="B10" i="52"/>
  <c r="U43" i="21"/>
  <c r="AC40" i="21"/>
  <c r="W39" i="21"/>
  <c r="H113" i="21"/>
  <c r="F37" i="21"/>
  <c r="J37" i="21"/>
  <c r="H37" i="21"/>
  <c r="E5" i="52"/>
  <c r="B16" i="52"/>
  <c r="E10" i="52"/>
  <c r="B8" i="52"/>
  <c r="B9" i="52"/>
  <c r="B7" i="52"/>
  <c r="AB10" i="21"/>
  <c r="AB25" i="21"/>
  <c r="AA25" i="21"/>
  <c r="W25" i="21"/>
  <c r="AA15" i="21"/>
  <c r="U15" i="21"/>
  <c r="AA17" i="21"/>
  <c r="U19" i="21"/>
  <c r="S23" i="21"/>
  <c r="U40" i="21"/>
  <c r="AB36" i="21"/>
  <c r="AA36" i="21"/>
  <c r="S42" i="21"/>
  <c r="AA38" i="21"/>
  <c r="W32" i="21"/>
  <c r="AB32" i="21"/>
  <c r="AA32" i="21"/>
  <c r="W27" i="21"/>
  <c r="AC27" i="21"/>
  <c r="AC29" i="21"/>
  <c r="W29" i="21"/>
  <c r="W31" i="21"/>
  <c r="AA31" i="21"/>
  <c r="AB29" i="21"/>
  <c r="F29" i="21"/>
  <c r="U23" i="21"/>
  <c r="AC19" i="21"/>
  <c r="W17" i="21"/>
  <c r="W15" i="21"/>
  <c r="S10" i="21"/>
  <c r="W10" i="21"/>
  <c r="W43" i="39"/>
  <c r="G93" i="39"/>
  <c r="H19" i="39"/>
  <c r="AB19" i="39" s="1"/>
  <c r="F19" i="39"/>
  <c r="S19" i="39" s="1"/>
  <c r="J19" i="39"/>
  <c r="W19" i="39" s="1"/>
  <c r="G91" i="39"/>
  <c r="H17" i="39"/>
  <c r="U17" i="39" s="1"/>
  <c r="F17" i="39"/>
  <c r="S17" i="39" s="1"/>
  <c r="J17" i="39"/>
  <c r="W17" i="39" s="1"/>
  <c r="AA44" i="39"/>
  <c r="AC44" i="39"/>
  <c r="AB44" i="39"/>
  <c r="W41" i="39"/>
  <c r="S31" i="39"/>
  <c r="AC31" i="39"/>
  <c r="AB29" i="39"/>
  <c r="S29" i="39"/>
  <c r="U27" i="39"/>
  <c r="S27" i="39"/>
  <c r="W25" i="39"/>
  <c r="AB25" i="39"/>
  <c r="U23" i="39"/>
  <c r="S23" i="39"/>
  <c r="AC21" i="39"/>
  <c r="W23" i="39"/>
  <c r="S25" i="39"/>
  <c r="W27" i="39"/>
  <c r="W29" i="39"/>
  <c r="W34" i="39"/>
  <c r="S34" i="39"/>
  <c r="U34" i="39"/>
  <c r="W33" i="39"/>
  <c r="AB16" i="39"/>
  <c r="A17" i="51"/>
  <c r="B13" i="63" s="1"/>
  <c r="A3" i="55"/>
  <c r="B56" i="63" s="1"/>
  <c r="A11" i="55"/>
  <c r="B62" i="63" s="1"/>
  <c r="AP9" i="1"/>
  <c r="G9" i="1"/>
  <c r="L16" i="4"/>
  <c r="K17" i="4" s="1"/>
  <c r="A22" i="51" s="1"/>
  <c r="B16" i="63" s="1"/>
  <c r="E4" i="52"/>
  <c r="E16" i="52"/>
  <c r="B11" i="52"/>
  <c r="E8" i="52"/>
  <c r="B5" i="52"/>
  <c r="B13" i="52"/>
  <c r="B22" i="52"/>
  <c r="E21" i="52"/>
  <c r="B14" i="52"/>
  <c r="E6" i="52"/>
  <c r="E7" i="52"/>
  <c r="C4" i="4" s="1"/>
  <c r="B20" i="55" s="1"/>
  <c r="B70" i="63" s="1"/>
  <c r="K76" i="9"/>
  <c r="K77" i="9" s="1"/>
  <c r="K79" i="9" s="1"/>
  <c r="K81" i="9" s="1"/>
  <c r="F63" i="15"/>
  <c r="Q72" i="15"/>
  <c r="F64" i="15"/>
  <c r="L58" i="15"/>
  <c r="L59" i="15"/>
  <c r="J57" i="15"/>
  <c r="J55" i="15" s="1"/>
  <c r="J58" i="15" s="1"/>
  <c r="Q51" i="15" s="1"/>
  <c r="J59" i="15"/>
  <c r="J53" i="15"/>
  <c r="I54" i="15"/>
  <c r="L56" i="15"/>
  <c r="J60" i="15"/>
  <c r="Q49" i="15" s="1"/>
  <c r="F67" i="15"/>
  <c r="F50" i="15"/>
  <c r="C27" i="15"/>
  <c r="F65" i="15"/>
  <c r="C4" i="65"/>
  <c r="B39" i="1" s="1"/>
  <c r="E20" i="46"/>
  <c r="J1" i="65"/>
  <c r="H46" i="36"/>
  <c r="I46" i="36" s="1"/>
  <c r="J46" i="36" s="1"/>
  <c r="K46" i="36" s="1"/>
  <c r="L46" i="36" s="1"/>
  <c r="M46" i="36" s="1"/>
  <c r="N46" i="36" s="1"/>
  <c r="O46" i="36" s="1"/>
  <c r="D52" i="37"/>
  <c r="E59" i="34"/>
  <c r="F7" i="36"/>
  <c r="C7" i="46"/>
  <c r="G39" i="46"/>
  <c r="I39" i="46" s="1"/>
  <c r="H71" i="46"/>
  <c r="H76" i="46"/>
  <c r="H73" i="46"/>
  <c r="H74" i="46"/>
  <c r="H72" i="46"/>
  <c r="AC19" i="37"/>
  <c r="W19" i="37"/>
  <c r="AP6" i="1"/>
  <c r="G6" i="1"/>
  <c r="AA30" i="40"/>
  <c r="S30" i="40"/>
  <c r="S23" i="40"/>
  <c r="AA23" i="40"/>
  <c r="U37" i="34"/>
  <c r="S34" i="33"/>
  <c r="AA34" i="33"/>
  <c r="W46" i="39"/>
  <c r="AC46" i="39"/>
  <c r="J58" i="33"/>
  <c r="J7" i="36"/>
  <c r="P10" i="1"/>
  <c r="D48" i="35"/>
  <c r="H75" i="46"/>
  <c r="E69" i="46"/>
  <c r="B67" i="46" s="1"/>
  <c r="F30" i="6"/>
  <c r="A25" i="64"/>
  <c r="A25" i="51"/>
  <c r="B18" i="63" s="1"/>
  <c r="W23" i="21"/>
  <c r="AC23" i="21"/>
  <c r="S33" i="37"/>
  <c r="AA33" i="37"/>
  <c r="H49" i="46"/>
  <c r="H47" i="46"/>
  <c r="H48" i="46"/>
  <c r="H53" i="46"/>
  <c r="H54" i="46"/>
  <c r="H55" i="46"/>
  <c r="U14" i="40"/>
  <c r="AB14" i="40"/>
  <c r="AC34" i="40"/>
  <c r="W34" i="40"/>
  <c r="U42" i="40"/>
  <c r="AB42" i="40"/>
  <c r="W38" i="39"/>
  <c r="AC38" i="39"/>
  <c r="AA35" i="40"/>
  <c r="S35" i="40"/>
  <c r="AC33" i="40"/>
  <c r="W33" i="40"/>
  <c r="AC32" i="40"/>
  <c r="W32" i="40"/>
  <c r="AB39" i="39"/>
  <c r="U39" i="39"/>
  <c r="H58" i="21"/>
  <c r="AB17" i="34"/>
  <c r="U17" i="34"/>
  <c r="U37" i="21"/>
  <c r="AB37" i="21"/>
  <c r="AA37" i="37"/>
  <c r="S37" i="37"/>
  <c r="AC32" i="37"/>
  <c r="W32" i="37"/>
  <c r="AA10" i="35"/>
  <c r="S10" i="35"/>
  <c r="AB28" i="34"/>
  <c r="U28" i="34"/>
  <c r="W27" i="37"/>
  <c r="AC27" i="37"/>
  <c r="AA27" i="37"/>
  <c r="S27" i="37"/>
  <c r="AC35" i="35"/>
  <c r="W35" i="35"/>
  <c r="AA25" i="35"/>
  <c r="S25" i="35"/>
  <c r="AA45" i="34"/>
  <c r="S45" i="34"/>
  <c r="AB46" i="33"/>
  <c r="U46" i="33"/>
  <c r="AC46" i="33"/>
  <c r="W46" i="33"/>
  <c r="U40" i="37"/>
  <c r="AB40" i="37"/>
  <c r="S27" i="33"/>
  <c r="AA27" i="33"/>
  <c r="U13" i="21"/>
  <c r="AB13" i="21"/>
  <c r="S28" i="36"/>
  <c r="AA28" i="36"/>
  <c r="AA44" i="21"/>
  <c r="S44" i="21"/>
  <c r="U14" i="21"/>
  <c r="AB14" i="21"/>
  <c r="W10" i="35"/>
  <c r="AC10" i="35"/>
  <c r="W37" i="33"/>
  <c r="AC37" i="33"/>
  <c r="AC19" i="34"/>
  <c r="W19" i="34"/>
  <c r="U16" i="35"/>
  <c r="AB16" i="35"/>
  <c r="AA24" i="36"/>
  <c r="S24" i="36"/>
  <c r="U10" i="35"/>
  <c r="AB10" i="35"/>
  <c r="AA35" i="21"/>
  <c r="S35" i="21"/>
  <c r="W34" i="21"/>
  <c r="AC34" i="21"/>
  <c r="U34" i="21"/>
  <c r="AB34" i="21"/>
  <c r="B70" i="46"/>
  <c r="C23" i="39"/>
  <c r="F9" i="21"/>
  <c r="J9" i="21"/>
  <c r="H9" i="35"/>
  <c r="J9" i="35"/>
  <c r="AC24" i="35"/>
  <c r="W24" i="35"/>
  <c r="J34" i="35"/>
  <c r="H34" i="35"/>
  <c r="F34" i="35"/>
  <c r="AA8" i="36"/>
  <c r="S8" i="36"/>
  <c r="AB9" i="36"/>
  <c r="U9" i="36"/>
  <c r="AC23" i="36"/>
  <c r="W23" i="36"/>
  <c r="F32" i="36"/>
  <c r="H32" i="36"/>
  <c r="J32" i="36"/>
  <c r="U14" i="37"/>
  <c r="AB14" i="37"/>
  <c r="F34" i="15"/>
  <c r="F36" i="44"/>
  <c r="M22" i="44"/>
  <c r="W11" i="35"/>
  <c r="AA21" i="39"/>
  <c r="AC46" i="21"/>
  <c r="AB41" i="34"/>
  <c r="W29" i="34"/>
  <c r="W28" i="37"/>
  <c r="AA13" i="35"/>
  <c r="AC10" i="33"/>
  <c r="W10" i="33"/>
  <c r="U11" i="36"/>
  <c r="U17" i="21"/>
  <c r="U15" i="33"/>
  <c r="AB15" i="33"/>
  <c r="AA11" i="34"/>
  <c r="AB17" i="39"/>
  <c r="U41" i="33"/>
  <c r="AB41" i="33"/>
  <c r="AB16" i="40"/>
  <c r="U16" i="40"/>
  <c r="W14" i="40"/>
  <c r="AC14" i="40"/>
  <c r="AA33" i="40"/>
  <c r="S33" i="40"/>
  <c r="AC20" i="35"/>
  <c r="W20" i="35"/>
  <c r="AC36" i="21"/>
  <c r="U46" i="39"/>
  <c r="AB46" i="39"/>
  <c r="AA17" i="39"/>
  <c r="U38" i="21"/>
  <c r="AA35" i="37"/>
  <c r="AB29" i="35"/>
  <c r="S40" i="21"/>
  <c r="AA40" i="21"/>
  <c r="AB35" i="35"/>
  <c r="AB11" i="37"/>
  <c r="U11" i="37"/>
  <c r="W11" i="37"/>
  <c r="AC11" i="37"/>
  <c r="F24" i="35"/>
  <c r="W41" i="34"/>
  <c r="AC41" i="34"/>
  <c r="AA42" i="33"/>
  <c r="S42" i="33"/>
  <c r="AB31" i="33"/>
  <c r="AB31" i="21"/>
  <c r="AA38" i="37"/>
  <c r="W14" i="37"/>
  <c r="AC14" i="37"/>
  <c r="W25" i="36"/>
  <c r="AC25" i="36"/>
  <c r="S35" i="35"/>
  <c r="AA35" i="35"/>
  <c r="AC25" i="35"/>
  <c r="W25" i="35"/>
  <c r="AC13" i="35"/>
  <c r="W13" i="35"/>
  <c r="AC31" i="34"/>
  <c r="W31" i="34"/>
  <c r="AA13" i="34"/>
  <c r="S13" i="34"/>
  <c r="S44" i="33"/>
  <c r="AA44" i="33"/>
  <c r="U37" i="37"/>
  <c r="AB37" i="37"/>
  <c r="AC31" i="33"/>
  <c r="W31" i="33"/>
  <c r="AC27" i="33"/>
  <c r="W27" i="33"/>
  <c r="AA45" i="21"/>
  <c r="S45" i="21"/>
  <c r="S27" i="36"/>
  <c r="AA27" i="36"/>
  <c r="AB46" i="21"/>
  <c r="U46" i="21"/>
  <c r="AB28" i="21"/>
  <c r="U28" i="21"/>
  <c r="S44" i="34"/>
  <c r="AA44" i="34"/>
  <c r="AB33" i="35"/>
  <c r="U33" i="35"/>
  <c r="U24" i="36"/>
  <c r="AA22" i="35"/>
  <c r="S22" i="35"/>
  <c r="C29" i="39"/>
  <c r="AB39" i="33"/>
  <c r="U39" i="33"/>
  <c r="AA29" i="36"/>
  <c r="S29" i="36"/>
  <c r="AA19" i="21"/>
  <c r="S19" i="21"/>
  <c r="AB39" i="21"/>
  <c r="U39" i="21"/>
  <c r="H9" i="21"/>
  <c r="S43" i="21"/>
  <c r="AA43" i="21"/>
  <c r="AA34" i="21"/>
  <c r="S34" i="21"/>
  <c r="AA8" i="21"/>
  <c r="S8" i="21"/>
  <c r="W35" i="21"/>
  <c r="AC35" i="21"/>
  <c r="AB42" i="21"/>
  <c r="U42" i="21"/>
  <c r="W8" i="33"/>
  <c r="AC8" i="33"/>
  <c r="AC33" i="33"/>
  <c r="W33" i="33"/>
  <c r="AC26" i="33"/>
  <c r="W26" i="33"/>
  <c r="AC39" i="34"/>
  <c r="W39" i="34"/>
  <c r="S40" i="34"/>
  <c r="AA40" i="34"/>
  <c r="AA43" i="34"/>
  <c r="S43" i="34"/>
  <c r="AB44" i="34"/>
  <c r="U44" i="34"/>
  <c r="F9" i="35"/>
  <c r="J12" i="33"/>
  <c r="F12" i="33"/>
  <c r="H14" i="33"/>
  <c r="F14" i="33"/>
  <c r="J14" i="33"/>
  <c r="H30" i="33"/>
  <c r="F30" i="33"/>
  <c r="J30" i="33"/>
  <c r="U45" i="33"/>
  <c r="AB45" i="33"/>
  <c r="U29" i="37"/>
  <c r="AB29" i="37"/>
  <c r="AC39" i="37"/>
  <c r="W39" i="37"/>
  <c r="C70" i="39"/>
  <c r="F15" i="39"/>
  <c r="H15" i="39"/>
  <c r="J15" i="39"/>
  <c r="H25" i="37"/>
  <c r="J25" i="37"/>
  <c r="F25" i="37"/>
  <c r="D24" i="59"/>
  <c r="C25" i="59"/>
  <c r="C37" i="59"/>
  <c r="D36" i="59"/>
  <c r="C42" i="59"/>
  <c r="D41" i="59"/>
  <c r="C45" i="59"/>
  <c r="D44" i="59"/>
  <c r="N48" i="59"/>
  <c r="N47" i="59"/>
  <c r="D108" i="46"/>
  <c r="D100" i="46"/>
  <c r="D22" i="15"/>
  <c r="D23" i="15"/>
  <c r="AA21" i="21"/>
  <c r="S21" i="21"/>
  <c r="AA21" i="37"/>
  <c r="S21" i="37"/>
  <c r="D33" i="59"/>
  <c r="C34" i="59"/>
  <c r="C22" i="59"/>
  <c r="C18" i="59"/>
  <c r="C14" i="59"/>
  <c r="D49" i="59"/>
  <c r="C69" i="59"/>
  <c r="D62" i="59"/>
  <c r="E61" i="59"/>
  <c r="E60" i="59" s="1"/>
  <c r="D54" i="59"/>
  <c r="E53" i="59"/>
  <c r="E52" i="59" s="1"/>
  <c r="D50" i="59"/>
  <c r="E48" i="59"/>
  <c r="AA12" i="46"/>
  <c r="AE12" i="46"/>
  <c r="AI12" i="46"/>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L218" i="3"/>
  <c r="AZ218" i="3" s="1"/>
  <c r="BA217" i="3"/>
  <c r="AZ217" i="3" s="1"/>
  <c r="BL210" i="3"/>
  <c r="AZ210" i="3"/>
  <c r="BA209" i="3"/>
  <c r="AZ209" i="3" s="1"/>
  <c r="BL202" i="3"/>
  <c r="AZ202" i="3" s="1"/>
  <c r="BA201" i="3"/>
  <c r="AZ201" i="3" s="1"/>
  <c r="BL194" i="3"/>
  <c r="AZ194" i="3" s="1"/>
  <c r="BA193" i="3"/>
  <c r="AZ193"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4" i="3"/>
  <c r="AZ214" i="3" s="1"/>
  <c r="BA213" i="3"/>
  <c r="AZ213" i="3" s="1"/>
  <c r="BL206" i="3"/>
  <c r="AZ206" i="3" s="1"/>
  <c r="BA205" i="3"/>
  <c r="AZ205" i="3" s="1"/>
  <c r="BL198" i="3"/>
  <c r="AZ198" i="3"/>
  <c r="BA197" i="3"/>
  <c r="AZ197"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2" i="3"/>
  <c r="AZ132" i="3" s="1"/>
  <c r="BA131" i="3"/>
  <c r="AZ131" i="3" s="1"/>
  <c r="BL124" i="3"/>
  <c r="AZ124" i="3" s="1"/>
  <c r="BA123" i="3"/>
  <c r="AZ123" i="3" s="1"/>
  <c r="BL116" i="3"/>
  <c r="AZ116" i="3"/>
  <c r="BA115" i="3"/>
  <c r="AZ115" i="3" s="1"/>
  <c r="BL108" i="3"/>
  <c r="AZ108" i="3" s="1"/>
  <c r="BA107" i="3"/>
  <c r="AZ107" i="3" s="1"/>
  <c r="BL100" i="3"/>
  <c r="AZ100" i="3" s="1"/>
  <c r="BA99" i="3"/>
  <c r="AZ99" i="3" s="1"/>
  <c r="BL92" i="3"/>
  <c r="AZ92" i="3" s="1"/>
  <c r="BA91" i="3"/>
  <c r="AZ91" i="3" s="1"/>
  <c r="BL84" i="3"/>
  <c r="AZ84" i="3"/>
  <c r="BA83" i="3"/>
  <c r="AZ83" i="3" s="1"/>
  <c r="BL81" i="3"/>
  <c r="AZ81" i="3" s="1"/>
  <c r="BA80" i="3"/>
  <c r="AZ8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28" i="3"/>
  <c r="AZ128" i="3" s="1"/>
  <c r="BA127" i="3"/>
  <c r="AZ127" i="3" s="1"/>
  <c r="BL120" i="3"/>
  <c r="AZ120" i="3"/>
  <c r="BA119" i="3"/>
  <c r="AZ119" i="3" s="1"/>
  <c r="BL112" i="3"/>
  <c r="AZ112" i="3" s="1"/>
  <c r="BA111" i="3"/>
  <c r="AZ111" i="3" s="1"/>
  <c r="BL104" i="3"/>
  <c r="AZ104" i="3" s="1"/>
  <c r="BA103" i="3"/>
  <c r="AZ103" i="3" s="1"/>
  <c r="BL96" i="3"/>
  <c r="AZ96" i="3" s="1"/>
  <c r="BA95" i="3"/>
  <c r="AZ95" i="3" s="1"/>
  <c r="BL88" i="3"/>
  <c r="AZ88" i="3"/>
  <c r="BA87" i="3"/>
  <c r="AZ8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L77" i="3"/>
  <c r="AZ77" i="3"/>
  <c r="BA76" i="3"/>
  <c r="AZ76" i="3" s="1"/>
  <c r="E22" i="6"/>
  <c r="BE13" i="3"/>
  <c r="BE5" i="3" s="1"/>
  <c r="BD13" i="3"/>
  <c r="BD5" i="3" s="1"/>
  <c r="E19" i="6"/>
  <c r="D3" i="77" s="1"/>
  <c r="BL79" i="3"/>
  <c r="AZ79" i="3" s="1"/>
  <c r="BA78" i="3"/>
  <c r="AZ78" i="3" s="1"/>
  <c r="BB13" i="3"/>
  <c r="E21" i="6"/>
  <c r="D3" i="21" s="1"/>
  <c r="F58" i="15"/>
  <c r="M17" i="15"/>
  <c r="M19" i="44"/>
  <c r="E2" i="65"/>
  <c r="J17" i="44"/>
  <c r="M25" i="44"/>
  <c r="M28" i="44"/>
  <c r="F43" i="44"/>
  <c r="L49" i="44"/>
  <c r="F39" i="44"/>
  <c r="F40" i="44"/>
  <c r="L48" i="44"/>
  <c r="F10" i="44"/>
  <c r="E3" i="65"/>
  <c r="M11" i="44"/>
  <c r="F38" i="44"/>
  <c r="F28" i="44"/>
  <c r="C29" i="44" l="1"/>
  <c r="J60" i="44"/>
  <c r="J54" i="44"/>
  <c r="Q54" i="44" s="1"/>
  <c r="L57" i="44"/>
  <c r="I55" i="44"/>
  <c r="J61" i="44"/>
  <c r="Q50" i="44" s="1"/>
  <c r="J58" i="44"/>
  <c r="J56" i="44" s="1"/>
  <c r="J59" i="44" s="1"/>
  <c r="Q52" i="44" s="1"/>
  <c r="Q73" i="44"/>
  <c r="L60" i="44"/>
  <c r="Q76" i="44" s="1"/>
  <c r="L59" i="44"/>
  <c r="Q75" i="44" s="1"/>
  <c r="B40" i="1"/>
  <c r="F21" i="43" s="1"/>
  <c r="C23" i="43" s="1"/>
  <c r="D21" i="43" s="1"/>
  <c r="H7" i="36"/>
  <c r="AZ369" i="3"/>
  <c r="AZ372" i="3"/>
  <c r="AZ370" i="3"/>
  <c r="C48" i="59"/>
  <c r="O49" i="59"/>
  <c r="C64" i="59"/>
  <c r="D64" i="59" s="1"/>
  <c r="D65" i="59"/>
  <c r="AA9" i="33"/>
  <c r="S9" i="33"/>
  <c r="AA26" i="33"/>
  <c r="S26" i="33"/>
  <c r="W34" i="36"/>
  <c r="AC34" i="36"/>
  <c r="S34" i="36"/>
  <c r="AA34" i="36"/>
  <c r="AA40" i="37"/>
  <c r="S40" i="37"/>
  <c r="S31" i="34"/>
  <c r="AA31" i="34"/>
  <c r="AB25" i="35"/>
  <c r="U25" i="35"/>
  <c r="U28" i="37"/>
  <c r="AB28" i="37"/>
  <c r="W37" i="39"/>
  <c r="AC37" i="39"/>
  <c r="U34" i="40"/>
  <c r="AB34" i="40"/>
  <c r="AC26" i="35"/>
  <c r="W26" i="35"/>
  <c r="G67" i="40"/>
  <c r="H65" i="40"/>
  <c r="B20" i="31"/>
  <c r="R22" i="31"/>
  <c r="B21" i="31" s="1"/>
  <c r="C58" i="77"/>
  <c r="D58" i="77" s="1"/>
  <c r="E58" i="77" s="1"/>
  <c r="F58" i="77" s="1"/>
  <c r="G58" i="77" s="1"/>
  <c r="H58" i="77" s="1"/>
  <c r="I58" i="77" s="1"/>
  <c r="J58" i="77" s="1"/>
  <c r="K58" i="77" s="1"/>
  <c r="L58" i="77" s="1"/>
  <c r="M58" i="77" s="1"/>
  <c r="N58" i="77" s="1"/>
  <c r="O58" i="77" s="1"/>
  <c r="E7" i="77"/>
  <c r="Q49" i="59"/>
  <c r="F48" i="59"/>
  <c r="AC36" i="35"/>
  <c r="W36" i="35"/>
  <c r="U12" i="21"/>
  <c r="AB12" i="21"/>
  <c r="AC28" i="21"/>
  <c r="W28" i="21"/>
  <c r="U26" i="33"/>
  <c r="AB26" i="33"/>
  <c r="AC47" i="34"/>
  <c r="W47" i="34"/>
  <c r="AB25" i="36"/>
  <c r="U25" i="36"/>
  <c r="AA14" i="37"/>
  <c r="S14" i="37"/>
  <c r="AA23" i="35"/>
  <c r="S23" i="35"/>
  <c r="U40" i="40"/>
  <c r="AB40" i="40"/>
  <c r="AC40" i="40"/>
  <c r="W40" i="40"/>
  <c r="AB26" i="35"/>
  <c r="U26" i="35"/>
  <c r="S26" i="35"/>
  <c r="AA26" i="35"/>
  <c r="U19" i="39"/>
  <c r="AC19" i="39"/>
  <c r="AC17" i="39"/>
  <c r="S37" i="21"/>
  <c r="AA37" i="21"/>
  <c r="W37" i="21"/>
  <c r="AC37" i="21"/>
  <c r="S29" i="21"/>
  <c r="AA29" i="21"/>
  <c r="AA19" i="39"/>
  <c r="F17" i="11"/>
  <c r="C17" i="11" s="1"/>
  <c r="K8" i="1"/>
  <c r="M8" i="1" s="1"/>
  <c r="E9" i="12"/>
  <c r="BR13" i="3"/>
  <c r="AC13" i="3"/>
  <c r="AC5" i="3" s="1"/>
  <c r="AN5" i="3"/>
  <c r="K6" i="1"/>
  <c r="P48" i="59"/>
  <c r="P47" i="59"/>
  <c r="C68" i="59"/>
  <c r="D68" i="59" s="1"/>
  <c r="D69" i="59"/>
  <c r="D14" i="59"/>
  <c r="T14" i="59"/>
  <c r="D22" i="59"/>
  <c r="T22" i="59"/>
  <c r="D25" i="59"/>
  <c r="C26" i="59"/>
  <c r="S25" i="37"/>
  <c r="AA25" i="37"/>
  <c r="U25" i="37"/>
  <c r="AB25" i="37"/>
  <c r="W15" i="39"/>
  <c r="AC15" i="39"/>
  <c r="AA15" i="39"/>
  <c r="S15" i="39"/>
  <c r="AA30" i="33"/>
  <c r="S30" i="33"/>
  <c r="W14" i="33"/>
  <c r="AC14" i="33"/>
  <c r="AB14" i="33"/>
  <c r="U14" i="33"/>
  <c r="W12" i="33"/>
  <c r="AC12" i="33"/>
  <c r="AB9" i="21"/>
  <c r="U9" i="21"/>
  <c r="AA24" i="35"/>
  <c r="S24" i="35"/>
  <c r="AC32" i="36"/>
  <c r="W32" i="36"/>
  <c r="S32" i="36"/>
  <c r="AA32" i="36"/>
  <c r="AB34" i="35"/>
  <c r="U34" i="35"/>
  <c r="W9" i="35"/>
  <c r="AC9" i="35"/>
  <c r="AC9" i="21"/>
  <c r="W9" i="21"/>
  <c r="I58" i="21"/>
  <c r="E48" i="35"/>
  <c r="W7" i="36"/>
  <c r="AC7" i="36"/>
  <c r="V36" i="36" s="1"/>
  <c r="I36" i="36" s="1"/>
  <c r="K58" i="33"/>
  <c r="F11" i="15"/>
  <c r="F13" i="44"/>
  <c r="C12" i="44" s="1"/>
  <c r="M11" i="15"/>
  <c r="J10" i="15" s="1"/>
  <c r="M13" i="44"/>
  <c r="J12" i="44" s="1"/>
  <c r="Q62" i="44"/>
  <c r="F1" i="15"/>
  <c r="Q53" i="15"/>
  <c r="Q75" i="15"/>
  <c r="Q62" i="15"/>
  <c r="BB5" i="3"/>
  <c r="F9" i="12"/>
  <c r="K9" i="1"/>
  <c r="D18" i="59"/>
  <c r="T18" i="59"/>
  <c r="D34" i="59"/>
  <c r="T34" i="59"/>
  <c r="D45" i="59"/>
  <c r="C46" i="59"/>
  <c r="D42" i="59"/>
  <c r="T42" i="59"/>
  <c r="D37" i="59"/>
  <c r="C38" i="59"/>
  <c r="W25" i="37"/>
  <c r="AC25" i="37"/>
  <c r="AB15" i="39"/>
  <c r="U15" i="39"/>
  <c r="D70" i="39"/>
  <c r="C72" i="39"/>
  <c r="AC30" i="33"/>
  <c r="W30" i="33"/>
  <c r="AB30" i="33"/>
  <c r="U30" i="33"/>
  <c r="AA14" i="33"/>
  <c r="S14" i="33"/>
  <c r="S12" i="33"/>
  <c r="AA12" i="33"/>
  <c r="AA9" i="35"/>
  <c r="S9" i="35"/>
  <c r="F61" i="15"/>
  <c r="U32" i="36"/>
  <c r="AB32" i="36"/>
  <c r="S34" i="35"/>
  <c r="AA34" i="35"/>
  <c r="AC34" i="35"/>
  <c r="W34" i="35"/>
  <c r="AB9" i="35"/>
  <c r="U9" i="35"/>
  <c r="S9" i="21"/>
  <c r="AA9" i="21"/>
  <c r="S7" i="36"/>
  <c r="AA7" i="36"/>
  <c r="R36" i="36" s="1"/>
  <c r="F59" i="34"/>
  <c r="E52" i="37"/>
  <c r="AB7" i="36"/>
  <c r="T36" i="36" s="1"/>
  <c r="G36" i="36" s="1"/>
  <c r="U7" i="36"/>
  <c r="O17" i="46"/>
  <c r="M17" i="46"/>
  <c r="P17" i="46"/>
  <c r="N17" i="46"/>
  <c r="L46" i="15"/>
  <c r="Q74" i="15"/>
  <c r="Q61" i="15"/>
  <c r="F9" i="44"/>
  <c r="AE9" i="1"/>
  <c r="F7" i="15"/>
  <c r="M31" i="44"/>
  <c r="M29" i="15"/>
  <c r="F43" i="15"/>
  <c r="Q63" i="44" l="1"/>
  <c r="F26" i="44"/>
  <c r="C26" i="44" s="1"/>
  <c r="F26" i="12"/>
  <c r="C27" i="12" s="1"/>
  <c r="D26" i="12" s="1"/>
  <c r="C32" i="12" s="1"/>
  <c r="D30" i="12" s="1"/>
  <c r="F1" i="44"/>
  <c r="F24" i="15"/>
  <c r="C24" i="15" s="1"/>
  <c r="O47" i="59"/>
  <c r="O48" i="59"/>
  <c r="D48" i="59"/>
  <c r="Q48" i="59"/>
  <c r="Q47" i="59"/>
  <c r="I7" i="77"/>
  <c r="J7" i="77" s="1"/>
  <c r="F7" i="77"/>
  <c r="G7" i="77"/>
  <c r="H7" i="77" s="1"/>
  <c r="H67" i="40"/>
  <c r="I65" i="40"/>
  <c r="C8" i="44"/>
  <c r="M9" i="44"/>
  <c r="J8" i="44" s="1"/>
  <c r="J7" i="44" s="1"/>
  <c r="J20" i="44" s="1"/>
  <c r="C7" i="44"/>
  <c r="C40" i="44" s="1"/>
  <c r="F70" i="15"/>
  <c r="M7" i="15"/>
  <c r="J6" i="15" s="1"/>
  <c r="J5" i="15" s="1"/>
  <c r="C6" i="15"/>
  <c r="F49" i="15"/>
  <c r="C48" i="15" s="1"/>
  <c r="M9" i="1"/>
  <c r="F52" i="37"/>
  <c r="G59" i="34"/>
  <c r="H59" i="34" s="1"/>
  <c r="I59" i="34" s="1"/>
  <c r="J59" i="34" s="1"/>
  <c r="K59" i="34" s="1"/>
  <c r="L59" i="34" s="1"/>
  <c r="M59" i="34" s="1"/>
  <c r="N59" i="34" s="1"/>
  <c r="O59" i="34" s="1"/>
  <c r="E36" i="36"/>
  <c r="R37" i="36"/>
  <c r="E70" i="39"/>
  <c r="D72" i="39"/>
  <c r="C52" i="15"/>
  <c r="C10" i="15"/>
  <c r="L58" i="33"/>
  <c r="M58" i="33" s="1"/>
  <c r="N58" i="33" s="1"/>
  <c r="O58" i="33" s="1"/>
  <c r="J7" i="33"/>
  <c r="H7" i="33"/>
  <c r="D26" i="59"/>
  <c r="T26" i="59"/>
  <c r="M6" i="1"/>
  <c r="O8" i="1"/>
  <c r="P8" i="1" s="1"/>
  <c r="H13" i="3"/>
  <c r="K5" i="3"/>
  <c r="G41" i="36"/>
  <c r="H41" i="36" s="1"/>
  <c r="G40" i="36"/>
  <c r="H40" i="36" s="1"/>
  <c r="H7" i="34"/>
  <c r="J7" i="34"/>
  <c r="D38" i="59"/>
  <c r="T38" i="59"/>
  <c r="D46" i="59"/>
  <c r="T46" i="59"/>
  <c r="F7" i="33"/>
  <c r="I40" i="36"/>
  <c r="J40" i="36" s="1"/>
  <c r="I41" i="36"/>
  <c r="J41" i="36" s="1"/>
  <c r="F48" i="35"/>
  <c r="J58" i="21"/>
  <c r="M20" i="46"/>
  <c r="C19" i="46" s="1"/>
  <c r="BR5" i="3"/>
  <c r="G28" i="6" s="1"/>
  <c r="BL13" i="3"/>
  <c r="BL5" i="3" s="1"/>
  <c r="E20" i="6"/>
  <c r="D3" i="78" s="1"/>
  <c r="BC13" i="3"/>
  <c r="L52" i="44"/>
  <c r="C16" i="15"/>
  <c r="C18" i="44"/>
  <c r="F41" i="15"/>
  <c r="F46" i="44"/>
  <c r="F7" i="34" l="1"/>
  <c r="I67" i="40"/>
  <c r="J65" i="40"/>
  <c r="AB7" i="77"/>
  <c r="U7" i="77"/>
  <c r="W7" i="77"/>
  <c r="AC7" i="77"/>
  <c r="S7" i="77"/>
  <c r="AA7" i="77"/>
  <c r="C9" i="12"/>
  <c r="C34" i="44"/>
  <c r="O9" i="1"/>
  <c r="P9" i="1" s="1"/>
  <c r="C47" i="15"/>
  <c r="C65" i="15" s="1"/>
  <c r="C5" i="15"/>
  <c r="C32" i="15" s="1"/>
  <c r="J18" i="15"/>
  <c r="J26" i="15"/>
  <c r="J29" i="15" s="1"/>
  <c r="J24" i="15"/>
  <c r="F68" i="15"/>
  <c r="J26" i="44"/>
  <c r="J28" i="44"/>
  <c r="J31" i="44" s="1"/>
  <c r="Q58" i="44" s="1"/>
  <c r="Q69" i="44"/>
  <c r="L58" i="44"/>
  <c r="L61" i="44" s="1"/>
  <c r="L47" i="44" s="1"/>
  <c r="D9" i="12"/>
  <c r="K7" i="1"/>
  <c r="C36" i="46"/>
  <c r="C34" i="46"/>
  <c r="C33" i="46"/>
  <c r="C35" i="46"/>
  <c r="C38" i="46"/>
  <c r="C39" i="46"/>
  <c r="E39" i="46" s="1"/>
  <c r="T10" i="46"/>
  <c r="V10" i="46" s="1"/>
  <c r="T14" i="46"/>
  <c r="V14" i="46" s="1"/>
  <c r="T11" i="46"/>
  <c r="V11" i="46" s="1"/>
  <c r="T15" i="46"/>
  <c r="V15" i="46" s="1"/>
  <c r="T8" i="46"/>
  <c r="V8" i="46" s="1"/>
  <c r="T12" i="46"/>
  <c r="V12" i="46" s="1"/>
  <c r="T16" i="46"/>
  <c r="V16" i="46" s="1"/>
  <c r="T9" i="46"/>
  <c r="V9" i="46" s="1"/>
  <c r="T13" i="46"/>
  <c r="V13" i="46" s="1"/>
  <c r="C37" i="46"/>
  <c r="AA7" i="33"/>
  <c r="R48" i="33" s="1"/>
  <c r="S7" i="33"/>
  <c r="AB7" i="34"/>
  <c r="T49" i="34" s="1"/>
  <c r="G49" i="34" s="1"/>
  <c r="U7" i="34"/>
  <c r="I4" i="6"/>
  <c r="G3" i="46" s="1"/>
  <c r="AB7" i="33"/>
  <c r="T48" i="33" s="1"/>
  <c r="G48" i="33" s="1"/>
  <c r="U7" i="33"/>
  <c r="F70" i="39"/>
  <c r="E72" i="39"/>
  <c r="E40" i="36"/>
  <c r="F40" i="36" s="1"/>
  <c r="E41" i="36"/>
  <c r="F41" i="36" s="1"/>
  <c r="G52" i="37"/>
  <c r="BC5" i="3"/>
  <c r="BA13" i="3"/>
  <c r="G30" i="6"/>
  <c r="G31" i="6" s="1"/>
  <c r="E28" i="6"/>
  <c r="K58" i="21"/>
  <c r="G48" i="35"/>
  <c r="H48" i="35" s="1"/>
  <c r="I48" i="35" s="1"/>
  <c r="J48" i="35" s="1"/>
  <c r="K48" i="35" s="1"/>
  <c r="L48" i="35" s="1"/>
  <c r="M48" i="35" s="1"/>
  <c r="N48" i="35" s="1"/>
  <c r="O48" i="35" s="1"/>
  <c r="AC7" i="34"/>
  <c r="V49" i="34" s="1"/>
  <c r="I49" i="34" s="1"/>
  <c r="W7" i="34"/>
  <c r="G13" i="3"/>
  <c r="H5" i="3"/>
  <c r="O6" i="1"/>
  <c r="AC7" i="33"/>
  <c r="V48" i="33" s="1"/>
  <c r="I48" i="33" s="1"/>
  <c r="W7" i="33"/>
  <c r="C37" i="36"/>
  <c r="B3" i="36" s="1"/>
  <c r="B2" i="36" s="1"/>
  <c r="C36" i="36"/>
  <c r="AA7" i="34"/>
  <c r="R49" i="34" s="1"/>
  <c r="S7" i="34"/>
  <c r="J7" i="35" l="1"/>
  <c r="W7" i="35" s="1"/>
  <c r="K65" i="40"/>
  <c r="J67" i="40"/>
  <c r="C59" i="15"/>
  <c r="Q49" i="44"/>
  <c r="Q55" i="44" s="1"/>
  <c r="C38" i="15"/>
  <c r="Q67" i="44"/>
  <c r="AC7" i="35"/>
  <c r="V38" i="35" s="1"/>
  <c r="I38" i="35" s="1"/>
  <c r="L58" i="21"/>
  <c r="M58" i="21" s="1"/>
  <c r="N58" i="21" s="1"/>
  <c r="O58" i="21" s="1"/>
  <c r="R50" i="34"/>
  <c r="E49" i="34"/>
  <c r="I54" i="34" s="1"/>
  <c r="J54" i="34" s="1"/>
  <c r="I52" i="33"/>
  <c r="J52" i="33" s="1"/>
  <c r="P6" i="1"/>
  <c r="G5" i="3"/>
  <c r="B3" i="3" s="1"/>
  <c r="I53" i="34"/>
  <c r="J53" i="34" s="1"/>
  <c r="H7" i="35"/>
  <c r="J7" i="21"/>
  <c r="K14" i="1"/>
  <c r="M14" i="1" s="1"/>
  <c r="E30" i="6"/>
  <c r="AZ13" i="3"/>
  <c r="AZ5" i="3" s="1"/>
  <c r="BA5" i="3"/>
  <c r="H52" i="37"/>
  <c r="G70" i="39"/>
  <c r="F72" i="39"/>
  <c r="G53" i="33"/>
  <c r="H53" i="33" s="1"/>
  <c r="G52" i="33"/>
  <c r="H52" i="33" s="1"/>
  <c r="G54" i="34"/>
  <c r="H54" i="34" s="1"/>
  <c r="G53" i="34"/>
  <c r="H53" i="34" s="1"/>
  <c r="R49" i="33"/>
  <c r="E48" i="33"/>
  <c r="G37" i="46"/>
  <c r="I37" i="46" s="1"/>
  <c r="E37" i="46"/>
  <c r="G38" i="46"/>
  <c r="I38" i="46" s="1"/>
  <c r="E38" i="46"/>
  <c r="G33" i="46"/>
  <c r="I33" i="46" s="1"/>
  <c r="E33" i="46"/>
  <c r="E36" i="46"/>
  <c r="G36" i="46"/>
  <c r="I36" i="46" s="1"/>
  <c r="F7" i="21"/>
  <c r="Q68" i="44"/>
  <c r="Q59" i="44"/>
  <c r="Q64" i="44" s="1"/>
  <c r="E12" i="6"/>
  <c r="E15" i="6"/>
  <c r="E10" i="6"/>
  <c r="E8" i="6"/>
  <c r="E5" i="6"/>
  <c r="E14" i="6"/>
  <c r="E11" i="6"/>
  <c r="E13" i="6"/>
  <c r="S5" i="46"/>
  <c r="T5" i="46" s="1"/>
  <c r="V5" i="46" s="1"/>
  <c r="AI11" i="46"/>
  <c r="AI13" i="46" s="1"/>
  <c r="AA11" i="46"/>
  <c r="AA13" i="46" s="1"/>
  <c r="C23" i="46"/>
  <c r="C21" i="46" s="1"/>
  <c r="S3" i="46"/>
  <c r="T3" i="46" s="1"/>
  <c r="V3" i="46" s="1"/>
  <c r="AH11" i="46"/>
  <c r="AH13" i="46" s="1"/>
  <c r="AD11" i="46"/>
  <c r="AD13" i="46" s="1"/>
  <c r="Z11" i="46"/>
  <c r="Z13" i="46" s="1"/>
  <c r="S4" i="46"/>
  <c r="T4" i="46" s="1"/>
  <c r="V4" i="46" s="1"/>
  <c r="F101" i="46"/>
  <c r="N101" i="46"/>
  <c r="K101" i="46"/>
  <c r="Z7" i="46"/>
  <c r="E101" i="46"/>
  <c r="F22" i="46"/>
  <c r="L101" i="46"/>
  <c r="N104" i="45"/>
  <c r="B113" i="46"/>
  <c r="J101" i="46"/>
  <c r="G101" i="46"/>
  <c r="C101" i="46"/>
  <c r="H22" i="46"/>
  <c r="AB11" i="46"/>
  <c r="AB13" i="46" s="1"/>
  <c r="S6" i="46"/>
  <c r="T6" i="46" s="1"/>
  <c r="V6" i="46" s="1"/>
  <c r="S2" i="46"/>
  <c r="T2" i="46" s="1"/>
  <c r="V2" i="46" s="1"/>
  <c r="AG11" i="46"/>
  <c r="AG13" i="46" s="1"/>
  <c r="E22" i="46"/>
  <c r="H101" i="46"/>
  <c r="D101" i="46"/>
  <c r="G22" i="46"/>
  <c r="J22" i="46"/>
  <c r="AE11" i="46"/>
  <c r="AE13" i="46" s="1"/>
  <c r="AJ11" i="46"/>
  <c r="AJ13" i="46" s="1"/>
  <c r="AF11" i="46"/>
  <c r="AF13" i="46" s="1"/>
  <c r="S7" i="46"/>
  <c r="T7" i="46" s="1"/>
  <c r="V7" i="46" s="1"/>
  <c r="Y11" i="46"/>
  <c r="Y13" i="46" s="1"/>
  <c r="AC11" i="46"/>
  <c r="AC13" i="46" s="1"/>
  <c r="M101" i="46"/>
  <c r="I101" i="46"/>
  <c r="E35" i="46"/>
  <c r="G35" i="46"/>
  <c r="I35" i="46" s="1"/>
  <c r="E34" i="46"/>
  <c r="G34" i="46"/>
  <c r="I34" i="46" s="1"/>
  <c r="M7" i="1"/>
  <c r="G16" i="1"/>
  <c r="AP16" i="1"/>
  <c r="F22" i="11" s="1"/>
  <c r="H16" i="1"/>
  <c r="Q16" i="1"/>
  <c r="F7" i="35"/>
  <c r="E13" i="3" l="1"/>
  <c r="AT6" i="3"/>
  <c r="H7" i="21"/>
  <c r="K67" i="40"/>
  <c r="L65" i="40"/>
  <c r="K16" i="1"/>
  <c r="Q77" i="44"/>
  <c r="N103" i="46"/>
  <c r="N104" i="46"/>
  <c r="N106" i="46"/>
  <c r="N109" i="46"/>
  <c r="N102" i="46"/>
  <c r="N105" i="46"/>
  <c r="N107" i="46"/>
  <c r="E63" i="39"/>
  <c r="E58" i="40"/>
  <c r="D12" i="11"/>
  <c r="C12" i="11" s="1"/>
  <c r="D21" i="12"/>
  <c r="C21" i="12" s="1"/>
  <c r="E59" i="40"/>
  <c r="E64" i="39"/>
  <c r="E52" i="33"/>
  <c r="F52" i="33" s="1"/>
  <c r="E53" i="33"/>
  <c r="F53" i="33" s="1"/>
  <c r="G72" i="39"/>
  <c r="H70" i="39"/>
  <c r="AY6" i="3"/>
  <c r="E3" i="6"/>
  <c r="C33" i="78" s="1"/>
  <c r="O14" i="1"/>
  <c r="P14" i="1" s="1"/>
  <c r="AB7" i="35"/>
  <c r="T38" i="35" s="1"/>
  <c r="G38" i="35" s="1"/>
  <c r="U7" i="35"/>
  <c r="E413"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11" i="3"/>
  <c r="E395" i="3"/>
  <c r="E250" i="3"/>
  <c r="E443" i="3"/>
  <c r="E156" i="3"/>
  <c r="E265" i="3"/>
  <c r="E381" i="3"/>
  <c r="E194" i="3"/>
  <c r="E49" i="3"/>
  <c r="AM6" i="3"/>
  <c r="E427" i="3"/>
  <c r="E78" i="3"/>
  <c r="E193" i="3"/>
  <c r="E337" i="3"/>
  <c r="E278" i="3"/>
  <c r="E390" i="3"/>
  <c r="E104" i="3"/>
  <c r="E158" i="3"/>
  <c r="E94" i="3"/>
  <c r="E296"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476" i="3"/>
  <c r="E283" i="3"/>
  <c r="E23" i="3"/>
  <c r="E535"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AN6" i="3"/>
  <c r="K6" i="3"/>
  <c r="I53" i="33"/>
  <c r="J53" i="33" s="1"/>
  <c r="C50" i="34"/>
  <c r="B3" i="34" s="1"/>
  <c r="B2" i="34" s="1"/>
  <c r="C49" i="34"/>
  <c r="I42" i="35"/>
  <c r="J42" i="35" s="1"/>
  <c r="O7" i="1"/>
  <c r="O16" i="1" s="1"/>
  <c r="M16" i="1"/>
  <c r="C15" i="43"/>
  <c r="I105" i="46"/>
  <c r="I104" i="46"/>
  <c r="I103" i="46"/>
  <c r="I106" i="46"/>
  <c r="I109" i="46"/>
  <c r="I102" i="46"/>
  <c r="I107" i="46"/>
  <c r="D106" i="46"/>
  <c r="D105" i="46"/>
  <c r="D107" i="46"/>
  <c r="D102" i="46"/>
  <c r="D104" i="46"/>
  <c r="D103" i="46"/>
  <c r="D109" i="46"/>
  <c r="D22" i="46"/>
  <c r="C104" i="46"/>
  <c r="C107" i="46"/>
  <c r="C109" i="46"/>
  <c r="C103" i="46"/>
  <c r="C105" i="46"/>
  <c r="C106" i="46"/>
  <c r="C102" i="46"/>
  <c r="J107" i="46"/>
  <c r="J106" i="46"/>
  <c r="J103" i="46"/>
  <c r="J102" i="46"/>
  <c r="J104" i="46"/>
  <c r="J105" i="46"/>
  <c r="J109" i="46"/>
  <c r="S7" i="35"/>
  <c r="AA7" i="35"/>
  <c r="R38" i="35" s="1"/>
  <c r="F18" i="11"/>
  <c r="C18" i="11" s="1"/>
  <c r="C19" i="11" s="1"/>
  <c r="F33" i="12"/>
  <c r="C34" i="12" s="1"/>
  <c r="D33" i="12" s="1"/>
  <c r="F24" i="43"/>
  <c r="C26" i="43" s="1"/>
  <c r="D24" i="43" s="1"/>
  <c r="F12" i="40"/>
  <c r="J12" i="39"/>
  <c r="J12" i="40"/>
  <c r="H12" i="39"/>
  <c r="H12" i="40"/>
  <c r="F12" i="39"/>
  <c r="M107" i="46"/>
  <c r="M102" i="46"/>
  <c r="M109" i="46"/>
  <c r="M106" i="46"/>
  <c r="M104" i="46"/>
  <c r="M105" i="46"/>
  <c r="M103" i="46"/>
  <c r="H102" i="46"/>
  <c r="H107" i="46"/>
  <c r="H103" i="46"/>
  <c r="H105" i="46"/>
  <c r="H109" i="46"/>
  <c r="H104" i="46"/>
  <c r="H106" i="46"/>
  <c r="G103" i="46"/>
  <c r="G106" i="46"/>
  <c r="G104" i="46"/>
  <c r="G102" i="46"/>
  <c r="G105"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5" i="46"/>
  <c r="K103" i="46"/>
  <c r="K109" i="46"/>
  <c r="K104" i="46"/>
  <c r="F106" i="46"/>
  <c r="F103" i="46"/>
  <c r="F104" i="46"/>
  <c r="F107" i="46"/>
  <c r="F102" i="46"/>
  <c r="F109" i="46"/>
  <c r="F105" i="46"/>
  <c r="C29" i="46"/>
  <c r="E65" i="39"/>
  <c r="E60" i="40"/>
  <c r="E61" i="40"/>
  <c r="E66" i="39"/>
  <c r="F27" i="6"/>
  <c r="F31" i="6" s="1"/>
  <c r="E58" i="39"/>
  <c r="E53" i="40"/>
  <c r="E16" i="6"/>
  <c r="E67" i="39"/>
  <c r="E62" i="40"/>
  <c r="S7" i="21"/>
  <c r="AA7" i="21"/>
  <c r="C49" i="33"/>
  <c r="B3" i="33" s="1"/>
  <c r="B2" i="33" s="1"/>
  <c r="C48" i="33"/>
  <c r="I52" i="37"/>
  <c r="AC7" i="21"/>
  <c r="W7" i="21"/>
  <c r="E54" i="34"/>
  <c r="F54" i="34" s="1"/>
  <c r="E53" i="34"/>
  <c r="F53" i="34" s="1"/>
  <c r="U7" i="21"/>
  <c r="AB7" i="21"/>
  <c r="J33" i="78" l="1"/>
  <c r="H33" i="78"/>
  <c r="F33" i="78"/>
  <c r="C33" i="77"/>
  <c r="L67" i="40"/>
  <c r="M65" i="40"/>
  <c r="E27" i="6"/>
  <c r="C33" i="21"/>
  <c r="P7" i="1"/>
  <c r="C115" i="46"/>
  <c r="D113" i="46" s="1"/>
  <c r="AA12" i="39"/>
  <c r="S12" i="39"/>
  <c r="U12" i="39"/>
  <c r="AB12" i="39"/>
  <c r="W12" i="39"/>
  <c r="AC12" i="39"/>
  <c r="C20" i="11"/>
  <c r="C21" i="11" s="1"/>
  <c r="C22" i="11" s="1"/>
  <c r="C23" i="11" s="1"/>
  <c r="B2" i="11" s="1"/>
  <c r="H6" i="3"/>
  <c r="AC6" i="3"/>
  <c r="S10" i="1"/>
  <c r="L38" i="9"/>
  <c r="B14" i="66" s="1"/>
  <c r="B1" i="66" s="1"/>
  <c r="D16" i="43"/>
  <c r="C16" i="43" s="1"/>
  <c r="D16" i="12"/>
  <c r="E6" i="6"/>
  <c r="D45" i="9"/>
  <c r="C21" i="4"/>
  <c r="O5" i="54" s="1"/>
  <c r="B45" i="63" s="1"/>
  <c r="D10" i="11"/>
  <c r="H72" i="39"/>
  <c r="I70" i="39"/>
  <c r="J52" i="37"/>
  <c r="E68" i="39"/>
  <c r="C30" i="46"/>
  <c r="E30" i="46" s="1"/>
  <c r="C27" i="46" s="1"/>
  <c r="E29" i="46"/>
  <c r="AB12" i="40"/>
  <c r="U12" i="40"/>
  <c r="W12" i="40"/>
  <c r="AC12" i="40"/>
  <c r="S12" i="40"/>
  <c r="AA12" i="40"/>
  <c r="E38" i="35"/>
  <c r="R39" i="35"/>
  <c r="L16" i="1"/>
  <c r="C13" i="43"/>
  <c r="N16" i="1"/>
  <c r="C29" i="43" s="1"/>
  <c r="G42" i="35"/>
  <c r="H42" i="35" s="1"/>
  <c r="G43" i="35"/>
  <c r="H43" i="3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F7" i="67"/>
  <c r="C19" i="44"/>
  <c r="AB33" i="78" l="1"/>
  <c r="U33" i="78"/>
  <c r="AA33" i="78"/>
  <c r="S33" i="78"/>
  <c r="AC33" i="78"/>
  <c r="W33" i="78"/>
  <c r="C40" i="39"/>
  <c r="I7" i="6"/>
  <c r="M67" i="40"/>
  <c r="N65" i="40"/>
  <c r="N67" i="40" s="1"/>
  <c r="H9" i="40"/>
  <c r="J9" i="40"/>
  <c r="F9" i="40"/>
  <c r="H33" i="77"/>
  <c r="J33" i="77"/>
  <c r="F33" i="77"/>
  <c r="E31" i="6"/>
  <c r="K25" i="6"/>
  <c r="M25" i="6" s="1"/>
  <c r="I25" i="6" s="1"/>
  <c r="S25" i="6" s="1"/>
  <c r="K24" i="6"/>
  <c r="M24" i="6" s="1"/>
  <c r="I24" i="6" s="1"/>
  <c r="S24" i="6" s="1"/>
  <c r="K19" i="6"/>
  <c r="K22" i="6"/>
  <c r="K23" i="6"/>
  <c r="M23" i="6" s="1"/>
  <c r="I23" i="6" s="1"/>
  <c r="S23" i="6" s="1"/>
  <c r="K21" i="6"/>
  <c r="K20" i="6"/>
  <c r="K26" i="6"/>
  <c r="M26" i="6" s="1"/>
  <c r="I26" i="6" s="1"/>
  <c r="S26" i="6" s="1"/>
  <c r="J33" i="21"/>
  <c r="F33" i="21"/>
  <c r="H33" i="21"/>
  <c r="P16" i="1"/>
  <c r="C13" i="12" s="1"/>
  <c r="C15" i="12"/>
  <c r="E4" i="67"/>
  <c r="E43" i="35"/>
  <c r="F43" i="35" s="1"/>
  <c r="E42" i="35"/>
  <c r="F42" i="35" s="1"/>
  <c r="I43" i="35"/>
  <c r="J43" i="35" s="1"/>
  <c r="D19" i="12"/>
  <c r="C19" i="12" s="1"/>
  <c r="C16" i="12"/>
  <c r="C7" i="66"/>
  <c r="E6" i="3"/>
  <c r="K38" i="9"/>
  <c r="C14" i="66" s="1"/>
  <c r="B2" i="66" s="1"/>
  <c r="H23" i="6"/>
  <c r="D23" i="6"/>
  <c r="D19" i="6"/>
  <c r="D21" i="6"/>
  <c r="D25" i="6"/>
  <c r="D10" i="6"/>
  <c r="D13" i="6"/>
  <c r="H24" i="6"/>
  <c r="D6" i="6"/>
  <c r="D5" i="6"/>
  <c r="D29" i="6"/>
  <c r="D15" i="6"/>
  <c r="H26" i="6"/>
  <c r="C22" i="4"/>
  <c r="D26" i="6"/>
  <c r="D11" i="6"/>
  <c r="D9" i="6"/>
  <c r="D28" i="6"/>
  <c r="D20" i="6"/>
  <c r="E63" i="40"/>
  <c r="D24" i="6"/>
  <c r="D22" i="6"/>
  <c r="D12" i="6"/>
  <c r="H25" i="6"/>
  <c r="D14" i="6"/>
  <c r="D8" i="6"/>
  <c r="E45" i="9"/>
  <c r="F45" i="9"/>
  <c r="C14" i="43"/>
  <c r="C17" i="43"/>
  <c r="C38" i="35"/>
  <c r="C39" i="35"/>
  <c r="B3" i="35" s="1"/>
  <c r="B2" i="35" s="1"/>
  <c r="C26" i="46"/>
  <c r="K52" i="37"/>
  <c r="I72" i="39"/>
  <c r="J70" i="39"/>
  <c r="D13" i="11"/>
  <c r="C13" i="11" s="1"/>
  <c r="D22" i="12"/>
  <c r="C22" i="12" s="1"/>
  <c r="C20" i="12" s="1"/>
  <c r="B3" i="11"/>
  <c r="B5" i="11"/>
  <c r="B4" i="11"/>
  <c r="E7" i="67"/>
  <c r="AC33" i="77" l="1"/>
  <c r="W33" i="77"/>
  <c r="AA9" i="40"/>
  <c r="R44" i="40" s="1"/>
  <c r="S9" i="40"/>
  <c r="AB9" i="40"/>
  <c r="T44" i="40" s="1"/>
  <c r="G44" i="40" s="1"/>
  <c r="G48" i="40" s="1"/>
  <c r="H48" i="40" s="1"/>
  <c r="U9" i="40"/>
  <c r="AA33" i="77"/>
  <c r="S33" i="77"/>
  <c r="AB33" i="77"/>
  <c r="U33" i="77"/>
  <c r="W9" i="40"/>
  <c r="AC9" i="40"/>
  <c r="V44" i="40" s="1"/>
  <c r="I44" i="40" s="1"/>
  <c r="F40" i="39"/>
  <c r="J40" i="39"/>
  <c r="H40" i="39"/>
  <c r="S7" i="1"/>
  <c r="M20" i="6"/>
  <c r="I20" i="6" s="1"/>
  <c r="S6" i="1"/>
  <c r="K27" i="6"/>
  <c r="M19" i="6"/>
  <c r="M21" i="6"/>
  <c r="I21" i="6" s="1"/>
  <c r="S8" i="1"/>
  <c r="M22" i="6"/>
  <c r="I22" i="6" s="1"/>
  <c r="S9" i="1"/>
  <c r="D30" i="6"/>
  <c r="R23" i="6"/>
  <c r="R10" i="1" s="1"/>
  <c r="AA33" i="21"/>
  <c r="S33" i="21"/>
  <c r="U33" i="21"/>
  <c r="AB33" i="21"/>
  <c r="W33" i="21"/>
  <c r="AC33" i="21"/>
  <c r="C17" i="12"/>
  <c r="C14" i="12"/>
  <c r="R25" i="6"/>
  <c r="R24" i="6"/>
  <c r="C18" i="43"/>
  <c r="C19" i="43" s="1"/>
  <c r="C22" i="43" s="1"/>
  <c r="C21" i="43" s="1"/>
  <c r="E3" i="67"/>
  <c r="L52" i="37"/>
  <c r="M52" i="37" s="1"/>
  <c r="N52" i="37" s="1"/>
  <c r="O52" i="37" s="1"/>
  <c r="J7" i="37" s="1"/>
  <c r="F7" i="37"/>
  <c r="A6" i="51"/>
  <c r="B7" i="63" s="1"/>
  <c r="A20" i="64"/>
  <c r="A20" i="51"/>
  <c r="B15" i="63" s="1"/>
  <c r="N5" i="54"/>
  <c r="B43" i="63" s="1"/>
  <c r="A6" i="64"/>
  <c r="D27" i="6"/>
  <c r="D31" i="6" s="1"/>
  <c r="D7" i="66"/>
  <c r="K70" i="39"/>
  <c r="J72" i="39"/>
  <c r="H7" i="37"/>
  <c r="B2" i="46"/>
  <c r="D16" i="6"/>
  <c r="R26" i="6"/>
  <c r="F37" i="44"/>
  <c r="C17" i="15"/>
  <c r="B7" i="67"/>
  <c r="M23" i="44"/>
  <c r="AB40" i="39" l="1"/>
  <c r="U40" i="39"/>
  <c r="AA40" i="39"/>
  <c r="S40" i="39"/>
  <c r="R45" i="40"/>
  <c r="E44" i="40"/>
  <c r="AC40" i="39"/>
  <c r="W40" i="39"/>
  <c r="G49" i="40"/>
  <c r="H49" i="40" s="1"/>
  <c r="I48" i="40"/>
  <c r="J48" i="40" s="1"/>
  <c r="S16" i="1"/>
  <c r="T9" i="1" s="1"/>
  <c r="S22" i="6"/>
  <c r="H22" i="6"/>
  <c r="R22" i="6" s="1"/>
  <c r="R9" i="1" s="1"/>
  <c r="S21" i="6"/>
  <c r="H21" i="6"/>
  <c r="R21" i="6" s="1"/>
  <c r="R8" i="1" s="1"/>
  <c r="S20" i="6"/>
  <c r="H20" i="6"/>
  <c r="R20" i="6" s="1"/>
  <c r="R7" i="1" s="1"/>
  <c r="M27" i="6"/>
  <c r="I19" i="6"/>
  <c r="J22" i="44"/>
  <c r="C36" i="44"/>
  <c r="C18" i="12"/>
  <c r="C23" i="12" s="1"/>
  <c r="B2" i="67"/>
  <c r="U7" i="37"/>
  <c r="AB7" i="37"/>
  <c r="T42" i="37" s="1"/>
  <c r="G42" i="37" s="1"/>
  <c r="K72" i="39"/>
  <c r="L70" i="39"/>
  <c r="C25" i="43"/>
  <c r="C24" i="43" s="1"/>
  <c r="C28" i="43" s="1"/>
  <c r="C30" i="43" s="1"/>
  <c r="C32" i="43" s="1"/>
  <c r="B2" i="43" s="1"/>
  <c r="AA7" i="37"/>
  <c r="R42" i="37" s="1"/>
  <c r="S7" i="37"/>
  <c r="B3" i="46"/>
  <c r="B4" i="46"/>
  <c r="D4" i="46"/>
  <c r="I5" i="6"/>
  <c r="I6" i="6"/>
  <c r="C11" i="78" s="1"/>
  <c r="AC7" i="37"/>
  <c r="V42" i="37" s="1"/>
  <c r="I42" i="37" s="1"/>
  <c r="W7" i="37"/>
  <c r="F35" i="15"/>
  <c r="M21" i="15"/>
  <c r="C14" i="15"/>
  <c r="H11" i="78" l="1"/>
  <c r="F11" i="78"/>
  <c r="J11" i="78"/>
  <c r="C34" i="15"/>
  <c r="F62" i="15"/>
  <c r="C61" i="15" s="1"/>
  <c r="J20" i="15"/>
  <c r="C13" i="39"/>
  <c r="J13" i="39" s="1"/>
  <c r="C11" i="77"/>
  <c r="C11" i="21"/>
  <c r="I49" i="40"/>
  <c r="J49" i="40" s="1"/>
  <c r="E48" i="40"/>
  <c r="F48" i="40" s="1"/>
  <c r="E49" i="40"/>
  <c r="F49" i="40" s="1"/>
  <c r="T6" i="1"/>
  <c r="C45" i="40"/>
  <c r="C44" i="40"/>
  <c r="C15" i="15"/>
  <c r="C18" i="15"/>
  <c r="T12" i="1"/>
  <c r="T11" i="1"/>
  <c r="T10" i="1"/>
  <c r="T13" i="1"/>
  <c r="T7" i="1"/>
  <c r="T8" i="1"/>
  <c r="H19" i="6"/>
  <c r="I27" i="6"/>
  <c r="S19" i="6"/>
  <c r="S27" i="6" s="1"/>
  <c r="H13" i="39"/>
  <c r="F13" i="39"/>
  <c r="B3" i="43"/>
  <c r="B4" i="43"/>
  <c r="B5" i="43"/>
  <c r="B4" i="67"/>
  <c r="B3" i="67"/>
  <c r="E42" i="37"/>
  <c r="I47" i="37" s="1"/>
  <c r="J47" i="37" s="1"/>
  <c r="R43" i="37"/>
  <c r="I46" i="37"/>
  <c r="J46" i="37" s="1"/>
  <c r="M70" i="39"/>
  <c r="L72" i="39"/>
  <c r="G46" i="37"/>
  <c r="H46" i="37" s="1"/>
  <c r="G47" i="37"/>
  <c r="H47" i="37" s="1"/>
  <c r="C16" i="44"/>
  <c r="AA11" i="78" l="1"/>
  <c r="R48" i="78" s="1"/>
  <c r="S11" i="78"/>
  <c r="AC11" i="78"/>
  <c r="V48" i="78" s="1"/>
  <c r="I48" i="78" s="1"/>
  <c r="W11" i="78"/>
  <c r="U11" i="78"/>
  <c r="AB11" i="78"/>
  <c r="T48" i="78" s="1"/>
  <c r="G48" i="78" s="1"/>
  <c r="T16" i="1"/>
  <c r="B61" i="40"/>
  <c r="F61" i="40" s="1"/>
  <c r="B54" i="40"/>
  <c r="F54" i="40" s="1"/>
  <c r="B53" i="40"/>
  <c r="F53" i="40" s="1"/>
  <c r="B56" i="40"/>
  <c r="F56" i="40" s="1"/>
  <c r="B58" i="40"/>
  <c r="F58" i="40" s="1"/>
  <c r="B55" i="40"/>
  <c r="F55" i="40" s="1"/>
  <c r="B57" i="40"/>
  <c r="F57" i="40" s="1"/>
  <c r="B60" i="40"/>
  <c r="F60" i="40" s="1"/>
  <c r="B59" i="40"/>
  <c r="F59" i="40" s="1"/>
  <c r="B62" i="40"/>
  <c r="F62" i="40" s="1"/>
  <c r="F63" i="40"/>
  <c r="B2" i="40" s="1"/>
  <c r="J11" i="77"/>
  <c r="F11" i="77"/>
  <c r="H11" i="77"/>
  <c r="C19" i="15"/>
  <c r="C20" i="15" s="1"/>
  <c r="C26" i="15" s="1"/>
  <c r="C20" i="44"/>
  <c r="C17" i="44"/>
  <c r="H27" i="6"/>
  <c r="R19" i="6"/>
  <c r="S13" i="39"/>
  <c r="AA13" i="39"/>
  <c r="AB13" i="39"/>
  <c r="U13" i="39"/>
  <c r="AC13" i="39"/>
  <c r="W13" i="39"/>
  <c r="F11" i="21"/>
  <c r="H11" i="21"/>
  <c r="J11" i="21"/>
  <c r="N70" i="39"/>
  <c r="N72" i="39" s="1"/>
  <c r="M72" i="39"/>
  <c r="E47" i="37"/>
  <c r="F47" i="37" s="1"/>
  <c r="E46" i="37"/>
  <c r="F46" i="37" s="1"/>
  <c r="C42" i="37"/>
  <c r="C43" i="37"/>
  <c r="B3" i="37" s="1"/>
  <c r="B2" i="37" s="1"/>
  <c r="G52" i="78" l="1"/>
  <c r="H52" i="78" s="1"/>
  <c r="G53" i="78"/>
  <c r="H53" i="78" s="1"/>
  <c r="I52" i="78"/>
  <c r="J52" i="78" s="1"/>
  <c r="E48" i="78"/>
  <c r="I53" i="78" s="1"/>
  <c r="J53" i="78" s="1"/>
  <c r="R49" i="78"/>
  <c r="AA11" i="77"/>
  <c r="R48" i="77" s="1"/>
  <c r="S11" i="77"/>
  <c r="AB11" i="77"/>
  <c r="T48" i="77" s="1"/>
  <c r="G48" i="77" s="1"/>
  <c r="U11" i="77"/>
  <c r="AC11" i="77"/>
  <c r="V48" i="77" s="1"/>
  <c r="I48" i="77" s="1"/>
  <c r="W11" i="77"/>
  <c r="B5" i="40"/>
  <c r="B3" i="40"/>
  <c r="B4" i="40"/>
  <c r="C23" i="15"/>
  <c r="C29" i="15" s="1"/>
  <c r="C36" i="15" s="1"/>
  <c r="C21" i="44"/>
  <c r="C22" i="44" s="1"/>
  <c r="C25" i="44" s="1"/>
  <c r="R6" i="1"/>
  <c r="R16" i="1" s="1"/>
  <c r="R27" i="6"/>
  <c r="W11" i="21"/>
  <c r="AC11" i="21"/>
  <c r="V48" i="21" s="1"/>
  <c r="I48" i="21" s="1"/>
  <c r="S11" i="21"/>
  <c r="AA11" i="21"/>
  <c r="R48" i="21" s="1"/>
  <c r="U11" i="21"/>
  <c r="AB11" i="21"/>
  <c r="T48" i="21" s="1"/>
  <c r="G48" i="21" s="1"/>
  <c r="C33" i="15"/>
  <c r="C31" i="15" s="1"/>
  <c r="F9" i="39"/>
  <c r="H9" i="39"/>
  <c r="J9" i="39"/>
  <c r="C49" i="78" l="1"/>
  <c r="B3" i="78" s="1"/>
  <c r="C48" i="78"/>
  <c r="E53" i="78"/>
  <c r="F53" i="78" s="1"/>
  <c r="E52" i="78"/>
  <c r="F52" i="78" s="1"/>
  <c r="I52" i="77"/>
  <c r="J52" i="77" s="1"/>
  <c r="G52" i="77"/>
  <c r="H52" i="77" s="1"/>
  <c r="G53" i="77"/>
  <c r="H53" i="77" s="1"/>
  <c r="E48" i="77"/>
  <c r="I53" i="77" s="1"/>
  <c r="J53" i="77" s="1"/>
  <c r="R49" i="77"/>
  <c r="Q50" i="15"/>
  <c r="J19" i="15"/>
  <c r="J17" i="15" s="1"/>
  <c r="C13" i="15"/>
  <c r="C55" i="15" s="1"/>
  <c r="C64" i="15" s="1"/>
  <c r="J14" i="15"/>
  <c r="J13" i="15" s="1"/>
  <c r="J23" i="15" s="1"/>
  <c r="C56" i="15"/>
  <c r="C63" i="15" s="1"/>
  <c r="C28" i="44"/>
  <c r="C31" i="44" s="1"/>
  <c r="G53" i="21"/>
  <c r="H53" i="21" s="1"/>
  <c r="G52" i="21"/>
  <c r="H52" i="21" s="1"/>
  <c r="E48" i="21"/>
  <c r="I53" i="21" s="1"/>
  <c r="J53" i="21" s="1"/>
  <c r="R49" i="21"/>
  <c r="I52" i="21"/>
  <c r="J52" i="21" s="1"/>
  <c r="AC9" i="39"/>
  <c r="V49" i="39" s="1"/>
  <c r="I49" i="39" s="1"/>
  <c r="W9" i="39"/>
  <c r="S9" i="39"/>
  <c r="AA9" i="39"/>
  <c r="R49" i="39" s="1"/>
  <c r="J22" i="15"/>
  <c r="C60" i="15"/>
  <c r="C58" i="15" s="1"/>
  <c r="U9" i="39"/>
  <c r="AB9" i="39"/>
  <c r="T49" i="39" s="1"/>
  <c r="G49" i="39" s="1"/>
  <c r="B2" i="78" l="1"/>
  <c r="C48" i="77"/>
  <c r="C49" i="77"/>
  <c r="B3" i="77" s="1"/>
  <c r="E52" i="77"/>
  <c r="F52" i="77" s="1"/>
  <c r="E53" i="77"/>
  <c r="F53" i="77" s="1"/>
  <c r="Q71" i="15"/>
  <c r="C37" i="15"/>
  <c r="C30" i="15" s="1"/>
  <c r="C39" i="15" s="1"/>
  <c r="J35" i="15"/>
  <c r="J16" i="44"/>
  <c r="C38" i="44"/>
  <c r="C15" i="44"/>
  <c r="J21" i="44"/>
  <c r="J19" i="44" s="1"/>
  <c r="Q51" i="44"/>
  <c r="C35" i="44"/>
  <c r="C33" i="44" s="1"/>
  <c r="C49" i="21"/>
  <c r="B3" i="21" s="1"/>
  <c r="E8" i="12" s="1"/>
  <c r="C48" i="21"/>
  <c r="E53" i="21"/>
  <c r="F53" i="21" s="1"/>
  <c r="E52" i="21"/>
  <c r="F52" i="21" s="1"/>
  <c r="J16" i="15"/>
  <c r="J25" i="15" s="1"/>
  <c r="I53" i="39"/>
  <c r="J53" i="39" s="1"/>
  <c r="G53" i="39"/>
  <c r="H53" i="39" s="1"/>
  <c r="G54" i="39"/>
  <c r="H54" i="39" s="1"/>
  <c r="C57" i="15"/>
  <c r="C66" i="15" s="1"/>
  <c r="C67" i="15" s="1"/>
  <c r="R50" i="39"/>
  <c r="E49" i="39"/>
  <c r="L51" i="15"/>
  <c r="C8" i="12" l="1"/>
  <c r="B2" i="77"/>
  <c r="C10" i="12" s="1"/>
  <c r="J39" i="15"/>
  <c r="J40" i="15" s="1"/>
  <c r="Q70" i="15"/>
  <c r="Q69" i="15" s="1"/>
  <c r="C40" i="15"/>
  <c r="Q66" i="15" s="1"/>
  <c r="C39" i="44"/>
  <c r="C32" i="44" s="1"/>
  <c r="C42" i="44" s="1"/>
  <c r="C43" i="44"/>
  <c r="Q72" i="44"/>
  <c r="J15" i="44"/>
  <c r="J25" i="44" s="1"/>
  <c r="J24" i="44"/>
  <c r="B2" i="21"/>
  <c r="E10" i="12" s="1"/>
  <c r="Q68" i="15"/>
  <c r="L57" i="15"/>
  <c r="L60" i="15" s="1"/>
  <c r="C50" i="39"/>
  <c r="C49" i="39"/>
  <c r="E54" i="39"/>
  <c r="F54" i="39" s="1"/>
  <c r="E53" i="39"/>
  <c r="F53" i="39" s="1"/>
  <c r="C70" i="15"/>
  <c r="C46" i="15"/>
  <c r="I54" i="39"/>
  <c r="J54" i="39" s="1"/>
  <c r="Q48" i="15"/>
  <c r="Q54" i="15" s="1"/>
  <c r="B2" i="15" l="1"/>
  <c r="B3" i="15" s="1"/>
  <c r="F8" i="12" s="1"/>
  <c r="C43" i="15"/>
  <c r="J42" i="15"/>
  <c r="J43" i="15" s="1"/>
  <c r="Q57" i="15"/>
  <c r="J18" i="44"/>
  <c r="J27" i="44" s="1"/>
  <c r="C44" i="44"/>
  <c r="C45" i="44" s="1"/>
  <c r="B2" i="44" s="1"/>
  <c r="Q71" i="44"/>
  <c r="Q70" i="44" s="1"/>
  <c r="B66" i="39"/>
  <c r="F66" i="39" s="1"/>
  <c r="B64" i="39"/>
  <c r="F64" i="39" s="1"/>
  <c r="B61" i="39"/>
  <c r="F61" i="39" s="1"/>
  <c r="B65" i="39"/>
  <c r="F65" i="39" s="1"/>
  <c r="B59" i="39"/>
  <c r="F59" i="39" s="1"/>
  <c r="B58" i="39"/>
  <c r="F58" i="39" s="1"/>
  <c r="B63" i="39"/>
  <c r="F63" i="39" s="1"/>
  <c r="B62" i="39"/>
  <c r="F62" i="39" s="1"/>
  <c r="B60" i="39"/>
  <c r="F60" i="39" s="1"/>
  <c r="B67" i="39"/>
  <c r="F67" i="39" s="1"/>
  <c r="Q58" i="15"/>
  <c r="Q67" i="15"/>
  <c r="Q76" i="15" s="1"/>
  <c r="Q63" i="15" l="1"/>
  <c r="F10" i="12"/>
  <c r="B4" i="44"/>
  <c r="B5" i="44"/>
  <c r="B3" i="44"/>
  <c r="C6" i="12"/>
  <c r="C29" i="12" s="1"/>
  <c r="F68" i="39"/>
  <c r="B2" i="39" s="1"/>
  <c r="C19" i="9"/>
  <c r="C24" i="12" l="1"/>
  <c r="C35" i="12" s="1"/>
  <c r="C33" i="12" s="1"/>
  <c r="L43" i="9"/>
  <c r="B4" i="39"/>
  <c r="B3" i="39"/>
  <c r="B5" i="39"/>
  <c r="C21" i="9"/>
  <c r="C20" i="9"/>
  <c r="C28" i="12" l="1"/>
  <c r="C26" i="12" s="1"/>
  <c r="C31" i="12" s="1"/>
  <c r="C30" i="12" s="1"/>
  <c r="C36" i="12" s="1"/>
  <c r="B2" i="12" s="1"/>
  <c r="B5" i="12" s="1"/>
  <c r="D19" i="9"/>
  <c r="B3" i="12" l="1"/>
  <c r="L44" i="9"/>
  <c r="G19" i="9"/>
  <c r="D22" i="9"/>
  <c r="B4" i="12"/>
  <c r="D20" i="9"/>
  <c r="D21" i="9"/>
  <c r="G22" i="9" l="1"/>
  <c r="K19" i="9"/>
  <c r="G20" i="9"/>
  <c r="G21" i="9"/>
  <c r="C32" i="9"/>
  <c r="N43" i="9"/>
  <c r="O38" i="9" l="1"/>
  <c r="O43" i="9"/>
  <c r="C33" i="9"/>
  <c r="C34" i="9"/>
  <c r="C42" i="9"/>
  <c r="C35" i="9"/>
  <c r="F42" i="9" s="1"/>
  <c r="E42" i="9" l="1"/>
  <c r="P5" i="54" s="1"/>
  <c r="B46" i="63" s="1"/>
  <c r="M38" i="9"/>
  <c r="K27" i="9" s="1"/>
  <c r="C44" i="9"/>
  <c r="R5" i="54"/>
  <c r="B48" i="63" s="1"/>
  <c r="N68" i="9"/>
  <c r="D14" i="66"/>
  <c r="D63" i="9"/>
  <c r="D42" i="9"/>
  <c r="Q5" i="54" s="1"/>
  <c r="B47" i="63" s="1"/>
  <c r="N38" i="9"/>
  <c r="K28" i="9" s="1"/>
  <c r="K26" i="9"/>
  <c r="K25" i="9"/>
  <c r="E14" i="66" l="1"/>
  <c r="B5" i="66"/>
  <c r="F14" i="66"/>
  <c r="C96" i="9"/>
  <c r="C91" i="9" s="1"/>
  <c r="C90" i="9"/>
  <c r="D71" i="9"/>
  <c r="D66" i="9" s="1"/>
  <c r="N72" i="9" s="1"/>
  <c r="D70" i="9"/>
  <c r="C103" i="9"/>
  <c r="C111" i="9"/>
  <c r="C104" i="9" s="1"/>
  <c r="D77" i="9"/>
  <c r="N75" i="9" s="1"/>
  <c r="C82" i="9"/>
  <c r="C81" i="9" s="1"/>
  <c r="C85" i="9" s="1"/>
  <c r="C86" i="9" s="1"/>
  <c r="D72" i="9" s="1"/>
  <c r="N69" i="9"/>
  <c r="D44" i="9"/>
  <c r="F44" i="9"/>
  <c r="G14" i="66"/>
  <c r="B6" i="66" s="1"/>
  <c r="O39" i="9"/>
  <c r="E44" i="9"/>
  <c r="C97" i="9" l="1"/>
  <c r="C98" i="9" s="1"/>
  <c r="E98" i="9" s="1"/>
  <c r="E99" i="9" s="1"/>
  <c r="R6" i="54"/>
  <c r="B50" i="63" s="1"/>
  <c r="K29" i="9"/>
  <c r="K30" i="9" s="1"/>
  <c r="M86" i="9"/>
  <c r="N86" i="9" s="1"/>
  <c r="M85" i="9"/>
  <c r="N85" i="9" s="1"/>
  <c r="M87" i="9"/>
  <c r="N87" i="9" s="1"/>
  <c r="M88" i="9"/>
  <c r="N88" i="9" s="1"/>
  <c r="M84" i="9"/>
  <c r="N84" i="9" s="1"/>
  <c r="M83" i="9"/>
  <c r="N83" i="9" s="1"/>
  <c r="C113" i="9"/>
  <c r="C114" i="9" s="1"/>
  <c r="E114" i="9" s="1"/>
  <c r="E115" i="9" s="1"/>
  <c r="D5" i="66"/>
  <c r="C5" i="66"/>
  <c r="C6" i="66"/>
  <c r="D6" i="66"/>
  <c r="C115" i="9" l="1"/>
  <c r="D76" i="9" s="1"/>
  <c r="D74" i="9" s="1"/>
  <c r="N74" i="9" s="1"/>
  <c r="O77" i="9" s="1"/>
  <c r="Q77" i="9" s="1"/>
  <c r="N89" i="9"/>
  <c r="O89" i="9" s="1"/>
  <c r="C99" i="9"/>
  <c r="O79" i="9" l="1"/>
  <c r="C46" i="9" s="1"/>
  <c r="O78" i="9"/>
  <c r="K33" i="9"/>
  <c r="K34" i="9" s="1"/>
  <c r="O41" i="9"/>
  <c r="R8" i="54" s="1"/>
  <c r="B54" i="63" s="1"/>
  <c r="I14" i="66"/>
  <c r="B8" i="66" s="1"/>
  <c r="D46" i="9"/>
  <c r="E46" i="9"/>
  <c r="F46" i="9"/>
  <c r="O81" i="9" l="1"/>
  <c r="O80"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<sst xmlns="http://schemas.openxmlformats.org/spreadsheetml/2006/main" count="8781" uniqueCount="3552">
  <si>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</si>
  <si>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</si>
  <si>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</si>
  <si>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</si>
  <si>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</si>
  <si>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</si>
  <si>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</si>
  <si>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</si>
  <si>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</si>
  <si>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</si>
  <si>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</si>
  <si>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</si>
  <si>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</si>
  <si>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</si>
  <si>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</si>
  <si>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</si>
  <si>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</si>
  <si>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</si>
  <si>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</si>
  <si>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</si>
  <si>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</si>
  <si>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</si>
  <si>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</si>
  <si>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</si>
  <si>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</si>
  <si>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</si>
  <si>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</si>
  <si>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</si>
  <si>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</si>
  <si>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</si>
  <si>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</si>
  <si>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</si>
  <si>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</si>
  <si>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</si>
  <si>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</si>
  <si>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</si>
  <si>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</si>
  <si>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</si>
  <si>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</si>
  <si>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</si>
  <si>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</si>
  <si>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</si>
  <si>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</si>
  <si>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</si>
  <si>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</si>
  <si>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</si>
  <si>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</si>
  <si>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</si>
  <si>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</si>
  <si>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</si>
  <si>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</si>
  <si>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</si>
  <si>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</si>
  <si>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</si>
  <si>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</si>
  <si>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</si>
  <si>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</si>
  <si>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</si>
  <si>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</si>
  <si>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</si>
  <si>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</si>
  <si>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</si>
  <si>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</si>
  <si>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</si>
  <si>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</si>
  <si>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</si>
  <si>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</si>
  <si>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</si>
  <si>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</si>
  <si>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</si>
  <si>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</si>
  <si>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</si>
  <si>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</si>
  <si>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</si>
  <si>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</si>
  <si>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</si>
  <si>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</si>
  <si>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</si>
  <si>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</si>
  <si>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</si>
  <si>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</si>
  <si>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</si>
  <si>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</si>
  <si>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</si>
  <si>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</si>
  <si>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</si>
  <si>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</si>
  <si>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</si>
  <si>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</si>
  <si>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</si>
  <si>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</si>
  <si>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</si>
  <si>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</si>
  <si>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</si>
  <si>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</si>
  <si>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</si>
  <si>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</si>
  <si>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</si>
  <si>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</si>
  <si>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</si>
  <si>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</si>
  <si>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</si>
  <si>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</si>
  <si>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</si>
  <si>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</si>
  <si>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</si>
  <si>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</si>
  <si>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</si>
  <si>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</si>
  <si>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</si>
  <si>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</si>
  <si>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</si>
  <si>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</si>
  <si>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</si>
  <si>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</si>
  <si>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</si>
  <si>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</si>
  <si>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</si>
  <si>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</si>
  <si>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</si>
  <si>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</si>
  <si>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</si>
  <si>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</si>
  <si>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</si>
  <si>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</si>
  <si>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</si>
  <si>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</si>
  <si>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</si>
  <si>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</si>
  <si>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</si>
  <si>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</si>
  <si>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</si>
  <si>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</si>
  <si>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</si>
  <si>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</si>
  <si>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</si>
  <si>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</si>
  <si>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</si>
  <si>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</si>
  <si>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</si>
  <si>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</si>
  <si>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</si>
  <si>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</si>
  <si>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</si>
  <si>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</si>
  <si>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</si>
  <si>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</si>
  <si>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</si>
  <si>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</si>
  <si>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</si>
  <si>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</si>
  <si>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</si>
  <si>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</si>
  <si>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</si>
  <si>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</si>
  <si>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</si>
  <si>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</si>
  <si>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</si>
  <si>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</si>
  <si>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</si>
  <si>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</si>
  <si>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</si>
  <si>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</si>
  <si>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</si>
  <si>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</si>
  <si>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</si>
  <si>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</si>
  <si>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</si>
  <si>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</si>
  <si>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</si>
  <si>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</si>
  <si>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</si>
  <si>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</si>
  <si>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</si>
  <si>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</si>
  <si>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</si>
  <si>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</si>
  <si>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</si>
  <si>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</si>
  <si>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</si>
  <si>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</si>
  <si>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</si>
  <si>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</si>
  <si>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</si>
  <si>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</si>
  <si>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</si>
  <si>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</si>
  <si>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</si>
  <si>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</si>
  <si>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</si>
  <si>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</si>
  <si>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</si>
  <si>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</si>
  <si>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</si>
  <si>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</si>
  <si>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</si>
  <si>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</si>
  <si>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</si>
  <si>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</si>
  <si>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</si>
  <si>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</si>
  <si>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</si>
  <si>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</si>
  <si>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</si>
  <si>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</si>
  <si>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</si>
  <si>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</si>
  <si>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</si>
  <si>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</si>
  <si>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</si>
  <si>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</si>
  <si>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</si>
  <si>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</si>
  <si>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</si>
  <si>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</si>
  <si>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</si>
  <si>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</si>
  <si>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</si>
  <si>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</si>
  <si>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</si>
  <si>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</si>
  <si>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</si>
  <si>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</si>
  <si>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</si>
  <si>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</si>
  <si>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</si>
  <si>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</si>
  <si>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</si>
  <si>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</si>
  <si>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</si>
  <si>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</si>
  <si>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</si>
  <si>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</si>
  <si>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</si>
  <si>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</si>
  <si>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</si>
  <si>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</si>
  <si>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</si>
  <si>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</si>
  <si>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</si>
  <si>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</si>
  <si>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</si>
  <si>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</si>
  <si>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</si>
  <si>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</si>
  <si>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</si>
  <si>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</si>
  <si>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</si>
  <si>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</si>
  <si>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</si>
  <si>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</si>
  <si>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</si>
  <si>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</si>
  <si>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</si>
  <si>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</si>
  <si>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</si>
  <si>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</si>
  <si>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</si>
  <si>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</si>
  <si>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</si>
  <si>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</si>
  <si>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</si>
  <si>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</si>
  <si>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</si>
  <si>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</si>
  <si>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</si>
  <si>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</si>
  <si>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</si>
  <si>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</si>
  <si>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</si>
  <si>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</si>
  <si>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</si>
  <si>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</si>
  <si>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</si>
  <si>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</si>
  <si>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</si>
  <si>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</si>
  <si>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</si>
  <si>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</si>
  <si>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</si>
  <si>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</si>
  <si>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</si>
  <si>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</si>
  <si>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</si>
  <si>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</si>
  <si>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</si>
  <si>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</si>
  <si>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</si>
  <si>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</si>
  <si>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</si>
  <si>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</si>
  <si>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</si>
  <si>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</si>
  <si>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</si>
  <si>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</si>
  <si>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</si>
  <si>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</si>
  <si>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</si>
  <si>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</si>
  <si>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</si>
  <si>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</si>
  <si>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</si>
  <si>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</si>
  <si>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</si>
  <si>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</si>
  <si>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</si>
  <si>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</si>
  <si>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</si>
  <si>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</si>
  <si>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</si>
  <si>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</si>
  <si>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</si>
  <si>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</si>
  <si>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</si>
  <si>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</si>
  <si>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</si>
  <si>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</si>
  <si>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</si>
  <si>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</si>
  <si>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</si>
  <si>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</si>
  <si>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</si>
  <si>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</si>
  <si>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</si>
  <si>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</si>
  <si>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</si>
  <si>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</si>
  <si>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</si>
  <si>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</si>
  <si>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</si>
  <si>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</si>
  <si>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</si>
  <si>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</si>
  <si>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</si>
  <si>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</si>
  <si>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</si>
  <si>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</si>
  <si>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</si>
  <si>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</si>
  <si>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</si>
  <si>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</si>
  <si>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</si>
  <si>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</si>
  <si>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</si>
  <si>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</si>
  <si>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</si>
  <si>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</si>
  <si>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</si>
  <si>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</si>
  <si>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</si>
  <si>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</si>
  <si>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</si>
  <si>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</si>
  <si>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</si>
  <si>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</si>
  <si>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</si>
  <si>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</si>
  <si>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</si>
  <si>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</si>
  <si>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</si>
  <si>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</si>
  <si>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</si>
  <si>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</si>
  <si>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</si>
  <si>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</si>
  <si>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</si>
  <si>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</si>
  <si>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</si>
  <si>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</si>
  <si>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</si>
  <si>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</si>
  <si>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</si>
  <si>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</si>
  <si>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</si>
  <si>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</si>
  <si>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</si>
  <si>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</si>
  <si>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</si>
  <si>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</si>
  <si>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</si>
  <si>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</si>
  <si>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</si>
  <si>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</si>
  <si>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</si>
  <si>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</si>
  <si>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</si>
  <si>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</si>
  <si>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</si>
  <si>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</si>
  <si>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</si>
  <si>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</si>
  <si>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</si>
  <si>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</si>
  <si>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</si>
  <si>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</si>
  <si>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</si>
  <si>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</si>
  <si>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</si>
  <si>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</si>
  <si>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</si>
  <si>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</si>
  <si>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</si>
  <si>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</si>
  <si>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</si>
  <si>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</si>
  <si>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</si>
  <si>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</si>
  <si>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</si>
  <si>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</si>
  <si>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</si>
  <si>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</si>
  <si>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</si>
  <si>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</si>
  <si>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</si>
  <si>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</si>
  <si>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</si>
  <si>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</si>
  <si>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</si>
  <si>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</si>
  <si>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</si>
  <si>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</si>
  <si>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</si>
  <si>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</si>
  <si>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</si>
  <si>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</si>
  <si>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</si>
  <si>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</si>
  <si>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</si>
  <si>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</si>
  <si>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</si>
  <si>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</si>
  <si>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</si>
  <si>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</si>
  <si>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</si>
  <si>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</si>
  <si>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</si>
  <si>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</si>
  <si>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</si>
  <si>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</si>
  <si>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</si>
  <si>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</si>
  <si>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</si>
  <si>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</si>
  <si>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</si>
  <si>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</si>
  <si>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</si>
  <si>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</si>
  <si>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</si>
  <si>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</si>
  <si>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</si>
  <si>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</si>
  <si>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</si>
  <si>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</si>
  <si>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</si>
  <si>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</si>
  <si>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</si>
  <si>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</si>
  <si>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</si>
  <si>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</si>
  <si>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</si>
  <si>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</si>
  <si>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</si>
  <si>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</si>
  <si>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</si>
  <si>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</si>
  <si>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</si>
  <si>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</si>
  <si>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</si>
  <si>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</si>
  <si>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</si>
  <si>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</si>
  <si>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</si>
  <si>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</si>
  <si>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</si>
  <si>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</si>
  <si>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</si>
  <si>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</si>
  <si>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</si>
  <si>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</si>
  <si>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</si>
  <si>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</si>
  <si>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</si>
  <si>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</si>
  <si>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</si>
  <si>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</si>
  <si>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</si>
  <si>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</si>
  <si>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</si>
  <si>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</si>
  <si>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</si>
  <si>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</si>
  <si>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</si>
  <si>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</si>
  <si>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</si>
  <si>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</si>
  <si>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</si>
  <si>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</si>
  <si>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</si>
  <si>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</si>
  <si>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</si>
  <si>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</si>
  <si>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</si>
  <si>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</si>
  <si>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</si>
  <si>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</si>
  <si>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</si>
  <si>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</si>
  <si>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</si>
  <si>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</si>
  <si>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</si>
  <si>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</si>
  <si>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</si>
  <si>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</si>
  <si>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</si>
  <si>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</si>
  <si>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</si>
  <si>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</si>
  <si>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</si>
  <si>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</si>
  <si>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</si>
  <si>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</si>
  <si>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</si>
  <si>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</si>
  <si>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</si>
  <si>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</si>
  <si>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</si>
  <si>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</si>
  <si>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</si>
  <si>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</si>
  <si>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</si>
  <si>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</si>
  <si>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</si>
  <si>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</si>
  <si>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</si>
  <si>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</si>
  <si>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</si>
  <si>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</si>
  <si>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</si>
  <si>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</si>
  <si>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</si>
  <si>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</si>
  <si>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</si>
  <si>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</si>
  <si>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</si>
  <si>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</si>
  <si>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</si>
  <si>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</si>
  <si>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</si>
  <si>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</si>
  <si>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</si>
  <si>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</si>
  <si>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</si>
  <si>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</si>
  <si>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</si>
  <si>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</si>
  <si>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</si>
  <si>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</si>
  <si>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</si>
  <si>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</si>
  <si>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</si>
  <si>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</si>
  <si>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</si>
  <si>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</si>
  <si>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</si>
  <si>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</si>
  <si>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</si>
  <si>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</si>
  <si>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</si>
  <si>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</si>
  <si>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</si>
  <si>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</si>
  <si>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</si>
  <si>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</si>
  <si>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</si>
  <si>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</si>
  <si>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</si>
  <si>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</si>
  <si>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</si>
  <si>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</si>
  <si>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</si>
  <si>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</si>
  <si>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</si>
  <si>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</si>
  <si>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</si>
  <si>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</si>
  <si>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</si>
  <si>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</si>
  <si>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</si>
  <si>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</si>
  <si>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</si>
  <si>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</si>
  <si>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</si>
  <si>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</si>
  <si>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</si>
  <si>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</si>
  <si>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</si>
  <si>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</si>
  <si>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</si>
  <si>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</si>
  <si>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</si>
  <si>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</si>
  <si>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</si>
  <si>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</si>
  <si>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</si>
  <si>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</si>
  <si>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</si>
  <si>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</si>
  <si>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</si>
  <si>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</si>
  <si>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</si>
  <si>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</si>
  <si>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</si>
  <si>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</si>
  <si>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</si>
  <si>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</si>
  <si>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</si>
  <si>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</si>
  <si>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</si>
  <si>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</si>
  <si>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</si>
  <si>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</si>
  <si>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</si>
  <si>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</si>
  <si>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</si>
  <si>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</si>
  <si>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</si>
  <si>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</si>
  <si>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</si>
  <si>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</si>
  <si>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</si>
  <si>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</si>
  <si>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</si>
  <si>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</si>
  <si>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</si>
  <si>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</si>
  <si>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</si>
  <si>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</si>
  <si>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</si>
  <si>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</si>
  <si>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</si>
  <si>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</si>
  <si>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</si>
  <si>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</si>
  <si>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</si>
  <si>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</si>
  <si>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</si>
  <si>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</si>
  <si>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</si>
  <si>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</si>
  <si>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</si>
  <si>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</si>
  <si>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</si>
  <si>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</si>
  <si>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</si>
  <si>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</si>
  <si>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</si>
  <si>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</si>
  <si>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</si>
  <si>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</si>
  <si>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</si>
  <si>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</si>
  <si>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</si>
  <si>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</si>
  <si>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</si>
  <si>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</si>
  <si>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</si>
  <si>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</si>
  <si>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</si>
  <si>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</si>
  <si>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</si>
  <si>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</si>
  <si>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</si>
  <si>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</si>
  <si>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</si>
  <si>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</si>
  <si>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</si>
  <si>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</si>
  <si>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</si>
  <si>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</si>
  <si>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</si>
  <si>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</si>
  <si>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</si>
  <si>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</si>
  <si>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</si>
  <si>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</si>
  <si>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</si>
  <si>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</si>
  <si>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</si>
  <si>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</si>
  <si>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</si>
  <si>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</si>
  <si>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</si>
  <si>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</si>
  <si>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</si>
  <si>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</si>
  <si>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</si>
  <si>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</si>
  <si>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</si>
  <si>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</si>
  <si>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</si>
  <si>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</si>
  <si>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</si>
  <si>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</si>
  <si>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</si>
  <si>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</si>
  <si>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</si>
  <si>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</si>
  <si>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</si>
  <si>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</si>
  <si>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</si>
  <si>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</si>
  <si>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</si>
  <si>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</si>
  <si>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</si>
  <si>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</si>
  <si>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</si>
  <si>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</si>
  <si>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</si>
  <si>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</si>
  <si>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</si>
  <si>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</si>
  <si>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</si>
  <si>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</si>
  <si>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</si>
  <si>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</si>
  <si>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</si>
  <si>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</si>
  <si>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</si>
  <si>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</si>
  <si>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</si>
  <si>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</si>
  <si>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</si>
  <si>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</si>
  <si>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</si>
  <si>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</si>
  <si>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</si>
  <si>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</si>
  <si>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</si>
  <si>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</si>
  <si>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</si>
  <si>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</si>
  <si>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</si>
  <si>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</si>
  <si>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</si>
  <si>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</si>
  <si>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</si>
  <si>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</si>
  <si>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</si>
  <si>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</si>
  <si>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</si>
  <si>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</si>
  <si>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</si>
  <si>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</si>
  <si>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</si>
  <si>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</si>
  <si>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</si>
  <si>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</si>
  <si>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</si>
  <si>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</si>
  <si>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</si>
  <si>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</si>
  <si>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</si>
  <si>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</si>
  <si>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</si>
  <si>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</si>
  <si>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</si>
  <si>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</si>
  <si>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</si>
  <si>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</si>
  <si>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</si>
  <si>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</si>
  <si>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</si>
  <si>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</si>
  <si>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</si>
  <si>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</si>
  <si>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</si>
  <si>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</si>
  <si>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</si>
  <si>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</si>
  <si>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</si>
  <si>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</si>
  <si>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</si>
  <si>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</si>
  <si>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</si>
  <si>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</si>
  <si>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</si>
  <si>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</si>
  <si>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</si>
  <si>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</si>
  <si>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</si>
  <si>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</si>
  <si>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</si>
  <si>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</si>
  <si>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</si>
  <si>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</si>
  <si>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</si>
  <si>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</si>
  <si>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</si>
  <si>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</si>
  <si>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</si>
  <si>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</si>
  <si>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</si>
  <si>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</si>
  <si>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</si>
  <si>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</si>
  <si>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</si>
  <si>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</si>
  <si>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</si>
  <si>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</si>
  <si>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</si>
  <si>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</si>
  <si>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</si>
  <si>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</si>
  <si>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</si>
  <si>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</si>
  <si>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</si>
  <si>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</si>
  <si>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</si>
  <si>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</si>
  <si>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</si>
  <si>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</si>
  <si>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</si>
  <si>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</si>
  <si>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</si>
  <si>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</si>
  <si>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</si>
  <si>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</si>
  <si>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</si>
  <si>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</si>
  <si>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</si>
  <si>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</si>
  <si>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</si>
  <si>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</si>
  <si>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</si>
  <si>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</si>
  <si>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</si>
  <si>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</si>
  <si>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</si>
  <si>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</si>
  <si>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</si>
  <si>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</si>
  <si>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</si>
  <si>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</si>
  <si>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</si>
  <si>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</si>
  <si>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</si>
  <si>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</si>
  <si>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</si>
  <si>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</si>
  <si>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</si>
  <si>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</si>
  <si>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</si>
  <si>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</si>
  <si>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</si>
  <si>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</si>
  <si>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</si>
  <si>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</si>
  <si>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</si>
  <si>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</si>
  <si>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</si>
  <si>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</si>
  <si>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</si>
  <si>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</si>
  <si>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</si>
  <si>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</si>
  <si>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</si>
  <si>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</si>
  <si>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</si>
  <si>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</si>
  <si>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</si>
  <si>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</si>
  <si>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</si>
  <si>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</si>
  <si>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</si>
  <si>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</si>
  <si>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</si>
  <si>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</si>
  <si>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</si>
  <si>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</si>
  <si>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</si>
  <si>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</si>
  <si>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</si>
  <si>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</si>
  <si>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</si>
  <si>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</si>
  <si>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</si>
  <si>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</si>
  <si>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</si>
  <si>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</si>
  <si>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</si>
  <si>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</si>
  <si>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</si>
  <si>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</si>
  <si>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</si>
  <si>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</si>
  <si>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</si>
  <si>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</si>
  <si>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</si>
  <si>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</si>
  <si>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</si>
  <si>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</si>
  <si>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</si>
  <si>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</si>
  <si>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</si>
  <si>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</si>
  <si>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</si>
  <si>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</si>
  <si>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</si>
  <si>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</si>
  <si>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</si>
  <si>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</si>
  <si>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</si>
  <si>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</si>
  <si>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</si>
  <si>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</si>
  <si>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</si>
  <si>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</si>
  <si>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</si>
  <si>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</si>
  <si>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</si>
  <si>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</si>
  <si>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</si>
  <si>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</si>
  <si>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</si>
  <si>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</si>
  <si>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</si>
  <si>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</si>
  <si>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</si>
  <si>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</si>
  <si>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</si>
  <si>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</si>
  <si>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</si>
  <si>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</si>
  <si>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</si>
  <si>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</si>
  <si>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</si>
  <si>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</si>
  <si>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</si>
  <si>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</si>
  <si>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</si>
  <si>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</si>
  <si>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</si>
  <si>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</si>
  <si>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</si>
  <si>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</si>
  <si>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</si>
  <si>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</si>
  <si>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</si>
  <si>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</si>
  <si>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</si>
  <si>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</si>
  <si>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</si>
  <si>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</si>
  <si>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</si>
  <si>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</si>
  <si>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</si>
  <si>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</si>
  <si>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</si>
  <si>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</si>
  <si>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</si>
  <si>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</si>
  <si>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</si>
  <si>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</si>
  <si>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</si>
  <si>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</si>
  <si>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</si>
  <si>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</si>
  <si>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</si>
  <si>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</si>
  <si>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</si>
  <si>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</si>
  <si>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</si>
  <si>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</si>
  <si>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</si>
  <si>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</si>
  <si>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</si>
  <si>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</si>
  <si>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</si>
  <si>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</si>
  <si>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</si>
  <si>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</si>
  <si>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</si>
  <si>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</si>
  <si>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</si>
  <si>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</si>
  <si>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</si>
  <si>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</si>
  <si>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</si>
  <si>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</si>
  <si>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</si>
  <si>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</si>
  <si>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</si>
  <si>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</si>
  <si>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</si>
  <si>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</si>
  <si>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</si>
  <si>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</si>
  <si>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</si>
  <si>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</si>
  <si>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</si>
  <si>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</si>
  <si>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</si>
  <si>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</si>
  <si>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</si>
  <si>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</si>
  <si>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</si>
  <si>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</si>
  <si>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</si>
  <si>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</si>
  <si>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</si>
  <si>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</si>
  <si>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</si>
  <si>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</si>
  <si>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</si>
  <si>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</si>
  <si>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</si>
  <si>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</si>
  <si>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</si>
  <si>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</si>
  <si>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</si>
  <si>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</si>
  <si>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</si>
  <si>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</si>
  <si>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</si>
  <si>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</si>
  <si>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</si>
  <si>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</si>
  <si>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</si>
  <si>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</si>
  <si>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</si>
  <si>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</si>
  <si>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</si>
  <si>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</si>
  <si>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</si>
  <si>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</si>
  <si>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</si>
  <si>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</si>
  <si>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</si>
  <si>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</si>
  <si>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</si>
  <si>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</si>
  <si>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</si>
  <si>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</si>
  <si>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</si>
  <si>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</si>
  <si>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</si>
  <si>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</si>
  <si>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</si>
  <si>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</si>
  <si>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</si>
  <si>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</si>
  <si>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</si>
  <si>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</si>
  <si>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</si>
  <si>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</si>
  <si>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</si>
  <si>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</si>
  <si>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</si>
  <si>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</si>
  <si>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</si>
  <si>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</si>
  <si>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</si>
  <si>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</si>
  <si>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</si>
  <si>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</si>
  <si>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</si>
  <si>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</si>
  <si>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</si>
  <si>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</si>
  <si>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</si>
  <si>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</si>
  <si>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</si>
  <si>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</si>
  <si>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</si>
  <si>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</si>
  <si>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</si>
  <si>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</si>
  <si>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</si>
  <si>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</si>
  <si>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</si>
  <si>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</si>
  <si>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</si>
  <si>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</si>
  <si>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</si>
  <si>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</si>
  <si>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</si>
  <si>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</si>
  <si>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</si>
  <si>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</si>
  <si>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</si>
  <si>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</si>
  <si>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</si>
  <si>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</si>
  <si>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</si>
  <si>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</si>
  <si>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</si>
  <si>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</si>
  <si>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</si>
  <si>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</si>
  <si>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</si>
  <si>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</si>
  <si>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</si>
  <si>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</si>
  <si>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</si>
  <si>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</si>
  <si>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</si>
  <si>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</si>
  <si>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</si>
  <si>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</si>
  <si>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</si>
  <si>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</si>
  <si>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</si>
  <si>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</si>
  <si>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</si>
  <si>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</si>
  <si>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</si>
  <si>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</si>
  <si>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</si>
  <si>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</si>
  <si>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</si>
  <si>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</si>
  <si>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</si>
  <si>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</si>
  <si>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</si>
  <si>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</si>
  <si>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</si>
  <si>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</si>
  <si>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</si>
  <si>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</si>
  <si>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</si>
  <si>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</si>
  <si>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</si>
  <si>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</si>
  <si>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</si>
  <si>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</si>
  <si>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</si>
  <si>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</si>
  <si>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</si>
  <si>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</si>
  <si>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</si>
  <si>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</si>
  <si>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</si>
  <si>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</si>
  <si>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</si>
  <si>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</si>
  <si>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</si>
  <si>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</si>
  <si>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</si>
  <si>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</si>
  <si>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</si>
  <si>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</si>
  <si>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</si>
  <si>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</si>
  <si>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</si>
  <si>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</si>
  <si>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</si>
  <si>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</si>
  <si>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</si>
  <si>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</si>
  <si>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</si>
  <si>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</si>
  <si>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</si>
  <si>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</si>
  <si>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</si>
  <si>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</si>
  <si>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</si>
  <si>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</si>
  <si>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</si>
  <si>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</si>
  <si>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</si>
  <si>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</si>
  <si>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</si>
  <si>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</si>
  <si>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</si>
  <si>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</si>
  <si>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</si>
  <si>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</si>
  <si>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</si>
  <si>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</si>
  <si>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</si>
  <si>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</si>
  <si>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</si>
  <si>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</si>
  <si>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</si>
  <si>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</si>
  <si>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</si>
  <si>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</si>
  <si>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</si>
  <si>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</si>
  <si>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</si>
  <si>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</si>
  <si>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</si>
  <si>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</si>
  <si>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</si>
  <si>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</si>
  <si>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</si>
  <si>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</si>
  <si>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</si>
  <si>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</si>
  <si>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</si>
  <si>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</si>
  <si>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</si>
  <si>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</si>
  <si>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</si>
  <si>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</si>
  <si>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</si>
  <si>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</si>
  <si>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</si>
  <si>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</si>
  <si>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</si>
  <si>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</si>
  <si>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</si>
  <si>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</si>
  <si>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</si>
  <si>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</si>
  <si>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</si>
  <si>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</si>
  <si>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</si>
  <si>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</si>
  <si>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</si>
  <si>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</si>
  <si>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</si>
  <si>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</si>
  <si>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</si>
  <si>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</si>
  <si>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</si>
  <si>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</si>
  <si>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</si>
  <si>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</si>
  <si>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</si>
  <si>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</si>
  <si>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</si>
  <si>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</si>
  <si>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</si>
  <si>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</si>
  <si>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</si>
  <si>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</si>
  <si>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</si>
  <si>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</si>
  <si>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</si>
  <si>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</si>
  <si>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</si>
  <si>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</si>
  <si>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</si>
  <si>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</si>
  <si>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</si>
  <si>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</si>
  <si>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</si>
  <si>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</si>
  <si>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</si>
  <si>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</si>
  <si>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</si>
  <si>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</si>
  <si>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</si>
  <si>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</si>
  <si>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</si>
  <si>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</si>
  <si>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</si>
  <si>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</si>
  <si>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</si>
  <si>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</si>
  <si>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</si>
  <si>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</si>
  <si>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</si>
  <si>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</si>
  <si>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</si>
  <si>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</si>
  <si>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</si>
  <si>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</si>
  <si>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</si>
  <si>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</si>
  <si>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</si>
  <si>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</si>
  <si>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</si>
  <si>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</si>
  <si>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</si>
  <si>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</si>
  <si>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</si>
  <si>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</si>
  <si>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</si>
  <si>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</si>
  <si>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</si>
  <si>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</si>
  <si>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</si>
  <si>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</si>
  <si>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</si>
  <si>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</si>
  <si>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</si>
  <si>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</si>
  <si>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</si>
  <si>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</si>
  <si>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</si>
  <si>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</si>
  <si>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</si>
  <si>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</si>
  <si>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</si>
  <si>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</si>
  <si>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</si>
  <si>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</si>
  <si>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</si>
  <si>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</si>
  <si>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</si>
  <si>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</si>
  <si>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</si>
  <si>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</si>
  <si>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</si>
  <si>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</si>
  <si>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</si>
  <si>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</si>
  <si>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</si>
  <si>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</si>
  <si>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</si>
  <si>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</si>
  <si>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</si>
  <si>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</si>
  <si>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</si>
  <si>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</si>
  <si>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</si>
  <si>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</si>
  <si>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</si>
  <si>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</si>
  <si>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</si>
  <si>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</si>
  <si>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</si>
  <si>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</si>
  <si>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</si>
  <si>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</si>
  <si>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</si>
  <si>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</si>
  <si>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</si>
  <si>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</si>
  <si>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</si>
  <si>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</si>
  <si>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</si>
  <si>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</si>
  <si>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</si>
  <si>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</si>
  <si>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</si>
  <si>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</si>
  <si>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</si>
  <si>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</si>
  <si>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</si>
  <si>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</si>
  <si>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</si>
  <si>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</si>
  <si>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</si>
  <si>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</si>
  <si>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</si>
  <si>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</si>
  <si>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</si>
  <si>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</si>
  <si>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</si>
  <si>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</si>
  <si>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</si>
  <si>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</si>
  <si>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</si>
  <si>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</si>
  <si>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</si>
  <si>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</si>
  <si>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</si>
  <si>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</si>
  <si>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</si>
  <si>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</si>
  <si>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</si>
  <si>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</si>
  <si>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</si>
  <si>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</si>
  <si>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</si>
  <si>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</si>
  <si>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</si>
  <si>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</si>
  <si>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</si>
  <si>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</si>
  <si>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</si>
  <si>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</si>
  <si>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</si>
  <si>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</si>
  <si>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</si>
  <si>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</si>
  <si>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</si>
  <si>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</si>
  <si>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</si>
  <si>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</si>
  <si>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</si>
  <si>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</si>
  <si>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</si>
  <si>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</si>
  <si>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</si>
  <si>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</si>
  <si>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</si>
  <si>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</si>
  <si>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</si>
  <si>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</si>
  <si>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</si>
  <si>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</si>
  <si>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</si>
  <si>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</si>
  <si>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</si>
  <si>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</si>
  <si>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</si>
  <si>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</si>
  <si>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</si>
  <si>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</si>
  <si>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</si>
  <si>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</si>
  <si>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</si>
  <si>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</si>
  <si>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</si>
  <si>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</si>
  <si>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</si>
  <si>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</si>
  <si>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</si>
  <si>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</si>
  <si>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</si>
  <si>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</si>
  <si>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</si>
  <si>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</si>
  <si>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</si>
  <si>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</si>
  <si>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</si>
  <si>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</si>
  <si>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</si>
  <si>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</si>
  <si>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</si>
  <si>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</si>
  <si>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</si>
  <si>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</si>
  <si>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</si>
  <si>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</si>
  <si>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</si>
  <si>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</si>
  <si>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</si>
  <si>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</si>
  <si>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</si>
  <si>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</si>
  <si>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</si>
  <si>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</si>
  <si>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</si>
  <si>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</si>
  <si>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</si>
  <si>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</si>
  <si>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</si>
  <si>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</si>
  <si>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</si>
  <si>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</si>
  <si>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</si>
  <si>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</si>
  <si>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</si>
  <si>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</si>
  <si>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</si>
  <si>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</si>
  <si>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</si>
  <si>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</si>
  <si>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</si>
  <si>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</si>
  <si>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</si>
  <si>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</si>
  <si>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</si>
  <si>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</si>
  <si>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</si>
  <si>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</si>
  <si>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</si>
  <si>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</si>
  <si>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</si>
  <si>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</si>
  <si>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</si>
  <si>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</si>
  <si>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</si>
  <si>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</si>
  <si>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</si>
  <si>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</si>
  <si>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</si>
  <si>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</si>
  <si>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</si>
  <si>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</si>
  <si>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</si>
  <si>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</si>
  <si>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</si>
  <si>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</si>
  <si>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</si>
  <si>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</si>
  <si>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</si>
  <si>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</si>
  <si>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</si>
  <si>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</si>
  <si>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</si>
  <si>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</si>
  <si>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</si>
  <si>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</si>
  <si>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</si>
  <si>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</si>
  <si>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</si>
  <si>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</si>
  <si>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</si>
  <si>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</si>
  <si>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</si>
  <si>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</si>
  <si>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</si>
  <si>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</si>
  <si>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</si>
  <si>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</si>
  <si>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</si>
  <si>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</si>
  <si>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</si>
  <si>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</si>
  <si>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</si>
  <si>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</si>
  <si>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</si>
  <si>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</si>
  <si>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</si>
  <si>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</si>
  <si>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</si>
  <si>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</si>
  <si>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</si>
  <si>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</si>
  <si>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</si>
  <si>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</si>
  <si>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</si>
  <si>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</si>
  <si>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</si>
  <si>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</si>
  <si>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</si>
  <si>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</si>
  <si>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</si>
  <si>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</si>
  <si>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</si>
  <si>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</si>
  <si>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</si>
  <si>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</si>
  <si>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</si>
  <si>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</si>
  <si>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</si>
  <si>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</si>
  <si>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</si>
  <si>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</si>
  <si>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</si>
  <si>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</si>
  <si>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</si>
  <si>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</si>
  <si>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</si>
  <si>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</si>
  <si>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</si>
  <si>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</si>
  <si>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</si>
  <si>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</si>
  <si>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</si>
  <si>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</si>
  <si>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</si>
  <si>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</si>
  <si>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</si>
  <si>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</si>
  <si>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</si>
  <si>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</si>
  <si>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</si>
  <si>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</si>
  <si>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</si>
  <si>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</si>
  <si>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</si>
  <si>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</si>
  <si>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</si>
  <si>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</si>
  <si>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</si>
  <si>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</si>
  <si>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</si>
  <si>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</si>
  <si>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</si>
  <si>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</si>
  <si>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</si>
  <si>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</si>
  <si>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</si>
  <si>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</si>
  <si>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</si>
  <si>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</si>
  <si>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</si>
  <si>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</si>
  <si>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</si>
  <si>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</si>
  <si>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</si>
  <si>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</si>
  <si>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</si>
  <si>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</si>
  <si>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</si>
  <si>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</si>
  <si>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</si>
  <si>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</si>
  <si>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</si>
  <si>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</si>
  <si>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</si>
  <si>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</si>
  <si>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</si>
  <si>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</si>
  <si>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</si>
  <si>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</si>
  <si>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</si>
  <si>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</si>
  <si>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</si>
  <si>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</si>
  <si>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</si>
  <si>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</si>
  <si>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</si>
  <si>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</si>
  <si>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</si>
  <si>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</si>
  <si>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</si>
  <si>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</si>
  <si>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</si>
  <si>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</si>
  <si>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</si>
  <si>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</si>
  <si>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</si>
  <si>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</si>
  <si>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</si>
  <si>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</si>
  <si>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</si>
  <si>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</si>
  <si>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</si>
  <si>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</si>
  <si>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</si>
  <si>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</si>
  <si>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</si>
  <si>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</si>
  <si>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</si>
  <si>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</si>
  <si>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</si>
  <si>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</si>
  <si>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</si>
  <si>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</si>
  <si>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</si>
  <si>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</si>
  <si>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</si>
  <si>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</si>
  <si>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</si>
  <si>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</si>
  <si>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</si>
  <si>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</si>
  <si>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</si>
  <si>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</si>
  <si>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</si>
  <si>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</si>
  <si>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</si>
  <si>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</si>
  <si>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</si>
  <si>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</si>
  <si>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</si>
  <si>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</si>
  <si>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</si>
  <si>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</si>
  <si>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</si>
  <si>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</si>
  <si>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</si>
  <si>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</si>
  <si>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</si>
  <si>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</si>
  <si>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</si>
  <si>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</si>
  <si>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</si>
  <si>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</si>
  <si>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</si>
  <si>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</si>
  <si>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</si>
  <si>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</si>
  <si>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</si>
  <si>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</si>
  <si>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</si>
  <si>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</si>
  <si>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</si>
  <si>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</si>
  <si>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</si>
  <si>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</si>
  <si>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</si>
  <si>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</si>
  <si>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</si>
  <si>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</si>
  <si>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</si>
  <si>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</si>
  <si>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</si>
  <si>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</si>
  <si>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</si>
  <si>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</si>
  <si>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</si>
  <si>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</si>
  <si>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</si>
  <si>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</si>
  <si>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</si>
  <si>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</si>
  <si>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</si>
  <si>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</si>
  <si>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</si>
  <si>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</si>
  <si>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</si>
  <si>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</si>
  <si>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</si>
  <si>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</si>
  <si>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</si>
  <si>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</si>
  <si>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</si>
  <si>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</si>
  <si>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</si>
  <si>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</si>
  <si>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</si>
  <si>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</si>
  <si>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</si>
  <si>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</si>
  <si>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</si>
  <si>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</si>
  <si>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</si>
  <si>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</si>
  <si>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</si>
  <si>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</si>
  <si>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</si>
  <si>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</si>
  <si>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</si>
  <si>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</si>
  <si>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</si>
  <si>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</si>
  <si>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</si>
  <si>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</si>
  <si>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</si>
  <si>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</si>
  <si>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</si>
  <si>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</si>
  <si>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</si>
  <si>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</si>
  <si>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</si>
  <si>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</si>
  <si>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</si>
  <si>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</si>
  <si>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</si>
  <si>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</si>
  <si>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</si>
  <si>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</si>
  <si>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</si>
  <si>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</si>
  <si>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</si>
  <si>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</si>
  <si>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</si>
  <si>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</si>
  <si>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</si>
  <si>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</si>
  <si>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</si>
  <si>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</si>
  <si>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</si>
  <si>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</si>
  <si>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</si>
  <si>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</si>
  <si>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</si>
  <si>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</si>
  <si>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</si>
  <si>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</si>
  <si>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</si>
  <si>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</si>
  <si>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</si>
  <si>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</si>
  <si>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</si>
  <si>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</si>
  <si>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</si>
  <si>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</si>
  <si>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</si>
  <si>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</si>
  <si>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</si>
  <si>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</si>
  <si>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</si>
  <si>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</si>
  <si>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</si>
  <si>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</si>
  <si>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</si>
  <si>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</si>
  <si>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</si>
  <si>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</si>
  <si>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</si>
  <si>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</si>
  <si>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</si>
  <si>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</si>
  <si>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</si>
  <si>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</si>
  <si>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</si>
  <si>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</si>
  <si>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</si>
  <si>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</si>
  <si>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</si>
  <si>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</si>
  <si>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</si>
  <si>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</si>
  <si>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</si>
  <si>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</si>
  <si>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</si>
  <si>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</si>
  <si>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</si>
  <si>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</si>
  <si>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</si>
  <si>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</si>
  <si>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</si>
  <si>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</si>
  <si>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</si>
  <si>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</si>
  <si>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</si>
  <si>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</si>
  <si>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</si>
  <si>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</si>
  <si>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</si>
  <si>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</si>
  <si>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</si>
  <si>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</si>
  <si>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</si>
  <si>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</si>
  <si>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</si>
  <si>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</si>
  <si>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</si>
  <si>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</si>
  <si>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</si>
  <si>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</si>
  <si>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</si>
  <si>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</si>
  <si>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</si>
  <si>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</si>
  <si>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</si>
  <si>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</si>
  <si>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</si>
  <si>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</si>
  <si>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</si>
  <si>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</si>
  <si>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</si>
  <si>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</si>
  <si>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</si>
  <si>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</si>
  <si>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</si>
  <si>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</si>
  <si>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</si>
  <si>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</si>
  <si>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</si>
  <si>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</si>
  <si>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</si>
  <si>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</si>
  <si>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</si>
  <si>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</si>
  <si>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</si>
  <si>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</si>
  <si>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</si>
  <si>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</si>
  <si>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</si>
  <si>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</si>
  <si>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</si>
  <si>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</si>
  <si>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</si>
  <si>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</si>
  <si>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</si>
  <si>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</si>
  <si>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</si>
  <si>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</si>
  <si>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</si>
  <si>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</si>
  <si>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</si>
  <si>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</si>
  <si>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</si>
  <si>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</si>
  <si>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</si>
  <si>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</si>
  <si>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</si>
  <si>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</si>
  <si>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</si>
  <si>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</si>
  <si>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</si>
  <si>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</si>
  <si>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</si>
  <si>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</si>
  <si>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</si>
  <si>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</si>
  <si>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</si>
  <si>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</si>
  <si>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</si>
  <si>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</si>
  <si>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</si>
  <si>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</si>
  <si>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</si>
  <si>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</si>
  <si>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</si>
  <si>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</si>
  <si>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</si>
  <si>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</si>
  <si>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</si>
  <si>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</si>
  <si>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</si>
  <si>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</si>
  <si>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</si>
  <si>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</si>
  <si>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</si>
  <si>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</si>
  <si>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</si>
  <si>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</si>
  <si>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</si>
  <si>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</si>
  <si>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</si>
  <si>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</si>
  <si>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</si>
  <si>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</si>
  <si>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</si>
  <si>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</si>
  <si>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</si>
  <si>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</si>
  <si>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</si>
  <si>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</si>
  <si>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</si>
  <si>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</si>
  <si>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</si>
  <si>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</si>
  <si>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</si>
  <si>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</si>
  <si>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</si>
  <si>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</si>
  <si>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</si>
  <si>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</si>
  <si>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</si>
  <si>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</si>
  <si>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</si>
  <si>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</si>
  <si>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</si>
  <si>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</si>
  <si>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</si>
  <si>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</si>
  <si>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</si>
  <si>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</si>
  <si>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</si>
  <si>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</si>
  <si>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</si>
  <si>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</si>
  <si>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</si>
  <si>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</si>
  <si>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</si>
  <si>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</si>
  <si>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</si>
  <si>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</si>
  <si>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</si>
  <si>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</si>
  <si>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</si>
  <si>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</si>
  <si>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</si>
  <si>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</si>
  <si>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</si>
  <si>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</si>
  <si>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</si>
  <si>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</si>
  <si>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</si>
  <si>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</si>
  <si>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</si>
  <si>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</si>
  <si>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</si>
  <si>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</si>
  <si>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</si>
  <si>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</si>
  <si>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</si>
  <si>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</si>
  <si>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</si>
  <si>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</si>
  <si>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</si>
  <si>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</si>
  <si>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</si>
  <si>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</si>
  <si>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</si>
  <si>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</si>
  <si>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</si>
  <si>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</si>
  <si>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</si>
  <si>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</si>
  <si>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</si>
  <si>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</si>
  <si>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</si>
  <si>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</si>
  <si>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</si>
  <si>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</si>
  <si>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</si>
  <si>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</si>
  <si>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</si>
  <si>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</si>
  <si>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</si>
  <si>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</si>
  <si>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</si>
  <si>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</si>
  <si>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</si>
  <si>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</si>
  <si>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</si>
  <si>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</si>
  <si>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</si>
  <si>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</si>
  <si>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</si>
  <si>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</si>
  <si>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</si>
  <si>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</si>
  <si>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</si>
  <si>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</si>
  <si>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</si>
  <si>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</si>
  <si>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</si>
  <si>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</si>
  <si>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</si>
  <si>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</si>
  <si>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</si>
  <si>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</si>
  <si>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</si>
  <si>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</si>
  <si>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</si>
  <si>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</si>
  <si>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</si>
  <si>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</si>
  <si>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</si>
  <si>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</si>
  <si>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</si>
  <si>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</si>
  <si>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</si>
  <si>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</si>
  <si>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</si>
  <si>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</si>
  <si>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</si>
  <si>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</si>
  <si>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</si>
  <si>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</si>
  <si>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</si>
  <si>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</si>
  <si>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</si>
  <si>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</si>
  <si>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</si>
  <si>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</si>
  <si>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</si>
  <si>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</si>
  <si>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</si>
  <si>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</si>
  <si>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</si>
  <si>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</si>
  <si>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</si>
  <si>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</si>
  <si>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</si>
  <si>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</si>
  <si>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</si>
  <si>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</si>
  <si>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</si>
  <si>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</si>
  <si>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</si>
  <si>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</si>
  <si>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</si>
  <si>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</si>
  <si>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</si>
  <si>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</si>
  <si>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</si>
  <si>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</si>
  <si>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</si>
  <si>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</si>
  <si>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</si>
  <si>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</si>
  <si>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</si>
  <si>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</si>
  <si>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</si>
  <si>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</si>
  <si>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</si>
  <si>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</si>
  <si>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</si>
  <si>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</si>
  <si>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</si>
  <si>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</si>
  <si>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</si>
  <si>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</si>
  <si>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</si>
  <si>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</si>
  <si>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</si>
  <si>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</si>
  <si>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</si>
  <si>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</si>
  <si>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</si>
  <si>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</si>
  <si>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</si>
  <si>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</si>
  <si>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</si>
  <si>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</si>
  <si>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</si>
  <si>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</si>
  <si>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</si>
  <si>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</si>
  <si>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</si>
  <si>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</si>
  <si>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</si>
  <si>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</si>
  <si>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</si>
  <si>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</si>
  <si>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</si>
  <si>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</si>
  <si>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</si>
  <si>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</si>
  <si>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</si>
  <si>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</si>
  <si>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</si>
  <si>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</si>
  <si>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</si>
  <si>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</si>
  <si>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</si>
  <si>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</si>
  <si>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</si>
  <si>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</si>
  <si>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</si>
  <si>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</si>
  <si>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</si>
  <si>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</si>
  <si>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</si>
  <si>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</si>
  <si>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</si>
  <si>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</si>
  <si>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</si>
  <si>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</si>
  <si>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</si>
  <si>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</si>
  <si>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</si>
  <si>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</si>
  <si>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</si>
  <si>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</si>
  <si>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</si>
  <si>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</si>
  <si>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</si>
  <si>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</si>
  <si>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</si>
  <si>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</si>
  <si>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</si>
  <si>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</si>
  <si>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</si>
  <si>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</si>
  <si>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</si>
  <si>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</si>
  <si>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</si>
  <si>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</si>
  <si>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</si>
  <si>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</si>
  <si>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</si>
  <si>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</si>
  <si>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</si>
  <si>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</si>
  <si>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</si>
  <si>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</si>
  <si>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</si>
  <si>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</si>
  <si>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</si>
  <si>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</si>
  <si>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</si>
  <si>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</si>
  <si>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</si>
  <si>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</si>
  <si>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</si>
  <si>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</si>
  <si>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</si>
  <si>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</si>
  <si>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</si>
  <si>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</si>
  <si>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</si>
  <si>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</si>
  <si>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</si>
  <si>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</si>
  <si>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</si>
  <si>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</si>
  <si>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</si>
  <si>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</si>
  <si>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</si>
  <si>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</si>
  <si>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</si>
  <si>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</si>
  <si>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</si>
  <si>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</si>
  <si>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</si>
  <si>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</si>
  <si>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</si>
  <si>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</si>
  <si>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</si>
  <si>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</si>
  <si>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</si>
  <si>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</si>
  <si>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</si>
  <si>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</si>
  <si>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</si>
  <si>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</si>
  <si>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</si>
  <si>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</si>
  <si>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</si>
  <si>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</si>
  <si>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</si>
  <si>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</si>
  <si>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</si>
  <si>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</si>
  <si>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</si>
  <si>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</si>
  <si>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</si>
  <si>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</si>
  <si>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</si>
  <si>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</si>
  <si>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</si>
  <si>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</si>
  <si>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</si>
  <si>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</si>
  <si>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</si>
  <si>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</si>
  <si>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</si>
  <si>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</si>
  <si>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</si>
  <si>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</si>
  <si>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</si>
  <si>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</si>
  <si>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</si>
  <si>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</si>
  <si>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</si>
  <si>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</si>
  <si>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</si>
  <si>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</si>
  <si>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</si>
  <si>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</si>
  <si>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</si>
  <si>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</si>
  <si>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</si>
  <si>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</si>
  <si>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</si>
  <si>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</si>
  <si>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</si>
  <si>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</si>
  <si>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</si>
  <si>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</si>
  <si>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</si>
  <si>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</si>
  <si>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</si>
  <si>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</si>
  <si>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</si>
  <si>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</si>
  <si>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</si>
  <si>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</si>
  <si>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</si>
  <si>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</si>
  <si>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</si>
  <si>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</si>
  <si>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</si>
  <si>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</si>
  <si>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</si>
  <si>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</si>
  <si>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</si>
  <si>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</si>
  <si>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</si>
  <si>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</si>
  <si>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</si>
  <si>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</si>
  <si>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</si>
  <si>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</si>
  <si>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</si>
  <si>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</si>
  <si>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</si>
  <si>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</si>
  <si>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</si>
  <si>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</si>
  <si>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</si>
  <si>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</si>
  <si>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</si>
  <si>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</si>
  <si>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</si>
  <si>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</si>
  <si>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</si>
  <si>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</si>
  <si>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</si>
  <si>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</si>
  <si>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</si>
  <si>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</si>
  <si>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</si>
  <si>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</si>
  <si>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</si>
  <si>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</si>
  <si>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</si>
  <si>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</si>
  <si>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</si>
  <si>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</si>
  <si>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</si>
  <si>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</si>
  <si>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</si>
  <si>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</si>
  <si>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</si>
  <si>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</si>
  <si>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</si>
  <si>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</si>
  <si>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</si>
  <si>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</si>
  <si>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</si>
  <si>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</si>
  <si>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</si>
  <si>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</si>
  <si>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</si>
  <si>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</si>
  <si>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</si>
  <si>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</si>
  <si>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</si>
  <si>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</si>
  <si>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</si>
  <si>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</si>
  <si>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</si>
  <si>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</si>
  <si>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</si>
  <si>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</si>
  <si>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</si>
  <si>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</si>
  <si>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</si>
  <si>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</si>
  <si>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</si>
  <si>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</si>
  <si>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</si>
  <si>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</si>
  <si>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</si>
  <si>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</si>
  <si>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</si>
  <si>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</si>
  <si>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</si>
  <si>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</si>
  <si>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</si>
  <si>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</si>
  <si>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</si>
  <si>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</si>
  <si>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</si>
  <si>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</si>
  <si>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</si>
  <si>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</si>
  <si>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</si>
  <si>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</si>
  <si>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</si>
  <si>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</si>
  <si>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</si>
  <si>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</si>
  <si>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</si>
  <si>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</si>
  <si>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</si>
  <si>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</si>
  <si>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</si>
  <si>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</si>
  <si>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</si>
  <si>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</si>
  <si>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</si>
  <si>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</si>
  <si>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</si>
  <si>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</si>
  <si>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</si>
  <si>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</si>
  <si>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</si>
  <si>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</si>
  <si>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</si>
  <si>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</si>
  <si>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</si>
  <si>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</si>
  <si>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</si>
  <si>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</si>
  <si>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</si>
  <si>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</si>
  <si>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</si>
  <si>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</si>
  <si>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</si>
  <si>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</si>
  <si>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</si>
  <si>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</si>
  <si>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</si>
  <si>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</si>
  <si>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</si>
  <si>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</si>
  <si>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</si>
  <si>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</si>
  <si>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</si>
  <si>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</si>
  <si>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</si>
  <si>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</si>
  <si>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</si>
  <si>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</si>
  <si>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</si>
  <si>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</si>
  <si>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</si>
  <si>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</si>
  <si>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</si>
  <si>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</si>
  <si>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</si>
  <si>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</si>
  <si>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</si>
  <si>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</si>
  <si>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</si>
  <si>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</si>
  <si>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</si>
  <si>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</si>
  <si>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</si>
  <si>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</si>
  <si>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</si>
  <si>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</si>
  <si>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</si>
  <si>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</si>
  <si>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</si>
  <si>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</si>
  <si>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</si>
  <si>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</si>
  <si>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</si>
  <si>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</si>
  <si>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</si>
  <si>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</si>
  <si>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</si>
  <si>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</si>
  <si>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</si>
  <si>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</si>
  <si>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</si>
  <si>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</si>
  <si>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</si>
  <si>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</si>
  <si>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</si>
  <si>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</si>
  <si>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</si>
  <si>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</si>
  <si>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</si>
  <si>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</si>
  <si>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</si>
  <si>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</si>
  <si>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</si>
  <si>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</si>
  <si>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</si>
  <si>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</si>
  <si>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</si>
  <si>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</si>
  <si>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</si>
  <si>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</si>
  <si>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</si>
  <si>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</si>
  <si>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</si>
  <si>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</si>
  <si>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</si>
  <si>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</si>
  <si>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</si>
  <si>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</si>
  <si>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</si>
  <si>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</si>
  <si>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</si>
  <si>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</si>
  <si>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</si>
  <si>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</si>
  <si>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</si>
  <si>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</si>
  <si>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</si>
  <si>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</si>
  <si>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</si>
  <si>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</si>
  <si>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</si>
  <si>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</si>
  <si>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</si>
  <si>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</si>
  <si>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</si>
  <si>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</si>
  <si>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</si>
  <si>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</si>
  <si>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</si>
  <si>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</si>
  <si>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</si>
  <si>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</si>
  <si>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</si>
  <si>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</si>
  <si>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</si>
  <si>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</si>
  <si>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</si>
  <si>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</si>
  <si>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</si>
  <si>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</si>
  <si>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</si>
  <si>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</si>
  <si>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</si>
  <si>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</si>
  <si>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</si>
  <si>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</si>
  <si>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</si>
  <si>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</si>
  <si>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</si>
  <si>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</si>
  <si>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</si>
  <si>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</si>
  <si>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</si>
  <si>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</si>
  <si>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</si>
  <si>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</si>
  <si>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</si>
  <si>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</si>
  <si>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</si>
  <si>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</si>
  <si>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</si>
  <si>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</si>
  <si>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</si>
  <si>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</si>
  <si>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</si>
  <si>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</si>
  <si>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</si>
  <si>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</si>
  <si>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</si>
  <si>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</si>
  <si>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</si>
  <si>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</si>
  <si>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</si>
  <si>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</si>
  <si>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</si>
  <si>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</si>
  <si>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</si>
  <si>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</si>
  <si>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</si>
  <si>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</si>
  <si>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</si>
  <si>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</si>
  <si>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</si>
  <si>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</si>
  <si>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</si>
  <si>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</si>
  <si>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</si>
  <si>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</si>
  <si>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</si>
  <si>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</si>
  <si>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</si>
  <si>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</si>
  <si>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</si>
  <si>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</si>
  <si>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</si>
  <si>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</si>
  <si>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</si>
  <si>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</si>
  <si>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</si>
  <si>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</si>
  <si>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</si>
  <si>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</si>
  <si>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</si>
  <si>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</si>
  <si>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</si>
  <si>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</si>
  <si>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</si>
  <si>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</si>
  <si>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</si>
  <si>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</si>
  <si>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</si>
  <si>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</si>
  <si>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</si>
  <si>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</si>
  <si>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</si>
  <si>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</si>
  <si>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</si>
  <si>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</si>
  <si>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</si>
  <si>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</si>
  <si>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</si>
  <si>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</si>
  <si>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</si>
  <si>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</si>
  <si>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</si>
  <si>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</si>
  <si>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</si>
  <si>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</si>
  <si>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</si>
  <si>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</si>
  <si>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</si>
  <si>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</si>
  <si>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</si>
  <si>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</si>
  <si>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</si>
  <si>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</si>
  <si>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</si>
  <si>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</si>
  <si>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</si>
  <si>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</si>
  <si>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</si>
  <si>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</si>
  <si>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</si>
  <si>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</si>
  <si>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</si>
  <si>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</si>
  <si>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</si>
  <si>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</si>
  <si>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</si>
  <si>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</si>
  <si>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</si>
  <si>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</si>
  <si>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</si>
  <si>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</si>
  <si>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</si>
  <si>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</si>
  <si>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</si>
  <si>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</si>
  <si>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</si>
  <si>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</si>
  <si>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</si>
  <si>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</si>
  <si>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</si>
  <si>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</si>
  <si>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</si>
  <si>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</si>
  <si>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</si>
  <si>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</si>
  <si>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</si>
  <si>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</si>
  <si>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</si>
  <si>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</si>
  <si>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</si>
  <si>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</si>
  <si>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</si>
  <si>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</si>
  <si>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</si>
  <si>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</si>
  <si>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</si>
  <si>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</si>
  <si>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</si>
  <si>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</si>
  <si>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</si>
  <si>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</si>
  <si>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</si>
  <si>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</si>
  <si>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</si>
  <si>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</si>
  <si>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</si>
  <si>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</si>
  <si>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</si>
  <si>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</si>
  <si>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</si>
  <si>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</si>
  <si>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</si>
  <si>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</si>
  <si>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</si>
  <si>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</si>
  <si>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</si>
  <si>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</si>
  <si>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</si>
  <si>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</si>
  <si>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</si>
  <si>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</si>
  <si>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</si>
  <si>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</si>
  <si>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</si>
  <si>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</si>
  <si>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</si>
  <si>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</si>
  <si>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</si>
  <si>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</si>
  <si>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</si>
  <si>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</si>
  <si>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</si>
  <si>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</si>
  <si>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</si>
  <si>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</si>
  <si>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</si>
  <si>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</si>
  <si>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</si>
  <si>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</si>
  <si>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</si>
  <si>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</si>
  <si>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</si>
  <si>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</si>
  <si>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</si>
  <si>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</si>
  <si>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</si>
  <si>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</si>
  <si>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</si>
  <si>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</si>
  <si>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</si>
  <si>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</si>
  <si>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</si>
  <si>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</si>
  <si>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</si>
  <si>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</si>
  <si>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</si>
  <si>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</si>
  <si>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</si>
  <si>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</si>
  <si>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</si>
  <si>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</si>
  <si>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</si>
  <si>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</si>
  <si>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</si>
  <si>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</si>
  <si>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</si>
  <si>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</si>
  <si>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</si>
  <si>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</si>
  <si>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</si>
  <si>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</si>
  <si>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</si>
  <si>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</si>
  <si>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</si>
  <si>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</si>
  <si>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</si>
  <si>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</si>
  <si>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</si>
  <si>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</si>
  <si>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</si>
  <si>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</si>
  <si>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</si>
  <si>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</si>
  <si>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</si>
  <si>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</si>
  <si>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</si>
  <si>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</si>
  <si>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</si>
  <si>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</si>
  <si>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</si>
  <si>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</si>
  <si>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</si>
  <si>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</si>
  <si>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</si>
  <si>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</si>
  <si>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</si>
  <si>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</si>
  <si>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</si>
  <si>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</si>
  <si>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</si>
  <si>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</si>
  <si>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</si>
  <si>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</si>
  <si>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</si>
  <si>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</si>
  <si>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</si>
  <si>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</si>
  <si>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</si>
  <si>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</si>
  <si>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</si>
  <si>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</si>
  <si>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</si>
  <si>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</si>
  <si>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</si>
  <si>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</si>
  <si>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</si>
  <si>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</si>
  <si>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</si>
  <si>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</si>
  <si>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</si>
  <si>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</si>
  <si>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</si>
  <si>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</si>
  <si>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</si>
  <si>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</si>
  <si>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</si>
  <si>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</si>
  <si>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</si>
  <si>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</si>
  <si>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</si>
  <si>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</si>
  <si>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</si>
  <si>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</si>
  <si>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</si>
  <si>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</si>
  <si>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</si>
  <si>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</si>
  <si>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</si>
  <si>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</si>
  <si>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</si>
  <si>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</si>
  <si>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</si>
  <si>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</si>
  <si>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</si>
  <si>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</si>
  <si>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</si>
  <si>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</si>
  <si>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</si>
  <si>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</si>
  <si>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</si>
  <si>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</si>
  <si>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</si>
  <si>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</si>
  <si>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</si>
  <si>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</si>
  <si>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</si>
  <si>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</si>
  <si>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</si>
  <si>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</si>
  <si>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</si>
  <si>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</si>
  <si>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</si>
  <si>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</si>
  <si>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</si>
  <si>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</si>
  <si>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</si>
  <si>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</si>
  <si>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</si>
  <si>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</si>
  <si>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</si>
  <si>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</si>
  <si>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</si>
  <si>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</si>
  <si>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</si>
  <si>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</si>
  <si>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</si>
  <si>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</si>
  <si>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</si>
  <si>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</si>
  <si>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</si>
  <si>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</si>
  <si>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</si>
  <si>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</si>
  <si>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</si>
  <si>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</si>
  <si>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</si>
  <si>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</si>
  <si>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</si>
  <si>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</si>
  <si>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</si>
  <si>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</si>
  <si>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</si>
  <si>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</si>
  <si>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</si>
  <si>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</si>
  <si>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</si>
  <si>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</si>
  <si>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</si>
  <si>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</si>
  <si>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</si>
  <si>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</si>
  <si>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</si>
  <si>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</si>
  <si>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</si>
  <si>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</si>
  <si>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</si>
  <si>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</si>
  <si>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</si>
  <si>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</si>
  <si>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</si>
  <si>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</si>
  <si>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</si>
  <si>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</si>
  <si>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</si>
  <si>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</si>
  <si>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</si>
  <si>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</si>
  <si>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</si>
  <si>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</si>
  <si>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</si>
  <si>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</si>
  <si>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</si>
  <si>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</si>
  <si>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</si>
  <si>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</si>
  <si>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</si>
  <si>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</si>
  <si>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</si>
  <si>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</si>
  <si>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</si>
  <si>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</si>
  <si>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</si>
  <si>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</si>
  <si>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</si>
  <si>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</si>
  <si>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</si>
  <si>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</si>
  <si>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</si>
  <si>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</si>
  <si>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</si>
  <si>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</si>
  <si>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</si>
  <si>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</si>
  <si>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</si>
  <si>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</si>
  <si>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</si>
  <si>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</si>
  <si>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</si>
  <si>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</si>
  <si>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</si>
  <si>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</si>
  <si>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</si>
  <si>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</si>
  <si>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</si>
  <si>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</si>
  <si>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</si>
  <si>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</si>
  <si>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</si>
  <si>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</si>
  <si>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</si>
  <si>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</si>
  <si>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</si>
  <si>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</si>
  <si>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</si>
  <si>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</si>
  <si>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</si>
  <si>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</si>
  <si>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</si>
  <si>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</si>
  <si>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</si>
  <si>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</si>
  <si>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</si>
  <si>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</si>
  <si>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</si>
  <si>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</si>
  <si>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</si>
  <si>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</si>
  <si>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</si>
  <si>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</si>
  <si>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</si>
  <si>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</si>
  <si>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</si>
  <si>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</si>
  <si>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</si>
  <si>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</si>
  <si>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</si>
  <si>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</si>
  <si>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</si>
  <si>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</si>
  <si>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</si>
  <si>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</si>
  <si>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</si>
  <si>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</si>
  <si>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</si>
  <si>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</si>
  <si>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</si>
  <si>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</si>
  <si>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</si>
  <si>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</si>
  <si>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</si>
  <si>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</si>
  <si>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</si>
  <si>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</si>
  <si>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</si>
  <si>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</si>
  <si>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</si>
  <si>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</si>
  <si>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</si>
  <si>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</si>
  <si>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</si>
  <si>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</si>
  <si>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</si>
  <si>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</si>
  <si>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</si>
  <si>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</si>
  <si>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</si>
  <si>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</si>
  <si>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</si>
  <si>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</si>
  <si>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</si>
  <si>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</si>
  <si>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</si>
  <si>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</si>
  <si>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</si>
  <si>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</si>
  <si>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</si>
  <si>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</si>
  <si>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</si>
  <si>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</si>
  <si>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</si>
  <si>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</si>
  <si>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</si>
  <si>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</si>
  <si>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</si>
  <si>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</si>
  <si>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</si>
  <si>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</si>
  <si>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</si>
  <si>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</si>
  <si>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</si>
  <si>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</si>
  <si>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</si>
  <si>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</si>
  <si>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</si>
  <si>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</si>
  <si>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</si>
  <si>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</si>
  <si>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</si>
  <si>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</si>
  <si>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</si>
  <si>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</si>
  <si>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</si>
  <si>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</si>
  <si>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</si>
  <si>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</si>
  <si>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</si>
  <si>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</si>
  <si>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</si>
  <si>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</si>
  <si>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</si>
  <si>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</si>
  <si>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</si>
  <si>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</si>
  <si>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</si>
  <si>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</si>
  <si>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</si>
  <si>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</si>
  <si>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</si>
  <si>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</si>
  <si>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</si>
  <si>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</si>
  <si>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</si>
  <si>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</si>
  <si>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</si>
  <si>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phoneticPr fontId="6" type="noConversion"/>
  </si>
  <si>
    <t>郑燚</t>
  </si>
  <si>
    <t>楼面地价</t>
  </si>
  <si>
    <t>否</t>
  </si>
  <si>
    <t>地上</t>
  </si>
  <si>
    <t>高层</t>
  </si>
  <si>
    <t>高层</t>
    <phoneticPr fontId="14" type="noConversion"/>
  </si>
  <si>
    <t>小高层</t>
  </si>
  <si>
    <t>小高层</t>
    <phoneticPr fontId="14" type="noConversion"/>
  </si>
  <si>
    <t>多层</t>
  </si>
  <si>
    <t>多层</t>
    <phoneticPr fontId="14" type="noConversion"/>
  </si>
  <si>
    <t>商业</t>
  </si>
  <si>
    <t>高层</t>
    <phoneticPr fontId="7" type="noConversion"/>
  </si>
  <si>
    <t>正常</t>
  </si>
  <si>
    <t>出让</t>
  </si>
  <si>
    <t>比较法-住宅、综合</t>
  </si>
  <si>
    <t>剩余法-待开发</t>
  </si>
  <si>
    <t>五矿国际信托有限公司</t>
    <phoneticPr fontId="6" type="noConversion"/>
  </si>
  <si>
    <t>其他：</t>
  </si>
  <si>
    <t>企业</t>
  </si>
  <si>
    <t>安阳建业城市建设有限公司</t>
    <phoneticPr fontId="6" type="noConversion"/>
  </si>
  <si>
    <t>抵押价格</t>
  </si>
  <si>
    <t>抵押</t>
  </si>
  <si>
    <t>城镇住宅用地，其他商服用地</t>
    <phoneticPr fontId="6" type="noConversion"/>
  </si>
  <si>
    <t>住宅、商业</t>
    <phoneticPr fontId="6" type="noConversion"/>
  </si>
  <si>
    <t>一致</t>
  </si>
  <si>
    <t>居住项目</t>
  </si>
  <si>
    <t>平整</t>
  </si>
  <si>
    <t>场地平整</t>
  </si>
  <si>
    <t>通路</t>
  </si>
  <si>
    <t>通电</t>
  </si>
  <si>
    <t>通讯</t>
  </si>
  <si>
    <t>通上水</t>
  </si>
  <si>
    <t>通下水</t>
  </si>
  <si>
    <t>通热</t>
  </si>
  <si>
    <t>燃气</t>
  </si>
  <si>
    <t>时间</t>
  </si>
  <si>
    <t>水平值</t>
  </si>
  <si>
    <t>环比增长率</t>
  </si>
  <si>
    <t>指数</t>
  </si>
  <si>
    <t>快速路</t>
    <phoneticPr fontId="26" type="noConversion"/>
  </si>
  <si>
    <t>主干道</t>
  </si>
  <si>
    <t>主干道</t>
    <phoneticPr fontId="26" type="noConversion"/>
  </si>
  <si>
    <t>次干道</t>
    <phoneticPr fontId="26" type="noConversion"/>
  </si>
  <si>
    <t>支路</t>
    <phoneticPr fontId="26" type="noConversion"/>
  </si>
  <si>
    <t>一般</t>
  </si>
  <si>
    <t>较差</t>
  </si>
  <si>
    <t>较好</t>
  </si>
  <si>
    <t>七通</t>
  </si>
  <si>
    <t>较规则</t>
  </si>
  <si>
    <t>较规则</t>
    <phoneticPr fontId="26" type="noConversion"/>
  </si>
  <si>
    <t>七通一平</t>
    <phoneticPr fontId="26" type="noConversion"/>
  </si>
  <si>
    <t>较好</t>
    <phoneticPr fontId="26" type="noConversion"/>
  </si>
  <si>
    <t>钢混</t>
  </si>
  <si>
    <t>按租金收入计税</t>
  </si>
  <si>
    <t>多伦公园里</t>
    <phoneticPr fontId="3" type="noConversion"/>
  </si>
  <si>
    <t>住宅</t>
    <phoneticPr fontId="21" type="noConversion"/>
  </si>
  <si>
    <t>60-70（含）</t>
  </si>
  <si>
    <t>多层</t>
    <phoneticPr fontId="21" type="noConversion"/>
  </si>
  <si>
    <t>小高层</t>
    <phoneticPr fontId="21" type="noConversion"/>
  </si>
  <si>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</si>
  <si>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</si>
  <si>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</si>
  <si>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</si>
  <si>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</si>
  <si>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</si>
  <si>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</si>
  <si>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</si>
  <si>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</si>
  <si>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</si>
  <si>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</si>
  <si>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</si>
  <si>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</si>
  <si>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低区</t>
    <phoneticPr fontId="21" type="noConversion"/>
  </si>
  <si>
    <t>中区</t>
    <phoneticPr fontId="21" type="noConversion"/>
  </si>
  <si>
    <t>高区</t>
    <phoneticPr fontId="21" type="noConversion"/>
  </si>
  <si>
    <t>楼层</t>
    <phoneticPr fontId="21" type="noConversion"/>
  </si>
  <si>
    <t>中区</t>
    <phoneticPr fontId="21" type="noConversion"/>
  </si>
  <si>
    <t>文峰大道与亚龙湾路交叉口东北角</t>
    <phoneticPr fontId="3" type="noConversion"/>
  </si>
  <si>
    <t>文峰大道与新安路交汇处南500米路东</t>
    <phoneticPr fontId="3" type="noConversion"/>
  </si>
  <si>
    <t>文明大道和辛瓦路交汇处</t>
    <phoneticPr fontId="3" type="noConversion"/>
  </si>
  <si>
    <t>中信城</t>
    <phoneticPr fontId="3" type="noConversion"/>
  </si>
  <si>
    <t>售价</t>
  </si>
  <si>
    <t>高区</t>
    <phoneticPr fontId="21" type="noConversion"/>
  </si>
  <si>
    <t>不动产收益法</t>
  </si>
  <si>
    <r>
      <t>98</t>
    </r>
    <r>
      <rPr>
        <sz val="11"/>
        <color indexed="8"/>
        <rFont val="宋体"/>
        <family val="3"/>
        <charset val="134"/>
      </rPr>
      <t>、</t>
    </r>
    <r>
      <rPr>
        <sz val="11"/>
        <color indexed="8"/>
        <rFont val="Arial"/>
        <family val="2"/>
      </rPr>
      <t>126</t>
    </r>
    <phoneticPr fontId="21" type="noConversion"/>
  </si>
  <si>
    <t>80-130</t>
    <phoneticPr fontId="21" type="noConversion"/>
  </si>
  <si>
    <r>
      <t>62</t>
    </r>
    <r>
      <rPr>
        <sz val="11"/>
        <color indexed="8"/>
        <rFont val="宋体"/>
        <family val="3"/>
        <charset val="134"/>
      </rPr>
      <t>、</t>
    </r>
    <r>
      <rPr>
        <sz val="11"/>
        <color indexed="8"/>
        <rFont val="Arial"/>
        <family val="2"/>
      </rPr>
      <t>128</t>
    </r>
    <phoneticPr fontId="21" type="noConversion"/>
  </si>
  <si>
    <t>项目局部</t>
  </si>
  <si>
    <t>土地</t>
  </si>
  <si>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</si>
  <si>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</si>
  <si>
    <t>符合</t>
  </si>
  <si>
    <t>安阳监测指标情况一览表</t>
  </si>
  <si>
    <t>周边居住用地比例、居住小区规模和社区发展完善程度（居住用地比例适宜，较多住宅项目，但尚未开发完成，社区发展完善程度较差）</t>
    <phoneticPr fontId="3" type="noConversion"/>
  </si>
  <si>
    <r>
      <t>XX</t>
    </r>
    <r>
      <rPr>
        <sz val="11"/>
        <color theme="9" tint="-0.249977111117893"/>
        <rFont val="仿宋_GB2312"/>
        <family val="3"/>
        <charset val="134"/>
      </rPr>
      <t>商圈，周边商业氛围，人流量（城乡一体化示范区</t>
    </r>
    <r>
      <rPr>
        <sz val="11"/>
        <color theme="9" tint="-0.249977111117893"/>
        <rFont val="Arial"/>
        <family val="2"/>
      </rPr>
      <t xml:space="preserve"> </t>
    </r>
    <r>
      <rPr>
        <sz val="11"/>
        <color theme="9" tint="-0.249977111117893"/>
        <rFont val="仿宋_GB2312"/>
        <family val="3"/>
        <charset val="134"/>
      </rPr>
      <t>住宅底商</t>
    </r>
    <r>
      <rPr>
        <sz val="11"/>
        <color theme="9" tint="-0.249977111117893"/>
        <rFont val="Arial"/>
        <family val="2"/>
      </rPr>
      <t xml:space="preserve"> </t>
    </r>
    <r>
      <rPr>
        <sz val="11"/>
        <color theme="9" tint="-0.249977111117893"/>
        <rFont val="仿宋_GB2312"/>
        <family val="3"/>
        <charset val="134"/>
      </rPr>
      <t>氛围较差</t>
    </r>
    <r>
      <rPr>
        <sz val="11"/>
        <color theme="9" tint="-0.249977111117893"/>
        <rFont val="Arial"/>
        <family val="2"/>
      </rPr>
      <t xml:space="preserve"> </t>
    </r>
    <r>
      <rPr>
        <sz val="11"/>
        <color theme="9" tint="-0.249977111117893"/>
        <rFont val="仿宋_GB2312"/>
        <family val="3"/>
        <charset val="134"/>
      </rPr>
      <t>人流量较少）</t>
    </r>
    <phoneticPr fontId="3" type="noConversion"/>
  </si>
  <si>
    <t>周边道路状况、公共交通通达情况、停车便捷程度（北至文峰大道 南至文明大道 均为城市主干道 南距安阳东站直线1.5公里 y1路 11路 16路）</t>
    <phoneticPr fontId="3" type="noConversion"/>
  </si>
  <si>
    <t>土地（套用方法）</t>
  </si>
  <si>
    <t>地块名称</t>
  </si>
  <si>
    <t>出让方式</t>
  </si>
  <si>
    <t>地块编号</t>
  </si>
  <si>
    <t>详细规划</t>
  </si>
  <si>
    <t>建设用地面积(㎡)</t>
  </si>
  <si>
    <t>规划建筑面积(㎡)</t>
  </si>
  <si>
    <t>成交日期</t>
  </si>
  <si>
    <t>受让单位</t>
  </si>
  <si>
    <t>成交价(万元)</t>
  </si>
  <si>
    <t>成交楼面价(元/㎡)</t>
  </si>
  <si>
    <t>溢价率</t>
  </si>
  <si>
    <t>出让年限</t>
  </si>
  <si>
    <t>白璧镇辛瓦路与文峰大道交叉口东南</t>
  </si>
  <si>
    <t>拍卖</t>
  </si>
  <si>
    <t>BBZ-2018-02</t>
  </si>
  <si>
    <t>其他普通商品住房用地</t>
  </si>
  <si>
    <t>大于1.5并且小于2.5</t>
  </si>
  <si>
    <t>2018-02-26</t>
  </si>
  <si>
    <t>河南新碧北方置业有限公司</t>
  </si>
  <si>
    <t>70年</t>
  </si>
  <si>
    <t>BBZ-2018-03</t>
  </si>
  <si>
    <t>2018-02-23</t>
  </si>
  <si>
    <t>白璧镇亚龙湾路与茶店河交叉口西北</t>
  </si>
  <si>
    <t>BBZ-2018-01</t>
  </si>
  <si>
    <t>2018-02-01</t>
  </si>
  <si>
    <t>文峰大道与新安路交叉口东南</t>
  </si>
  <si>
    <t>挂牌</t>
  </si>
  <si>
    <t>BBZ-2017-13</t>
  </si>
  <si>
    <t>大于1并且小于2.5</t>
  </si>
  <si>
    <t>2017-12-21</t>
  </si>
  <si>
    <t>安阳金秋大地置业有限公司</t>
  </si>
  <si>
    <t>高庄镇雷市庄村光明路与海河大道交叉口东南</t>
  </si>
  <si>
    <t>GZZ-2017-02</t>
  </si>
  <si>
    <t>大于或等于1并且小于2.5</t>
  </si>
  <si>
    <t>2017-11-30</t>
  </si>
  <si>
    <t>林州鼎胜房地产开发有限公司</t>
  </si>
  <si>
    <t>白璧镇文峰大道与辛瓦路交叉口西北</t>
  </si>
  <si>
    <t>BBZ-2017-10</t>
  </si>
  <si>
    <t>大于或等于1并且小于2.7</t>
  </si>
  <si>
    <t>2017-10-19</t>
  </si>
  <si>
    <t>安阳国泰房地产开发有限责任公司</t>
  </si>
  <si>
    <t>BBZ-2017-09</t>
  </si>
  <si>
    <t>高庄镇雷市庄村,光明路与海河大道交叉口东北</t>
  </si>
  <si>
    <t>GZZ-2017-01</t>
  </si>
  <si>
    <t>大于或等于1.5并且小于2.5</t>
  </si>
  <si>
    <t>2017-09-28</t>
  </si>
  <si>
    <t>安阳市兴源房地产开发有限责任公司</t>
  </si>
  <si>
    <t>白璧镇文明大道与海兴路交叉口东北</t>
  </si>
  <si>
    <t>BBZ-2017-05</t>
  </si>
  <si>
    <t>大于或等于1.5并且小于3</t>
  </si>
  <si>
    <t>2017-07-12</t>
  </si>
  <si>
    <t>安阳蓬茂置业有限公司</t>
  </si>
  <si>
    <t>BBZ-2017-04</t>
  </si>
  <si>
    <t>白璧镇文峰大道北</t>
  </si>
  <si>
    <t>BBZ-2017-01</t>
  </si>
  <si>
    <t>2017-06-14</t>
  </si>
  <si>
    <t>河南府东房地产开发有限公司</t>
  </si>
  <si>
    <t>示范区南一路与新安路交叉口西北角</t>
  </si>
  <si>
    <t>ays-2016-40</t>
  </si>
  <si>
    <t>＞1且＜3</t>
  </si>
  <si>
    <t>2017-01-12</t>
  </si>
  <si>
    <t>安阳市文化产业投资有限公司</t>
  </si>
  <si>
    <t>大于1并且小于2</t>
  </si>
  <si>
    <t>河南省安阳市文峰区光明路与富泉街交叉口东北角</t>
    <phoneticPr fontId="6" type="noConversion"/>
  </si>
  <si>
    <t>安阳市文峰区文明大道与兴泰路交叉口西南</t>
  </si>
  <si>
    <t>ays-2018-1</t>
  </si>
  <si>
    <t>住宅、商业</t>
  </si>
  <si>
    <t>＞1且＜2.5</t>
  </si>
  <si>
    <t>2018-03-22</t>
  </si>
  <si>
    <t>河南嘉洲房地产开发有限公司</t>
  </si>
  <si>
    <t>住宅70年、商业40年</t>
  </si>
  <si>
    <t>文峰区朝阳路与岳飞街交叉口东南</t>
  </si>
  <si>
    <t>ays-2018-7</t>
  </si>
  <si>
    <t>2018-05-10</t>
  </si>
  <si>
    <t>安阳市北关区中华路与TD13号路交叉口西北</t>
  </si>
  <si>
    <t>ays-2016-82</t>
  </si>
  <si>
    <t>城镇住宅用地兼容其它商服用地</t>
  </si>
  <si>
    <t>2017-02-28</t>
  </si>
  <si>
    <t>住宅70年商服40年</t>
  </si>
  <si>
    <t>北关区漳河大道与化工三路交叉口西南</t>
  </si>
  <si>
    <t>ays-2017-47</t>
  </si>
  <si>
    <t>综合用地</t>
  </si>
  <si>
    <t>＞1且＜2</t>
  </si>
  <si>
    <t>2018-02-12</t>
  </si>
  <si>
    <t>安阳同泰房地产开发有限公司</t>
  </si>
  <si>
    <t>住宅70年商业40年</t>
  </si>
  <si>
    <t>ays-2017-46</t>
  </si>
  <si>
    <t>ays-2017-45</t>
  </si>
  <si>
    <t>学院路与规划路东南</t>
  </si>
  <si>
    <t>LZ2018-47</t>
  </si>
  <si>
    <t>大于1并且小于或等于1.5</t>
  </si>
  <si>
    <t>2018-04-16</t>
  </si>
  <si>
    <t>河南卓弘房地产开发有限公司</t>
  </si>
  <si>
    <t>LZ2018-3</t>
  </si>
  <si>
    <t>大于或等于1并且小于或等于1.5</t>
  </si>
  <si>
    <t>2018-03-03</t>
  </si>
  <si>
    <t>学院路与规划路东北</t>
  </si>
  <si>
    <t>LZ2018-4</t>
  </si>
  <si>
    <t>LZ2018-5</t>
  </si>
  <si>
    <t>龙安区钢二路与TX39号路交叉口西北</t>
  </si>
  <si>
    <t>ays-2017-38</t>
  </si>
  <si>
    <t>2017-10-20</t>
  </si>
  <si>
    <t>兴林街与善德路西南</t>
  </si>
  <si>
    <t>LZ2017-30</t>
  </si>
  <si>
    <t>大于1并且小于或等于2.5</t>
  </si>
  <si>
    <t>2017-10-09</t>
  </si>
  <si>
    <t>河南中房威泰置业有限公司</t>
  </si>
  <si>
    <t>桃园大道与规划路西北(阜民中学南)</t>
  </si>
  <si>
    <t>LZ2018-32</t>
  </si>
  <si>
    <t>大于1并且小于或等于2</t>
  </si>
  <si>
    <t>林州市豫资城乡建设发展有限公司</t>
  </si>
  <si>
    <t>桃园大道与规划路西北(明珠小区南)</t>
  </si>
  <si>
    <t>LZ2018-30</t>
  </si>
  <si>
    <t>龙安区文明大道与钢三路交叉口东南</t>
  </si>
  <si>
    <t>ays-2017-44</t>
  </si>
  <si>
    <t>2017-12-28</t>
  </si>
  <si>
    <t>安阳众森房地产开发有限公司</t>
  </si>
  <si>
    <t>龙安路与规划路东南</t>
  </si>
  <si>
    <t>LZ2018-25</t>
  </si>
  <si>
    <t>桃园大道与翠微路东南</t>
  </si>
  <si>
    <t>LZ2018-24</t>
  </si>
  <si>
    <t>桃园大道东段路北(马家庄村北)</t>
  </si>
  <si>
    <t>LZ2018-10</t>
  </si>
  <si>
    <t>LZ2018-11</t>
  </si>
  <si>
    <t>长春大道与长安路西北</t>
  </si>
  <si>
    <t>LZ2017-24</t>
  </si>
  <si>
    <t>大于或等于2并且小于或等于2.5</t>
  </si>
  <si>
    <t>2017-08-21</t>
  </si>
  <si>
    <t>河南永平置业有限公司</t>
  </si>
  <si>
    <t>汤阴县文王路与文博街交叉口西南方位</t>
  </si>
  <si>
    <t>G-17-36</t>
  </si>
  <si>
    <t>大于或等于1.5并且小于或等于2.5</t>
  </si>
  <si>
    <t>2017-12-22</t>
  </si>
  <si>
    <t>汤阴县枫荷房地产开发有限公司</t>
  </si>
  <si>
    <t>汤阴县光明路与易源大道交叉口西南方位</t>
  </si>
  <si>
    <t>G-17-38</t>
  </si>
  <si>
    <t>大于2并且小于3</t>
  </si>
  <si>
    <t>安阳市国立房地产有限公司</t>
  </si>
  <si>
    <t>桃园大道东段路北(东街村C)</t>
  </si>
  <si>
    <t>LZ2018-18</t>
  </si>
  <si>
    <t>大于1并且小于或等于2.3</t>
  </si>
  <si>
    <t>桃园大道东段路北(东街村B)</t>
  </si>
  <si>
    <t>LZ2018-17</t>
  </si>
  <si>
    <t>LZ2018-16</t>
  </si>
  <si>
    <t>桃园大道东段路北(东街村A)</t>
  </si>
  <si>
    <t>LZ2018-15</t>
  </si>
  <si>
    <t>LZ2018-14</t>
  </si>
  <si>
    <t>G-17-37</t>
  </si>
  <si>
    <t>2017-12-15</t>
  </si>
  <si>
    <t>安阳市宜居房地产开发有限公司</t>
  </si>
  <si>
    <t>林虑山大道与规划路东北</t>
  </si>
  <si>
    <t>LZ2017-31</t>
  </si>
  <si>
    <t>林州市几何房地产开发有限公司</t>
  </si>
  <si>
    <t>汤阴县星阁路与人民路交叉口东南角</t>
  </si>
  <si>
    <t>G-18-01</t>
  </si>
  <si>
    <t>2018-04-20</t>
  </si>
  <si>
    <t>汤阴县文化旅游发展有限公司</t>
  </si>
  <si>
    <t>文明大道与中州路交叉口东南角</t>
  </si>
  <si>
    <t>ays-2016-46</t>
  </si>
  <si>
    <t>＞1且＜3.5</t>
  </si>
  <si>
    <t>2016-12-09</t>
  </si>
  <si>
    <t>安阳市宏大房地产开发有限责任公司</t>
  </si>
  <si>
    <t>文明大道与光明路交叉口东南</t>
  </si>
  <si>
    <t>ays-2016-50</t>
  </si>
  <si>
    <t>2016-12-30</t>
  </si>
  <si>
    <t>安阳市远博置业有限公司</t>
  </si>
  <si>
    <t>安阳市龙安区金华街与钢花路交叉口东南</t>
  </si>
  <si>
    <t>ays-2016-74</t>
  </si>
  <si>
    <t>2017-04-18</t>
  </si>
  <si>
    <t>安阳市天赐置业有限公司</t>
  </si>
  <si>
    <t>鲁班大道与王相路西南</t>
  </si>
  <si>
    <t>LZ2017-34</t>
  </si>
  <si>
    <t>LZ2017-36</t>
  </si>
  <si>
    <t>LZ2017-35</t>
  </si>
  <si>
    <t>河南中房胃泰置业有限公司</t>
  </si>
  <si>
    <t>红旗渠大道与龙安路西北</t>
  </si>
  <si>
    <t>LZ2017-19</t>
  </si>
  <si>
    <t>大于或等于1.5并且小于或等于3.5</t>
  </si>
  <si>
    <t>2017-07-24</t>
  </si>
  <si>
    <t>河南泰宏林州房地产有限公司</t>
  </si>
  <si>
    <t>示范区文峰大道与新安路交叉口东南</t>
  </si>
  <si>
    <t>ays-2016-97</t>
  </si>
  <si>
    <t>住宅、商服</t>
  </si>
  <si>
    <t>2017-02-07</t>
  </si>
  <si>
    <t>二帝大道与繁阳二路交叉口东南角</t>
  </si>
  <si>
    <t>2017P-01-01</t>
  </si>
  <si>
    <t>大于1.5并且小于3</t>
  </si>
  <si>
    <t>2017-10-23</t>
  </si>
  <si>
    <t>内黄县圣达置业有限公司</t>
  </si>
  <si>
    <t>长春大道与通蒋里村路东北</t>
  </si>
  <si>
    <t>LZ2017-50</t>
  </si>
  <si>
    <t>大于1并且小于或等于1.75</t>
  </si>
  <si>
    <t>2017-12-26</t>
  </si>
  <si>
    <t>河南泓皓置业有限公司</t>
  </si>
  <si>
    <t>长春大道与通蒋里村路西北</t>
  </si>
  <si>
    <t>LZ2017-49</t>
  </si>
  <si>
    <t>汤阴县乾坤大道与德贤路交叉口西北角</t>
  </si>
  <si>
    <t>G-17-03</t>
  </si>
  <si>
    <t>2017-05-17</t>
  </si>
  <si>
    <t>安阳市润富商贸有限公司、安阳市房屋住宅开发公司</t>
  </si>
  <si>
    <t>汤阴县中华路与易源大道交叉口东北方位</t>
  </si>
  <si>
    <t>G-17-31</t>
  </si>
  <si>
    <t>G-17-30</t>
  </si>
  <si>
    <t>红旗渠大道与善德路东南</t>
  </si>
  <si>
    <t>LZ2017-16</t>
  </si>
  <si>
    <t>大于1并且小于或等于4.3</t>
  </si>
  <si>
    <t>林州市建设投资有限责任公司*林州市汇通房地产开发有限公司</t>
  </si>
  <si>
    <t>经二路与纬二路交叉口东北角</t>
  </si>
  <si>
    <t>2018G-01-04</t>
  </si>
  <si>
    <t>等于2.06</t>
  </si>
  <si>
    <t>2018-04-24</t>
  </si>
  <si>
    <t>内黄县东辉房地产开发有限公司</t>
  </si>
  <si>
    <t>红旗渠大道与实验路东北</t>
  </si>
  <si>
    <t>LZ2017-17</t>
  </si>
  <si>
    <t>大于1并且小于或等于3</t>
  </si>
  <si>
    <t>林州市兴业房地产开发有限公司</t>
  </si>
  <si>
    <t>繁阳二路与经二路交叉口西南角</t>
  </si>
  <si>
    <t>2017P-01-02</t>
  </si>
  <si>
    <t>二帝大道与繁阳一路交叉口东北角</t>
  </si>
  <si>
    <t>2017G-04-02</t>
  </si>
  <si>
    <t>2017-12-14</t>
  </si>
  <si>
    <t>内黄县新新置业有限公司</t>
  </si>
  <si>
    <t>林虑大道与龙安路西北</t>
  </si>
  <si>
    <t>LZ2016-56</t>
  </si>
  <si>
    <t>大于或等于1.5并且小于或等于3</t>
  </si>
  <si>
    <t>2016-12-02</t>
  </si>
  <si>
    <t>林州市城市投资集团有限公司</t>
  </si>
  <si>
    <t>林虑大道与太行路东北</t>
  </si>
  <si>
    <t>LZ2016-55</t>
  </si>
  <si>
    <t>中州路与文源街交叉口东南角</t>
  </si>
  <si>
    <t>ays-2016-48</t>
  </si>
  <si>
    <t>＞1且＜6</t>
  </si>
  <si>
    <t>2017-02-24</t>
  </si>
  <si>
    <t>安阳市国豫置业有限公司</t>
  </si>
  <si>
    <t>示范区文明大道与辛瓦路交叉口西南</t>
  </si>
  <si>
    <t>ays-2016-41</t>
  </si>
  <si>
    <t>≥2.5且＜3.5</t>
  </si>
  <si>
    <t>2016-12-14</t>
  </si>
  <si>
    <t>安阳旺龙置业有限公司</t>
  </si>
  <si>
    <t>住宅70年,商服40年</t>
  </si>
  <si>
    <t>经二路与纬二路交叉口东南角</t>
  </si>
  <si>
    <t>2018G-01-05</t>
  </si>
  <si>
    <t>等于2.5</t>
  </si>
  <si>
    <t>二帝大道与人民路交叉口东南角</t>
  </si>
  <si>
    <t>2017G-02-01</t>
  </si>
  <si>
    <t>大于1并且小于3</t>
  </si>
  <si>
    <t>2017-07-31</t>
  </si>
  <si>
    <t>内黄县浩创房地产开发有限公司</t>
  </si>
  <si>
    <t>安阳市北关区平原路与BH13号路交叉口东北</t>
  </si>
  <si>
    <t>ays-2016-81</t>
  </si>
  <si>
    <t>商服用地兼容住宅用地</t>
  </si>
  <si>
    <t>≥1且＜5</t>
  </si>
  <si>
    <t>安阳万浩房地产开发有限公司</t>
  </si>
  <si>
    <t>汤阴县光明路与新横三路交叉口东南角</t>
  </si>
  <si>
    <t>G-17-26</t>
  </si>
  <si>
    <t>2017-10-13</t>
  </si>
  <si>
    <t>安阳合成置业有限公司</t>
  </si>
  <si>
    <t>汤阴县中华路与易源大道交叉口西北角</t>
  </si>
  <si>
    <t>G-17-52</t>
  </si>
  <si>
    <t>安阳市中正置业有限公司</t>
  </si>
  <si>
    <t>汤阴县乾坤大道与文昌路交叉口东北方位</t>
  </si>
  <si>
    <t>G-17-13</t>
  </si>
  <si>
    <t>2017-07-14</t>
  </si>
  <si>
    <t>汤阴县建投开发有限公司</t>
  </si>
  <si>
    <t>汤阴县易源大道与新纵四路交叉口东南方位</t>
  </si>
  <si>
    <t>G-17-21</t>
  </si>
  <si>
    <t>人民街与王相路东北</t>
  </si>
  <si>
    <t>LZ2016-57</t>
  </si>
  <si>
    <t>汤阴县东关路北侧</t>
  </si>
  <si>
    <t>G-17-35</t>
  </si>
  <si>
    <t>大于2并且小于3.5</t>
  </si>
  <si>
    <t>汤阴县龙山城乡建设投资有限公司</t>
  </si>
  <si>
    <t>建设南路与长建路东南角</t>
  </si>
  <si>
    <t>LZ2016-53</t>
  </si>
  <si>
    <t>建设南路与长建路西南</t>
  </si>
  <si>
    <t>LZ2016-54</t>
  </si>
  <si>
    <t>林州市明盟置业有限公司</t>
  </si>
  <si>
    <t>人民街与规划路西北</t>
  </si>
  <si>
    <t>LZ2016-60</t>
  </si>
  <si>
    <t>林州市浩宇置业有限公司</t>
  </si>
  <si>
    <t>规划路与太行路西南</t>
  </si>
  <si>
    <t>LZ2016-52</t>
  </si>
  <si>
    <t>二帝大道与纬六路交叉口东南角</t>
  </si>
  <si>
    <t>2017G-04-01</t>
  </si>
  <si>
    <t>二帝大道与纬二路交叉口东南角</t>
  </si>
  <si>
    <t>2017G-02-02</t>
  </si>
  <si>
    <t>曲沟镇</t>
  </si>
  <si>
    <t>YDQG-2017-001</t>
  </si>
  <si>
    <t>2018-03-13</t>
  </si>
  <si>
    <t>安阳新城房地产开发有限公司</t>
  </si>
  <si>
    <t>YDQG-2017-002</t>
  </si>
  <si>
    <t>林州市林虑山大道与实验路东北</t>
  </si>
  <si>
    <t>LZ2017-5</t>
  </si>
  <si>
    <t>2017-04-27</t>
  </si>
  <si>
    <t>林州广泰房地产开发有限公司</t>
  </si>
  <si>
    <t>桃园大道与规划路西南</t>
  </si>
  <si>
    <t>LZ2016-66</t>
  </si>
  <si>
    <t>2017-01-24</t>
  </si>
  <si>
    <t>林州市建设投资有限责任公司</t>
  </si>
  <si>
    <t>天平大道与规划路东北</t>
  </si>
  <si>
    <t>LZ2016-51</t>
  </si>
  <si>
    <t>建设路东段南侧</t>
  </si>
  <si>
    <t>2017G-01-01</t>
  </si>
  <si>
    <t>2017-04-20</t>
  </si>
  <si>
    <t>内黄县天都房地产开发有限公司</t>
  </si>
  <si>
    <t>姚村镇安姚公路与东南公路西北</t>
  </si>
  <si>
    <t>LZ2017-9</t>
  </si>
  <si>
    <t>河南欣顺置业有限公司</t>
  </si>
  <si>
    <t>二帝大道与纬六路交叉口东北角</t>
  </si>
  <si>
    <t>2016G-04-02</t>
  </si>
  <si>
    <t>2016-11-23</t>
  </si>
  <si>
    <t>内黄县城市经营投资开发有限公司</t>
  </si>
  <si>
    <t>经三路与纬六路交叉口西北角</t>
  </si>
  <si>
    <t>2016G-04-01</t>
  </si>
  <si>
    <t>汤阴县中兴大道与金秋路交叉口东南方位</t>
  </si>
  <si>
    <t>G-17-01</t>
  </si>
  <si>
    <t>汤阴县城乡一体化发展有限公司</t>
  </si>
  <si>
    <t>汤阴县任固镇建设路与商业路交叉口东南方位</t>
  </si>
  <si>
    <t>G-17-06</t>
  </si>
  <si>
    <t>2017-06-28</t>
  </si>
  <si>
    <t>汤阴泉宇置业有限公司</t>
  </si>
  <si>
    <t>G-17-07</t>
  </si>
  <si>
    <t>汤阴县菜园镇阳光大道与经三路交叉口西北方位</t>
  </si>
  <si>
    <t>G-17-24</t>
  </si>
  <si>
    <t>2017-09-01</t>
  </si>
  <si>
    <t>刘婧</t>
  </si>
  <si>
    <t>繁阳四路北侧、繁阳大道西侧</t>
  </si>
  <si>
    <t>2017G-05-08</t>
  </si>
  <si>
    <t>2017-12-19</t>
  </si>
  <si>
    <t>安阳市汇聚实业有限公司</t>
  </si>
  <si>
    <t>繁阳四路北侧、文化路东侧</t>
  </si>
  <si>
    <t>2017G-05-07</t>
  </si>
  <si>
    <t>枣乡大道与纬八路交叉口东北角</t>
  </si>
  <si>
    <t>2016G-04-04</t>
  </si>
  <si>
    <t>汤阴县302省道南侧,兴隆路北延西侧</t>
  </si>
  <si>
    <t>G-16-40</t>
  </si>
  <si>
    <t>2017-09-22</t>
  </si>
  <si>
    <t>安阳世纪酉昊置业有限公司</t>
  </si>
  <si>
    <t>繁阳四路北侧、文昌路西侧</t>
  </si>
  <si>
    <t>2017G-02-04</t>
  </si>
  <si>
    <t>大于1并且小于3.5</t>
  </si>
  <si>
    <t>安阳花好月圆置业有限公司</t>
  </si>
  <si>
    <t>**项目**期规划指标</t>
  </si>
  <si>
    <t>总占地面积</t>
  </si>
  <si>
    <t>m2</t>
  </si>
  <si>
    <t>建筑用地面积</t>
  </si>
  <si>
    <t>总建筑面积</t>
  </si>
  <si>
    <t>建筑物基底面积</t>
  </si>
  <si>
    <t>建筑密度</t>
  </si>
  <si>
    <t>绿地率</t>
  </si>
  <si>
    <t>计容积率面积</t>
  </si>
  <si>
    <t>实际容积率</t>
  </si>
  <si>
    <t>围墙长度</t>
  </si>
  <si>
    <t>m</t>
  </si>
  <si>
    <t>道路用地合计</t>
  </si>
  <si>
    <t>沥青(砼)路面车行道</t>
  </si>
  <si>
    <t>露天停车位</t>
  </si>
  <si>
    <t>规划容积率</t>
  </si>
  <si>
    <t>总车位数</t>
  </si>
  <si>
    <t>可售车位</t>
  </si>
  <si>
    <t>总户数</t>
  </si>
  <si>
    <t>车位比</t>
  </si>
  <si>
    <t>景观用地合计（含庭院）</t>
  </si>
  <si>
    <t>绿地面积</t>
  </si>
  <si>
    <t>天然水景面积</t>
  </si>
  <si>
    <t>园路广场面积</t>
  </si>
  <si>
    <t>人行道面积</t>
  </si>
  <si>
    <t>景观设施面积</t>
  </si>
  <si>
    <t>硬底水景面积</t>
  </si>
  <si>
    <t>室外泳池面积</t>
  </si>
  <si>
    <t>庭院占地面积</t>
  </si>
  <si>
    <t>产品类型</t>
  </si>
  <si>
    <t>占地面积</t>
  </si>
  <si>
    <t>理论容积率</t>
  </si>
  <si>
    <t>楼栋数</t>
  </si>
  <si>
    <t>地上建筑面积</t>
  </si>
  <si>
    <t>地下建筑面积</t>
  </si>
  <si>
    <t>可售面积</t>
  </si>
  <si>
    <t>持有面积</t>
  </si>
  <si>
    <t>产品比例</t>
  </si>
  <si>
    <t>户均面积</t>
  </si>
  <si>
    <t>单元数</t>
  </si>
  <si>
    <t>户数</t>
  </si>
  <si>
    <t>层数</t>
  </si>
  <si>
    <t>层高(m)</t>
  </si>
  <si>
    <t>赠送面积
（㎡）</t>
  </si>
  <si>
    <t>备注</t>
  </si>
  <si>
    <t>住宅类</t>
  </si>
  <si>
    <t>独栋住宅</t>
  </si>
  <si>
    <t>联排住宅</t>
  </si>
  <si>
    <t>含联排双拼住宅</t>
  </si>
  <si>
    <t>叠加住宅</t>
  </si>
  <si>
    <t>含叠加双拼住宅</t>
  </si>
  <si>
    <t>普通多层</t>
  </si>
  <si>
    <t>指层数为5—6层的住宅</t>
  </si>
  <si>
    <t>公寓、soho根据层数计入上述相应分类。</t>
  </si>
  <si>
    <t>带电梯多层</t>
  </si>
  <si>
    <t>指层数为5—9层带电梯的住宅</t>
  </si>
  <si>
    <t>指层数为10—11层的住宅</t>
  </si>
  <si>
    <t>高层-A类</t>
  </si>
  <si>
    <t>指层数为12—18层的住宅；</t>
  </si>
  <si>
    <t>高层-B类</t>
  </si>
  <si>
    <t>指层数为19—25层的住宅</t>
  </si>
  <si>
    <t>高层-C类</t>
  </si>
  <si>
    <t>指总高26层及以上但不超过100米的住宅</t>
  </si>
  <si>
    <t>高层-D类</t>
  </si>
  <si>
    <t>指总高100米及以上的住宅</t>
  </si>
  <si>
    <t>非住宅类</t>
  </si>
  <si>
    <t>酒店</t>
  </si>
  <si>
    <t>写字楼</t>
  </si>
  <si>
    <t>底商</t>
  </si>
  <si>
    <t>指住宅等建筑物底层的商用铺位</t>
  </si>
  <si>
    <t>独立商业</t>
  </si>
  <si>
    <t>指非底商、非酒店、非写字楼部分商业</t>
  </si>
  <si>
    <t>配
套
设
施</t>
  </si>
  <si>
    <t>商务中心</t>
  </si>
  <si>
    <t>核算指导</t>
  </si>
  <si>
    <t>见《核算指导》</t>
  </si>
  <si>
    <t>物业用房</t>
  </si>
  <si>
    <t>配电房</t>
  </si>
  <si>
    <t>垃圾中转站</t>
  </si>
  <si>
    <t>成本全部摊入可售部分，不单独保留成本</t>
  </si>
  <si>
    <t>会所</t>
  </si>
  <si>
    <t>幼儿园</t>
  </si>
  <si>
    <t>小学</t>
  </si>
  <si>
    <t>市政设施用房</t>
  </si>
  <si>
    <t>其它</t>
  </si>
  <si>
    <t>代征道路</t>
  </si>
  <si>
    <t>代征绿地</t>
  </si>
  <si>
    <t>地下部分</t>
  </si>
  <si>
    <t>车位数</t>
  </si>
  <si>
    <t>单个车位面积</t>
  </si>
  <si>
    <t>地上车位</t>
  </si>
  <si>
    <t>地下储藏室</t>
  </si>
  <si>
    <t>地下非人防车库</t>
  </si>
  <si>
    <t>地下人防车库</t>
  </si>
  <si>
    <t>独栋</t>
  </si>
  <si>
    <t>地下</t>
  </si>
  <si>
    <t>车库</t>
  </si>
  <si>
    <t>成交地价</t>
  </si>
  <si>
    <t>总可售面积</t>
  </si>
  <si>
    <t>高层-B类-25层</t>
  </si>
  <si>
    <t>高层-C类-27层</t>
  </si>
  <si>
    <t>独栋</t>
    <phoneticPr fontId="7" type="noConversion"/>
  </si>
  <si>
    <t>多层</t>
    <phoneticPr fontId="7" type="noConversion"/>
  </si>
  <si>
    <t>车位</t>
  </si>
  <si>
    <t>车位</t>
    <phoneticPr fontId="7" type="noConversion"/>
  </si>
  <si>
    <t>六通一平</t>
    <phoneticPr fontId="26" type="noConversion"/>
  </si>
  <si>
    <t>五通一平</t>
    <phoneticPr fontId="26" type="noConversion"/>
  </si>
  <si>
    <t>四通一平</t>
    <phoneticPr fontId="26" type="noConversion"/>
  </si>
  <si>
    <t>三通一平</t>
    <phoneticPr fontId="26" type="noConversion"/>
  </si>
  <si>
    <t>请录依据文件名称：《安阳市城市基础设施配套费征收管理办法》 安政[2008]65号 http://www.aynews.net.cn/zt2014/05/2014-03/27/cms176898article.shtml</t>
    <phoneticPr fontId="3" type="noConversion"/>
  </si>
  <si>
    <t>光明路</t>
    <phoneticPr fontId="26" type="noConversion"/>
  </si>
  <si>
    <t>文明大道</t>
    <phoneticPr fontId="26" type="noConversion"/>
  </si>
  <si>
    <t>河南安创置业有限公司</t>
    <phoneticPr fontId="233" type="noConversion"/>
  </si>
  <si>
    <t>独栋</t>
    <phoneticPr fontId="21" type="noConversion"/>
  </si>
  <si>
    <t>双拼</t>
    <phoneticPr fontId="21" type="noConversion"/>
  </si>
  <si>
    <t>联排</t>
    <phoneticPr fontId="21" type="noConversion"/>
  </si>
  <si>
    <t>叠拼</t>
  </si>
  <si>
    <t>叠拼</t>
    <phoneticPr fontId="233" type="noConversion"/>
  </si>
  <si>
    <t>亚龙湾东湖</t>
    <phoneticPr fontId="3" type="noConversion"/>
  </si>
  <si>
    <t>文明大道与海兴路交叉口</t>
    <phoneticPr fontId="3" type="noConversion"/>
  </si>
  <si>
    <t>安阳市润城置业有限公司</t>
    <phoneticPr fontId="233" type="noConversion"/>
  </si>
  <si>
    <t>安阳同泰房地产开发有限公司</t>
    <phoneticPr fontId="233" type="noConversion"/>
  </si>
  <si>
    <t>白璧镇辛瓦路与文峰大道交叉口东南</t>
    <phoneticPr fontId="233" type="noConversion"/>
  </si>
  <si>
    <t>北关区漳河大道与化工三路交叉口西南</t>
    <phoneticPr fontId="233" type="noConversion"/>
  </si>
  <si>
    <t>中信凤凰城</t>
    <phoneticPr fontId="3" type="noConversion"/>
  </si>
  <si>
    <t>北关区漳河大道与化工三路交叉口西南</t>
    <phoneticPr fontId="233" type="noConversion"/>
  </si>
  <si>
    <t>中华路</t>
    <phoneticPr fontId="26" type="noConversion"/>
  </si>
  <si>
    <t>http://fcwap.0372.cn/zixuninfo.aspx?ZiXunID=21430</t>
  </si>
  <si>
    <t>http://www.tudinet.com/read/3031.html</t>
  </si>
  <si>
    <t>http://fc.0372.cn/news21255.html</t>
    <phoneticPr fontId="233" type="noConversion"/>
  </si>
  <si>
    <t>住宅</t>
    <phoneticPr fontId="233" type="noConversion"/>
  </si>
  <si>
    <t>独栋</t>
    <phoneticPr fontId="233" type="noConversion"/>
  </si>
  <si>
    <t>多层</t>
    <phoneticPr fontId="233" type="noConversion"/>
  </si>
  <si>
    <t>高层</t>
    <phoneticPr fontId="233" type="noConversion"/>
  </si>
  <si>
    <t>地下车位</t>
    <phoneticPr fontId="233" type="noConversion"/>
  </si>
  <si>
    <t>非经营性用房</t>
    <phoneticPr fontId="233" type="noConversion"/>
  </si>
  <si>
    <t>小计</t>
    <phoneticPr fontId="233" type="noConversion"/>
  </si>
  <si>
    <t>合计</t>
    <phoneticPr fontId="233" type="noConversion"/>
  </si>
  <si>
    <t>中建柒号院</t>
    <phoneticPr fontId="3" type="noConversion"/>
  </si>
  <si>
    <t>东区光明路与岳飞街交汇处（新人民医院东侧）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</si>
</sst>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 numFmtId="196" formatCode="#,##0_ "/>
    <numFmt numFmtId="197" formatCode="0.0_)\%;\(0.0\)\%;0.0_)\%;@_)_%"/>
    <numFmt numFmtId="198" formatCode="#,##0.0_)_%;\(#,##0.0\)_%;0.0_)_%;@_)_%"/>
    <numFmt numFmtId="199" formatCode="#,##0.0_);\(#,##0.0\);#,##0.0_);@_)"/>
    <numFmt numFmtId="200" formatCode="&quot;$&quot;_(#,##0.00_);&quot;$&quot;\(#,##0.00\);&quot;$&quot;_(0.00_);@_)"/>
    <numFmt numFmtId="201" formatCode="#,##0.00_);\(#,##0.00\);0.00_);@_)"/>
    <numFmt numFmtId="202" formatCode="&quot;€&quot;_(#,##0.00_);&quot;€&quot;\(#,##0.00\);&quot;€&quot;_(0.00_);@_)"/>
    <numFmt numFmtId="203" formatCode="#,##0_)\x;\(#,##0\)\x;0_)\x;@_)_x"/>
    <numFmt numFmtId="204" formatCode="#,##0_)_x;\(#,##0\)_x;0_)_x;@_)_x"/>
    <numFmt numFmtId="205" formatCode="&quot;$&quot;#,##0_);[Red]\(&quot;$&quot;#,##0\)"/>
    <numFmt numFmtId="206" formatCode="_(&quot;$&quot;* #,##0.00_);_(&quot;$&quot;* \(#,##0.00\);_(&quot;$&quot;* &quot;-&quot;??_);_(@_)"/>
  </numFmts>
  <fonts count="32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
      <u/>
      <sz val="11"/>
      <color theme="11"/>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name val="Times New Roman"/>
      <family val="1"/>
    </font>
    <font>
      <b/>
      <sz val="18"/>
      <color indexed="60"/>
      <name val="黑体"/>
      <family val="3"/>
      <charset val="134"/>
    </font>
    <font>
      <b/>
      <sz val="9"/>
      <name val="宋体"/>
      <family val="3"/>
      <charset val="134"/>
    </font>
    <font>
      <b/>
      <sz val="9"/>
      <color indexed="18"/>
      <name val="宋体"/>
      <family val="3"/>
      <charset val="134"/>
    </font>
    <font>
      <sz val="9"/>
      <color indexed="21"/>
      <name val="宋体"/>
      <family val="3"/>
      <charset val="134"/>
    </font>
    <font>
      <sz val="9"/>
      <color theme="1"/>
      <name val="宋体"/>
      <family val="3"/>
      <charset val="134"/>
    </font>
    <font>
      <sz val="9"/>
      <color indexed="18"/>
      <name val="宋体"/>
      <family val="3"/>
      <charset val="134"/>
    </font>
    <font>
      <sz val="10"/>
      <name val="Helv"/>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42"/>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sz val="10"/>
      <name val="MS Sans Serif"/>
      <family val="2"/>
    </font>
    <font>
      <b/>
      <sz val="11"/>
      <color indexed="42"/>
      <name val="宋体"/>
      <family val="3"/>
      <charset val="134"/>
    </font>
    <font>
      <i/>
      <sz val="11"/>
      <color indexed="23"/>
      <name val="宋体"/>
      <family val="3"/>
      <charset val="134"/>
    </font>
    <font>
      <sz val="11"/>
      <color indexed="17"/>
      <name val="宋体"/>
      <family val="3"/>
      <charset val="134"/>
    </font>
    <font>
      <b/>
      <sz val="15"/>
      <color indexed="62"/>
      <name val="宋体"/>
      <family val="3"/>
      <charset val="134"/>
    </font>
    <font>
      <b/>
      <sz val="13"/>
      <color indexed="62"/>
      <name val="宋体"/>
      <family val="3"/>
      <charset val="134"/>
    </font>
    <font>
      <b/>
      <sz val="11"/>
      <color indexed="62"/>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62"/>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2"/>
      <color indexed="20"/>
      <name val="宋体"/>
      <family val="3"/>
      <charset val="134"/>
    </font>
    <font>
      <u/>
      <sz val="9"/>
      <color indexed="12"/>
      <name val="宋体"/>
      <family val="3"/>
      <charset val="134"/>
    </font>
    <font>
      <u/>
      <sz val="12"/>
      <color indexed="10"/>
      <name val="Times New Roman"/>
      <family val="1"/>
    </font>
    <font>
      <sz val="12"/>
      <color indexed="17"/>
      <name val="宋体"/>
      <family val="3"/>
      <charset val="134"/>
    </font>
    <font>
      <u/>
      <sz val="10.8"/>
      <color indexed="36"/>
      <name val="Times New Roman"/>
      <family val="1"/>
    </font>
    <font>
      <b/>
      <sz val="11"/>
      <color indexed="9"/>
      <name val="宋体"/>
      <family val="3"/>
      <charset val="134"/>
    </font>
  </fonts>
  <fills count="4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43"/>
        <bgColor indexed="64"/>
      </patternFill>
    </fill>
    <fill>
      <patternFill patternType="gray125">
        <bgColor theme="0"/>
      </patternFill>
    </fill>
    <fill>
      <patternFill patternType="solid">
        <fgColor indexed="41"/>
        <bgColor indexed="64"/>
      </patternFill>
    </fill>
    <fill>
      <patternFill patternType="solid">
        <fgColor theme="9" tint="0.59999389629810485"/>
        <bgColor indexed="64"/>
      </patternFill>
    </fill>
    <fill>
      <patternFill patternType="lightTrellis">
        <bgColor theme="0"/>
      </patternFill>
    </fill>
    <fill>
      <patternFill patternType="solid">
        <fgColor indexed="47"/>
        <bgColor indexed="64"/>
      </patternFill>
    </fill>
    <fill>
      <patternFill patternType="solid">
        <fgColor indexed="26"/>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29"/>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55"/>
        <bgColor indexed="64"/>
      </patternFill>
    </fill>
    <fill>
      <patternFill patternType="solid">
        <fgColor indexed="62"/>
        <bgColor indexed="64"/>
      </patternFill>
    </fill>
  </fills>
  <borders count="17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56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86" fillId="0" borderId="0"/>
    <xf numFmtId="0" fontId="282" fillId="0" borderId="0"/>
    <xf numFmtId="0" fontId="32" fillId="0" borderId="0">
      <protection locked="0"/>
    </xf>
    <xf numFmtId="43" fontId="282" fillId="0" borderId="0" applyFont="0" applyFill="0" applyBorder="0" applyAlignment="0" applyProtection="0"/>
    <xf numFmtId="43" fontId="32" fillId="0" borderId="0" applyFont="0" applyFill="0" applyBorder="0" applyAlignment="0" applyProtection="0">
      <alignment vertical="center"/>
    </xf>
    <xf numFmtId="9" fontId="282" fillId="0" borderId="0" applyFont="0" applyFill="0" applyBorder="0" applyAlignment="0" applyProtection="0"/>
    <xf numFmtId="0" fontId="32" fillId="0" borderId="0"/>
    <xf numFmtId="0" fontId="282" fillId="0" borderId="0"/>
    <xf numFmtId="0" fontId="86" fillId="0" borderId="0"/>
    <xf numFmtId="197" fontId="86" fillId="0" borderId="0" applyFont="0" applyFill="0" applyBorder="0" applyAlignment="0" applyProtection="0"/>
    <xf numFmtId="198" fontId="86" fillId="0" borderId="0" applyFont="0" applyFill="0" applyBorder="0" applyAlignment="0" applyProtection="0"/>
    <xf numFmtId="0" fontId="289" fillId="0" borderId="0"/>
    <xf numFmtId="0" fontId="282" fillId="0" borderId="0"/>
    <xf numFmtId="0" fontId="282" fillId="0" borderId="0"/>
    <xf numFmtId="0" fontId="282" fillId="0" borderId="0"/>
    <xf numFmtId="0" fontId="282" fillId="0" borderId="0"/>
    <xf numFmtId="0" fontId="282" fillId="0" borderId="0"/>
    <xf numFmtId="199" fontId="86" fillId="0" borderId="0" applyFont="0" applyFill="0" applyBorder="0" applyAlignment="0" applyProtection="0"/>
    <xf numFmtId="200" fontId="86" fillId="0" borderId="0" applyFont="0" applyFill="0" applyBorder="0" applyAlignment="0" applyProtection="0"/>
    <xf numFmtId="201" fontId="86" fillId="0" borderId="0" applyFont="0" applyFill="0" applyBorder="0" applyAlignment="0" applyProtection="0"/>
    <xf numFmtId="0" fontId="282" fillId="0" borderId="0"/>
    <xf numFmtId="202" fontId="86" fillId="0" borderId="0" applyFont="0" applyFill="0" applyBorder="0" applyAlignment="0" applyProtection="0"/>
    <xf numFmtId="0" fontId="290" fillId="0" borderId="0" applyNumberFormat="0" applyFill="0" applyBorder="0" applyAlignment="0" applyProtection="0"/>
    <xf numFmtId="0" fontId="86" fillId="19" borderId="0" applyNumberFormat="0" applyFont="0" applyAlignment="0" applyProtection="0"/>
    <xf numFmtId="203" fontId="86" fillId="0" borderId="0" applyFont="0" applyFill="0" applyBorder="0" applyAlignment="0" applyProtection="0"/>
    <xf numFmtId="204" fontId="86" fillId="0" borderId="0" applyFont="0" applyFill="0" applyBorder="0" applyProtection="0">
      <alignment horizontal="right"/>
    </xf>
    <xf numFmtId="0" fontId="291" fillId="0" borderId="0" applyNumberFormat="0" applyFill="0" applyBorder="0" applyProtection="0">
      <alignment vertical="top"/>
    </xf>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292" fillId="0" borderId="157" applyNumberFormat="0" applyFill="0" applyProtection="0">
      <alignment horizontal="center"/>
    </xf>
    <xf numFmtId="0" fontId="292" fillId="0" borderId="157" applyNumberFormat="0" applyFill="0" applyProtection="0">
      <alignment horizontal="center"/>
    </xf>
    <xf numFmtId="0" fontId="292" fillId="0" borderId="157" applyNumberFormat="0" applyFill="0" applyProtection="0">
      <alignment horizontal="center"/>
    </xf>
    <xf numFmtId="0" fontId="292" fillId="0" borderId="0" applyNumberFormat="0" applyFill="0" applyBorder="0" applyProtection="0">
      <alignment horizontal="left"/>
    </xf>
    <xf numFmtId="0" fontId="293" fillId="0" borderId="0" applyNumberFormat="0" applyFill="0" applyBorder="0" applyProtection="0">
      <alignment horizontal="centerContinuous"/>
    </xf>
    <xf numFmtId="0" fontId="282" fillId="0" borderId="0"/>
    <xf numFmtId="0" fontId="289" fillId="0" borderId="0"/>
    <xf numFmtId="0" fontId="282" fillId="0" borderId="0"/>
    <xf numFmtId="0" fontId="86" fillId="0" borderId="0"/>
    <xf numFmtId="0" fontId="282" fillId="0" borderId="0"/>
    <xf numFmtId="0" fontId="289" fillId="0" borderId="0"/>
    <xf numFmtId="0" fontId="282" fillId="0" borderId="0"/>
    <xf numFmtId="0" fontId="289" fillId="0" borderId="0"/>
    <xf numFmtId="0" fontId="289" fillId="0" borderId="0"/>
    <xf numFmtId="0" fontId="289" fillId="0" borderId="0"/>
    <xf numFmtId="0" fontId="289" fillId="0" borderId="0"/>
    <xf numFmtId="0" fontId="289" fillId="0" borderId="0"/>
    <xf numFmtId="0" fontId="282" fillId="0" borderId="0"/>
    <xf numFmtId="0" fontId="282" fillId="0" borderId="0"/>
    <xf numFmtId="0" fontId="289" fillId="0" borderId="0"/>
    <xf numFmtId="0" fontId="289" fillId="0" borderId="0"/>
    <xf numFmtId="0" fontId="282" fillId="0" borderId="0"/>
    <xf numFmtId="0" fontId="282" fillId="0" borderId="0"/>
    <xf numFmtId="0" fontId="282" fillId="0" borderId="0"/>
    <xf numFmtId="0" fontId="282" fillId="0" borderId="0"/>
    <xf numFmtId="0" fontId="289" fillId="0" borderId="0"/>
    <xf numFmtId="0" fontId="289" fillId="0" borderId="0"/>
    <xf numFmtId="0" fontId="282" fillId="0" borderId="0"/>
    <xf numFmtId="0" fontId="289" fillId="0" borderId="0"/>
    <xf numFmtId="0" fontId="289" fillId="0" borderId="0"/>
    <xf numFmtId="0" fontId="282" fillId="0" borderId="0"/>
    <xf numFmtId="0" fontId="282"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2" fillId="0" borderId="0"/>
    <xf numFmtId="0" fontId="282" fillId="0" borderId="0"/>
    <xf numFmtId="0" fontId="282" fillId="0" borderId="0"/>
    <xf numFmtId="0" fontId="282" fillId="0" borderId="0"/>
    <xf numFmtId="0" fontId="289" fillId="0" borderId="0"/>
    <xf numFmtId="0" fontId="289" fillId="0" borderId="0"/>
    <xf numFmtId="0" fontId="289" fillId="0" borderId="0">
      <alignment vertical="center"/>
    </xf>
    <xf numFmtId="0" fontId="289" fillId="0" borderId="0"/>
    <xf numFmtId="0" fontId="282" fillId="0" borderId="0"/>
    <xf numFmtId="0" fontId="289" fillId="0" borderId="0"/>
    <xf numFmtId="0" fontId="81" fillId="3" borderId="0" applyNumberFormat="0" applyBorder="0" applyAlignment="0" applyProtection="0">
      <alignment vertical="center"/>
    </xf>
    <xf numFmtId="0" fontId="81" fillId="24" borderId="0" applyNumberFormat="0" applyBorder="0" applyAlignment="0" applyProtection="0">
      <alignment vertical="center"/>
    </xf>
    <xf numFmtId="0" fontId="81" fillId="25" borderId="0" applyNumberFormat="0" applyBorder="0" applyAlignment="0" applyProtection="0">
      <alignment vertical="center"/>
    </xf>
    <xf numFmtId="0" fontId="81" fillId="3" borderId="0" applyNumberFormat="0" applyBorder="0" applyAlignment="0" applyProtection="0">
      <alignment vertical="center"/>
    </xf>
    <xf numFmtId="0" fontId="81" fillId="26" borderId="0" applyNumberFormat="0" applyBorder="0" applyAlignment="0" applyProtection="0">
      <alignment vertical="center"/>
    </xf>
    <xf numFmtId="0" fontId="81" fillId="24"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81" fillId="29" borderId="0" applyNumberFormat="0" applyBorder="0" applyAlignment="0" applyProtection="0">
      <alignment vertical="center"/>
    </xf>
    <xf numFmtId="0" fontId="81" fillId="29" borderId="0" applyNumberFormat="0" applyBorder="0" applyAlignment="0" applyProtection="0">
      <alignment vertical="center"/>
    </xf>
    <xf numFmtId="0" fontId="81" fillId="29" borderId="0" applyNumberFormat="0" applyBorder="0" applyAlignment="0" applyProtection="0">
      <alignment vertical="center"/>
    </xf>
    <xf numFmtId="0" fontId="81" fillId="30" borderId="0" applyNumberFormat="0" applyBorder="0" applyAlignment="0" applyProtection="0">
      <alignment vertical="center"/>
    </xf>
    <xf numFmtId="0" fontId="81" fillId="30" borderId="0" applyNumberFormat="0" applyBorder="0" applyAlignment="0" applyProtection="0">
      <alignment vertical="center"/>
    </xf>
    <xf numFmtId="0" fontId="81" fillId="30"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6" fillId="0" borderId="0"/>
    <xf numFmtId="0" fontId="282" fillId="0" borderId="0"/>
    <xf numFmtId="0" fontId="32" fillId="0" borderId="0">
      <protection locked="0"/>
    </xf>
    <xf numFmtId="0" fontId="81" fillId="31" borderId="0" applyNumberFormat="0" applyBorder="0" applyAlignment="0" applyProtection="0">
      <alignment vertical="center"/>
    </xf>
    <xf numFmtId="0" fontId="81" fillId="32" borderId="0" applyNumberFormat="0" applyBorder="0" applyAlignment="0" applyProtection="0">
      <alignment vertical="center"/>
    </xf>
    <xf numFmtId="0" fontId="81" fillId="19" borderId="0" applyNumberFormat="0" applyBorder="0" applyAlignment="0" applyProtection="0">
      <alignment vertical="center"/>
    </xf>
    <xf numFmtId="0" fontId="81" fillId="31" borderId="0" applyNumberFormat="0" applyBorder="0" applyAlignment="0" applyProtection="0">
      <alignment vertical="center"/>
    </xf>
    <xf numFmtId="0" fontId="81" fillId="33" borderId="0" applyNumberFormat="0" applyBorder="0" applyAlignment="0" applyProtection="0">
      <alignment vertical="center"/>
    </xf>
    <xf numFmtId="0" fontId="81" fillId="24" borderId="0" applyNumberFormat="0" applyBorder="0" applyAlignment="0" applyProtection="0">
      <alignment vertical="center"/>
    </xf>
    <xf numFmtId="0" fontId="81" fillId="33" borderId="0" applyNumberFormat="0" applyBorder="0" applyAlignment="0" applyProtection="0">
      <alignment vertical="center"/>
    </xf>
    <xf numFmtId="0" fontId="81" fillId="33" borderId="0" applyNumberFormat="0" applyBorder="0" applyAlignment="0" applyProtection="0">
      <alignment vertical="center"/>
    </xf>
    <xf numFmtId="0" fontId="81" fillId="33" borderId="0" applyNumberFormat="0" applyBorder="0" applyAlignment="0" applyProtection="0">
      <alignment vertical="center"/>
    </xf>
    <xf numFmtId="0" fontId="81" fillId="32" borderId="0" applyNumberFormat="0" applyBorder="0" applyAlignment="0" applyProtection="0">
      <alignment vertical="center"/>
    </xf>
    <xf numFmtId="0" fontId="81" fillId="32" borderId="0" applyNumberFormat="0" applyBorder="0" applyAlignment="0" applyProtection="0">
      <alignment vertical="center"/>
    </xf>
    <xf numFmtId="0" fontId="81" fillId="32" borderId="0" applyNumberFormat="0" applyBorder="0" applyAlignment="0" applyProtection="0">
      <alignment vertical="center"/>
    </xf>
    <xf numFmtId="0" fontId="81" fillId="34" borderId="0" applyNumberFormat="0" applyBorder="0" applyAlignment="0" applyProtection="0">
      <alignment vertical="center"/>
    </xf>
    <xf numFmtId="0" fontId="81" fillId="34" borderId="0" applyNumberFormat="0" applyBorder="0" applyAlignment="0" applyProtection="0">
      <alignment vertical="center"/>
    </xf>
    <xf numFmtId="0" fontId="81" fillId="34" borderId="0" applyNumberFormat="0" applyBorder="0" applyAlignment="0" applyProtection="0">
      <alignment vertical="center"/>
    </xf>
    <xf numFmtId="0" fontId="81" fillId="30" borderId="0" applyNumberFormat="0" applyBorder="0" applyAlignment="0" applyProtection="0">
      <alignment vertical="center"/>
    </xf>
    <xf numFmtId="0" fontId="81" fillId="30" borderId="0" applyNumberFormat="0" applyBorder="0" applyAlignment="0" applyProtection="0">
      <alignment vertical="center"/>
    </xf>
    <xf numFmtId="0" fontId="81" fillId="30" borderId="0" applyNumberFormat="0" applyBorder="0" applyAlignment="0" applyProtection="0">
      <alignment vertical="center"/>
    </xf>
    <xf numFmtId="0" fontId="81" fillId="33" borderId="0" applyNumberFormat="0" applyBorder="0" applyAlignment="0" applyProtection="0">
      <alignment vertical="center"/>
    </xf>
    <xf numFmtId="0" fontId="81" fillId="33" borderId="0" applyNumberFormat="0" applyBorder="0" applyAlignment="0" applyProtection="0">
      <alignment vertical="center"/>
    </xf>
    <xf numFmtId="0" fontId="81" fillId="33" borderId="0" applyNumberFormat="0" applyBorder="0" applyAlignment="0" applyProtection="0">
      <alignment vertical="center"/>
    </xf>
    <xf numFmtId="0" fontId="81" fillId="35" borderId="0" applyNumberFormat="0" applyBorder="0" applyAlignment="0" applyProtection="0">
      <alignment vertical="center"/>
    </xf>
    <xf numFmtId="0" fontId="81" fillId="35" borderId="0" applyNumberFormat="0" applyBorder="0" applyAlignment="0" applyProtection="0">
      <alignment vertical="center"/>
    </xf>
    <xf numFmtId="0" fontId="81" fillId="35" borderId="0" applyNumberFormat="0" applyBorder="0" applyAlignment="0" applyProtection="0">
      <alignment vertical="center"/>
    </xf>
    <xf numFmtId="0" fontId="294" fillId="36" borderId="0" applyNumberFormat="0" applyBorder="0" applyAlignment="0" applyProtection="0">
      <alignment vertical="center"/>
    </xf>
    <xf numFmtId="0" fontId="294" fillId="32" borderId="0" applyNumberFormat="0" applyBorder="0" applyAlignment="0" applyProtection="0">
      <alignment vertical="center"/>
    </xf>
    <xf numFmtId="0" fontId="294" fillId="19" borderId="0" applyNumberFormat="0" applyBorder="0" applyAlignment="0" applyProtection="0">
      <alignment vertical="center"/>
    </xf>
    <xf numFmtId="0" fontId="294" fillId="31" borderId="0" applyNumberFormat="0" applyBorder="0" applyAlignment="0" applyProtection="0">
      <alignment vertical="center"/>
    </xf>
    <xf numFmtId="0" fontId="294" fillId="36" borderId="0" applyNumberFormat="0" applyBorder="0" applyAlignment="0" applyProtection="0">
      <alignment vertical="center"/>
    </xf>
    <xf numFmtId="0" fontId="294" fillId="24" borderId="0" applyNumberFormat="0" applyBorder="0" applyAlignment="0" applyProtection="0">
      <alignment vertical="center"/>
    </xf>
    <xf numFmtId="0" fontId="295" fillId="37" borderId="0" applyNumberFormat="0" applyBorder="0" applyAlignment="0" applyProtection="0">
      <alignment vertical="center"/>
    </xf>
    <xf numFmtId="0" fontId="295" fillId="37" borderId="0" applyNumberFormat="0" applyBorder="0" applyAlignment="0" applyProtection="0">
      <alignment vertical="center"/>
    </xf>
    <xf numFmtId="0" fontId="295" fillId="37" borderId="0" applyNumberFormat="0" applyBorder="0" applyAlignment="0" applyProtection="0">
      <alignment vertical="center"/>
    </xf>
    <xf numFmtId="0" fontId="295" fillId="32" borderId="0" applyNumberFormat="0" applyBorder="0" applyAlignment="0" applyProtection="0">
      <alignment vertical="center"/>
    </xf>
    <xf numFmtId="0" fontId="295" fillId="32" borderId="0" applyNumberFormat="0" applyBorder="0" applyAlignment="0" applyProtection="0">
      <alignment vertical="center"/>
    </xf>
    <xf numFmtId="0" fontId="295" fillId="32" borderId="0" applyNumberFormat="0" applyBorder="0" applyAlignment="0" applyProtection="0">
      <alignment vertical="center"/>
    </xf>
    <xf numFmtId="0" fontId="295" fillId="34" borderId="0" applyNumberFormat="0" applyBorder="0" applyAlignment="0" applyProtection="0">
      <alignment vertical="center"/>
    </xf>
    <xf numFmtId="0" fontId="295" fillId="34" borderId="0" applyNumberFormat="0" applyBorder="0" applyAlignment="0" applyProtection="0">
      <alignment vertical="center"/>
    </xf>
    <xf numFmtId="0" fontId="295" fillId="34" borderId="0" applyNumberFormat="0" applyBorder="0" applyAlignment="0" applyProtection="0">
      <alignment vertical="center"/>
    </xf>
    <xf numFmtId="0" fontId="295" fillId="38" borderId="0" applyNumberFormat="0" applyBorder="0" applyAlignment="0" applyProtection="0">
      <alignment vertical="center"/>
    </xf>
    <xf numFmtId="0" fontId="295" fillId="38" borderId="0" applyNumberFormat="0" applyBorder="0" applyAlignment="0" applyProtection="0">
      <alignment vertical="center"/>
    </xf>
    <xf numFmtId="0" fontId="295" fillId="38" borderId="0" applyNumberFormat="0" applyBorder="0" applyAlignment="0" applyProtection="0">
      <alignment vertical="center"/>
    </xf>
    <xf numFmtId="0" fontId="295" fillId="36" borderId="0" applyNumberFormat="0" applyBorder="0" applyAlignment="0" applyProtection="0">
      <alignment vertical="center"/>
    </xf>
    <xf numFmtId="0" fontId="295" fillId="36" borderId="0" applyNumberFormat="0" applyBorder="0" applyAlignment="0" applyProtection="0">
      <alignment vertical="center"/>
    </xf>
    <xf numFmtId="0" fontId="295" fillId="36" borderId="0" applyNumberFormat="0" applyBorder="0" applyAlignment="0" applyProtection="0">
      <alignment vertical="center"/>
    </xf>
    <xf numFmtId="0" fontId="295" fillId="39" borderId="0" applyNumberFormat="0" applyBorder="0" applyAlignment="0" applyProtection="0">
      <alignment vertical="center"/>
    </xf>
    <xf numFmtId="0" fontId="295" fillId="39" borderId="0" applyNumberFormat="0" applyBorder="0" applyAlignment="0" applyProtection="0">
      <alignment vertical="center"/>
    </xf>
    <xf numFmtId="0" fontId="295" fillId="39" borderId="0" applyNumberFormat="0" applyBorder="0" applyAlignment="0" applyProtection="0">
      <alignment vertical="center"/>
    </xf>
    <xf numFmtId="0" fontId="294" fillId="36" borderId="0" applyNumberFormat="0" applyBorder="0" applyAlignment="0" applyProtection="0">
      <alignment vertical="center"/>
    </xf>
    <xf numFmtId="0" fontId="294" fillId="4" borderId="0" applyNumberFormat="0" applyBorder="0" applyAlignment="0" applyProtection="0">
      <alignment vertical="center"/>
    </xf>
    <xf numFmtId="0" fontId="294" fillId="40" borderId="0" applyNumberFormat="0" applyBorder="0" applyAlignment="0" applyProtection="0">
      <alignment vertical="center"/>
    </xf>
    <xf numFmtId="0" fontId="294" fillId="41" borderId="0" applyNumberFormat="0" applyBorder="0" applyAlignment="0" applyProtection="0">
      <alignment vertical="center"/>
    </xf>
    <xf numFmtId="0" fontId="294" fillId="36" borderId="0" applyNumberFormat="0" applyBorder="0" applyAlignment="0" applyProtection="0">
      <alignment vertical="center"/>
    </xf>
    <xf numFmtId="0" fontId="294" fillId="42" borderId="0" applyNumberFormat="0" applyBorder="0" applyAlignment="0" applyProtection="0">
      <alignment vertical="center"/>
    </xf>
    <xf numFmtId="0" fontId="296" fillId="28" borderId="0" applyNumberFormat="0" applyBorder="0" applyAlignment="0" applyProtection="0">
      <alignment vertical="center"/>
    </xf>
    <xf numFmtId="0" fontId="297" fillId="3" borderId="158" applyNumberFormat="0" applyAlignment="0" applyProtection="0">
      <alignment vertical="center"/>
    </xf>
    <xf numFmtId="3" fontId="298" fillId="0" borderId="2"/>
    <xf numFmtId="3" fontId="32" fillId="0" borderId="2"/>
    <xf numFmtId="3" fontId="32" fillId="0" borderId="2"/>
    <xf numFmtId="3" fontId="32" fillId="0" borderId="2"/>
    <xf numFmtId="0" fontId="299" fillId="43" borderId="159" applyNumberFormat="0" applyAlignment="0" applyProtection="0">
      <alignment vertical="center"/>
    </xf>
    <xf numFmtId="0" fontId="234" fillId="0" borderId="0" applyNumberFormat="0" applyFill="0" applyBorder="0" applyAlignment="0" applyProtection="0"/>
    <xf numFmtId="38" fontId="86" fillId="0" borderId="0" applyFont="0" applyFill="0" applyBorder="0" applyAlignment="0" applyProtection="0"/>
    <xf numFmtId="41" fontId="32" fillId="0" borderId="0" applyFont="0" applyFill="0" applyBorder="0" applyAlignment="0" applyProtection="0">
      <alignment vertical="center"/>
    </xf>
    <xf numFmtId="43" fontId="86" fillId="0" borderId="0" applyFont="0" applyFill="0" applyBorder="0" applyAlignment="0" applyProtection="0"/>
    <xf numFmtId="205" fontId="86" fillId="0" borderId="0" applyFont="0" applyFill="0" applyBorder="0" applyAlignment="0" applyProtection="0"/>
    <xf numFmtId="206" fontId="86" fillId="0" borderId="0" applyFont="0" applyFill="0" applyBorder="0" applyAlignment="0" applyProtection="0"/>
    <xf numFmtId="0" fontId="300" fillId="0" borderId="0" applyNumberFormat="0" applyFill="0" applyBorder="0" applyAlignment="0" applyProtection="0">
      <alignment vertical="center"/>
    </xf>
    <xf numFmtId="0" fontId="301" fillId="29" borderId="0" applyNumberFormat="0" applyBorder="0" applyAlignment="0" applyProtection="0">
      <alignment vertical="center"/>
    </xf>
    <xf numFmtId="0" fontId="302" fillId="0" borderId="160" applyNumberFormat="0" applyFill="0" applyAlignment="0" applyProtection="0">
      <alignment vertical="center"/>
    </xf>
    <xf numFmtId="0" fontId="303" fillId="0" borderId="161" applyNumberFormat="0" applyFill="0" applyAlignment="0" applyProtection="0">
      <alignment vertical="center"/>
    </xf>
    <xf numFmtId="0" fontId="304" fillId="0" borderId="162" applyNumberFormat="0" applyFill="0" applyAlignment="0" applyProtection="0">
      <alignment vertical="center"/>
    </xf>
    <xf numFmtId="0" fontId="304" fillId="0" borderId="0" applyNumberFormat="0" applyFill="0" applyBorder="0" applyAlignment="0" applyProtection="0">
      <alignment vertical="center"/>
    </xf>
    <xf numFmtId="0" fontId="305" fillId="24" borderId="158" applyNumberFormat="0" applyAlignment="0" applyProtection="0">
      <alignment vertical="center"/>
    </xf>
    <xf numFmtId="0" fontId="306" fillId="0" borderId="163" applyNumberFormat="0" applyFill="0" applyAlignment="0" applyProtection="0">
      <alignment vertical="center"/>
    </xf>
    <xf numFmtId="0" fontId="307" fillId="19" borderId="0" applyNumberFormat="0" applyBorder="0" applyAlignment="0" applyProtection="0">
      <alignment vertical="center"/>
    </xf>
    <xf numFmtId="0" fontId="145" fillId="0" borderId="0"/>
    <xf numFmtId="0" fontId="86" fillId="0" borderId="0"/>
    <xf numFmtId="0" fontId="32" fillId="25" borderId="164" applyNumberFormat="0" applyFont="0" applyAlignment="0" applyProtection="0">
      <alignment vertical="center"/>
    </xf>
    <xf numFmtId="0" fontId="308" fillId="3" borderId="165" applyNumberFormat="0" applyAlignment="0" applyProtection="0">
      <alignment vertical="center"/>
    </xf>
    <xf numFmtId="9" fontId="32" fillId="0" borderId="0" applyFont="0" applyFill="0" applyBorder="0" applyAlignment="0" applyProtection="0">
      <alignment vertical="center"/>
    </xf>
    <xf numFmtId="0" fontId="234" fillId="0" borderId="0" applyNumberFormat="0" applyFill="0" applyBorder="0" applyAlignment="0" applyProtection="0"/>
    <xf numFmtId="0" fontId="309" fillId="0" borderId="0" applyNumberFormat="0" applyFill="0" applyBorder="0" applyAlignment="0" applyProtection="0">
      <alignment vertical="center"/>
    </xf>
    <xf numFmtId="0" fontId="133" fillId="0" borderId="166" applyNumberFormat="0" applyFill="0" applyAlignment="0" applyProtection="0">
      <alignment vertical="center"/>
    </xf>
    <xf numFmtId="0" fontId="228" fillId="0" borderId="0" applyNumberForma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298" fillId="0" borderId="0" applyFont="0" applyFill="0" applyBorder="0" applyAlignment="0" applyProtection="0"/>
    <xf numFmtId="9" fontId="282" fillId="0" borderId="0" applyFont="0" applyFill="0" applyBorder="0" applyAlignment="0" applyProtection="0"/>
    <xf numFmtId="9" fontId="282" fillId="0" borderId="0" applyProtection="0"/>
    <xf numFmtId="9" fontId="282" fillId="0" borderId="0" applyFont="0" applyFill="0" applyBorder="0" applyAlignment="0" applyProtection="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282" fillId="0" borderId="0" applyProtection="0"/>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0" fontId="310" fillId="0" borderId="167" applyNumberFormat="0" applyFill="0" applyAlignment="0" applyProtection="0">
      <alignment vertical="center"/>
    </xf>
    <xf numFmtId="0" fontId="310" fillId="0" borderId="167" applyNumberFormat="0" applyFill="0" applyAlignment="0" applyProtection="0">
      <alignment vertical="center"/>
    </xf>
    <xf numFmtId="0" fontId="310" fillId="0" borderId="167" applyNumberFormat="0" applyFill="0" applyAlignment="0" applyProtection="0">
      <alignment vertical="center"/>
    </xf>
    <xf numFmtId="0" fontId="311" fillId="0" borderId="161" applyNumberFormat="0" applyFill="0" applyAlignment="0" applyProtection="0">
      <alignment vertical="center"/>
    </xf>
    <xf numFmtId="0" fontId="311" fillId="0" borderId="161" applyNumberFormat="0" applyFill="0" applyAlignment="0" applyProtection="0">
      <alignment vertical="center"/>
    </xf>
    <xf numFmtId="0" fontId="311" fillId="0" borderId="161" applyNumberFormat="0" applyFill="0" applyAlignment="0" applyProtection="0">
      <alignment vertical="center"/>
    </xf>
    <xf numFmtId="0" fontId="312" fillId="0" borderId="168" applyNumberFormat="0" applyFill="0" applyAlignment="0" applyProtection="0">
      <alignment vertical="center"/>
    </xf>
    <xf numFmtId="0" fontId="312" fillId="0" borderId="168" applyNumberFormat="0" applyFill="0" applyAlignment="0" applyProtection="0">
      <alignment vertical="center"/>
    </xf>
    <xf numFmtId="0" fontId="312" fillId="0" borderId="168" applyNumberFormat="0" applyFill="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0" applyNumberFormat="0" applyFill="0" applyBorder="0" applyAlignment="0" applyProtection="0">
      <alignment vertical="center"/>
    </xf>
    <xf numFmtId="0" fontId="313" fillId="0" borderId="0" applyNumberFormat="0" applyFill="0" applyBorder="0" applyAlignment="0" applyProtection="0">
      <alignment vertical="center"/>
    </xf>
    <xf numFmtId="0" fontId="313" fillId="0" borderId="0" applyNumberFormat="0" applyFill="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314" fillId="28" borderId="0" applyNumberFormat="0" applyBorder="0" applyAlignment="0" applyProtection="0">
      <alignment vertical="center"/>
    </xf>
    <xf numFmtId="0" fontId="296" fillId="28" borderId="0" applyNumberFormat="0" applyBorder="0" applyAlignment="0" applyProtection="0">
      <alignment vertical="center"/>
    </xf>
    <xf numFmtId="0" fontId="314" fillId="28" borderId="0" applyNumberFormat="0" applyBorder="0" applyAlignment="0" applyProtection="0">
      <alignment vertical="center"/>
    </xf>
    <xf numFmtId="0" fontId="32" fillId="0" borderId="0">
      <alignment vertical="center"/>
      <protection locked="0"/>
    </xf>
    <xf numFmtId="0" fontId="32" fillId="0" borderId="0"/>
    <xf numFmtId="0" fontId="32" fillId="0" borderId="0"/>
    <xf numFmtId="0" fontId="32" fillId="0" borderId="0"/>
    <xf numFmtId="0" fontId="32" fillId="0" borderId="0">
      <alignment vertical="center"/>
    </xf>
    <xf numFmtId="0" fontId="86" fillId="0" borderId="0"/>
    <xf numFmtId="0" fontId="32" fillId="0" borderId="0"/>
    <xf numFmtId="0" fontId="32" fillId="0" borderId="0"/>
    <xf numFmtId="0" fontId="32" fillId="0" borderId="0">
      <alignment vertical="center"/>
    </xf>
    <xf numFmtId="0" fontId="32" fillId="0" borderId="0">
      <alignment vertical="center"/>
    </xf>
    <xf numFmtId="0" fontId="86" fillId="0" borderId="0"/>
    <xf numFmtId="0" fontId="86" fillId="0" borderId="0"/>
    <xf numFmtId="0" fontId="32" fillId="0" borderId="0">
      <protection locked="0"/>
    </xf>
    <xf numFmtId="0" fontId="32" fillId="0" borderId="0"/>
    <xf numFmtId="0" fontId="32" fillId="0" borderId="0">
      <protection locked="0"/>
    </xf>
    <xf numFmtId="0" fontId="32" fillId="0" borderId="0" applyProtection="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282" fillId="0" borderId="0">
      <alignment vertical="center"/>
    </xf>
    <xf numFmtId="0" fontId="32" fillId="0" borderId="0"/>
    <xf numFmtId="0" fontId="145" fillId="0" borderId="0">
      <alignment vertical="center"/>
    </xf>
    <xf numFmtId="0" fontId="32" fillId="0" borderId="0"/>
    <xf numFmtId="0" fontId="32" fillId="0" borderId="0"/>
    <xf numFmtId="0" fontId="32" fillId="0" borderId="0">
      <alignment vertical="center"/>
    </xf>
    <xf numFmtId="0" fontId="282" fillId="0" borderId="0"/>
    <xf numFmtId="0" fontId="32" fillId="0" borderId="0">
      <protection locked="0"/>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145" fillId="0" borderId="0">
      <alignment vertical="center"/>
    </xf>
    <xf numFmtId="0" fontId="145"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xf numFmtId="0" fontId="282" fillId="0" borderId="0"/>
    <xf numFmtId="0" fontId="315" fillId="0" borderId="0" applyNumberFormat="0" applyFill="0" applyBorder="0" applyAlignment="0" applyProtection="0">
      <alignment vertical="top"/>
      <protection locked="0"/>
    </xf>
    <xf numFmtId="0" fontId="316" fillId="0" borderId="0" applyNumberFormat="0" applyFill="0" applyBorder="0" applyAlignment="0" applyProtection="0"/>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17" fillId="29" borderId="0" applyNumberFormat="0" applyBorder="0" applyAlignment="0" applyProtection="0">
      <alignment vertical="center"/>
    </xf>
    <xf numFmtId="0" fontId="301" fillId="29" borderId="0" applyNumberFormat="0" applyBorder="0" applyAlignment="0" applyProtection="0">
      <alignment vertical="center"/>
    </xf>
    <xf numFmtId="0" fontId="317" fillId="29" borderId="0" applyNumberFormat="0" applyBorder="0" applyAlignment="0" applyProtection="0">
      <alignment vertical="center"/>
    </xf>
    <xf numFmtId="0" fontId="318" fillId="0" borderId="0" applyNumberFormat="0" applyFill="0" applyBorder="0" applyAlignment="0" applyProtection="0">
      <alignment vertical="top"/>
      <protection locked="0"/>
    </xf>
    <xf numFmtId="0" fontId="133" fillId="0" borderId="169" applyNumberFormat="0" applyFill="0" applyAlignment="0" applyProtection="0">
      <alignment vertical="center"/>
    </xf>
    <xf numFmtId="0" fontId="133" fillId="0" borderId="169" applyNumberFormat="0" applyFill="0" applyAlignment="0" applyProtection="0">
      <alignment vertical="center"/>
    </xf>
    <xf numFmtId="0" fontId="133" fillId="0" borderId="169" applyNumberFormat="0" applyFill="0" applyAlignment="0" applyProtection="0">
      <alignment vertical="center"/>
    </xf>
    <xf numFmtId="0" fontId="297" fillId="31" borderId="158" applyNumberFormat="0" applyAlignment="0" applyProtection="0">
      <alignment vertical="center"/>
    </xf>
    <xf numFmtId="0" fontId="297" fillId="31" borderId="158" applyNumberFormat="0" applyAlignment="0" applyProtection="0">
      <alignment vertical="center"/>
    </xf>
    <xf numFmtId="0" fontId="297" fillId="31" borderId="158" applyNumberFormat="0" applyAlignment="0" applyProtection="0">
      <alignment vertical="center"/>
    </xf>
    <xf numFmtId="0" fontId="319" fillId="43" borderId="159" applyNumberFormat="0" applyAlignment="0" applyProtection="0">
      <alignment vertical="center"/>
    </xf>
    <xf numFmtId="0" fontId="319" fillId="43" borderId="159" applyNumberFormat="0" applyAlignment="0" applyProtection="0">
      <alignment vertical="center"/>
    </xf>
    <xf numFmtId="0" fontId="319" fillId="43" borderId="159" applyNumberFormat="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06" fillId="0" borderId="163" applyNumberFormat="0" applyFill="0" applyAlignment="0" applyProtection="0">
      <alignment vertical="center"/>
    </xf>
    <xf numFmtId="0" fontId="306" fillId="0" borderId="163" applyNumberFormat="0" applyFill="0" applyAlignment="0" applyProtection="0">
      <alignment vertical="center"/>
    </xf>
    <xf numFmtId="0" fontId="306" fillId="0" borderId="163" applyNumberFormat="0" applyFill="0" applyAlignment="0" applyProtection="0">
      <alignment vertical="center"/>
    </xf>
    <xf numFmtId="0" fontId="32" fillId="0" borderId="0"/>
    <xf numFmtId="0" fontId="282" fillId="0" borderId="0" applyFont="0" applyFill="0" applyBorder="0" applyAlignment="0" applyProtection="0"/>
    <xf numFmtId="0" fontId="282" fillId="0" borderId="0" applyFont="0" applyFill="0" applyBorder="0" applyAlignment="0" applyProtection="0"/>
    <xf numFmtId="0" fontId="282" fillId="0" borderId="0" applyFont="0" applyFill="0" applyBorder="0" applyAlignment="0" applyProtection="0"/>
    <xf numFmtId="0" fontId="2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82" fillId="0" borderId="0" applyFont="0" applyFill="0" applyBorder="0" applyAlignment="0" applyProtection="0"/>
    <xf numFmtId="43" fontId="282" fillId="0" borderId="0" applyFont="0" applyFill="0" applyBorder="0" applyAlignment="0" applyProtection="0"/>
    <xf numFmtId="43" fontId="32" fillId="0" borderId="0" applyFont="0" applyFill="0" applyBorder="0" applyAlignment="0" applyProtection="0">
      <alignment vertical="center"/>
    </xf>
    <xf numFmtId="43" fontId="282" fillId="0" borderId="0" applyFont="0" applyFill="0" applyBorder="0" applyAlignment="0" applyProtection="0"/>
    <xf numFmtId="43" fontId="32" fillId="0" borderId="0" applyFont="0" applyFill="0" applyBorder="0" applyAlignment="0" applyProtection="0">
      <alignment vertical="center"/>
    </xf>
    <xf numFmtId="43" fontId="282" fillId="0" borderId="0" applyFont="0" applyFill="0" applyBorder="0" applyAlignment="0" applyProtection="0"/>
    <xf numFmtId="43" fontId="28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Protection="0"/>
    <xf numFmtId="43" fontId="32" fillId="0" borderId="0" applyProtection="0"/>
    <xf numFmtId="43" fontId="32" fillId="0" borderId="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xf numFmtId="43" fontId="32" fillId="0" borderId="0" applyProtection="0"/>
    <xf numFmtId="43" fontId="32" fillId="0" borderId="0" applyProtection="0"/>
    <xf numFmtId="43" fontId="32" fillId="0" borderId="0" applyProtection="0"/>
    <xf numFmtId="43" fontId="32" fillId="0" borderId="0" applyFont="0" applyFill="0" applyBorder="0" applyAlignment="0" applyProtection="0"/>
    <xf numFmtId="43" fontId="282" fillId="0" borderId="0" applyFont="0" applyFill="0" applyBorder="0" applyAlignment="0" applyProtection="0">
      <alignment vertical="center"/>
    </xf>
    <xf numFmtId="43" fontId="32" fillId="0" borderId="0" applyFont="0" applyFill="0" applyBorder="0" applyAlignment="0" applyProtection="0">
      <alignment vertical="center"/>
    </xf>
    <xf numFmtId="43" fontId="282" fillId="0" borderId="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145" fillId="0" borderId="0" applyFont="0" applyFill="0" applyBorder="0" applyAlignment="0" applyProtection="0">
      <alignment vertical="center"/>
    </xf>
    <xf numFmtId="43" fontId="32" fillId="0" borderId="0" applyProtection="0"/>
    <xf numFmtId="43" fontId="32" fillId="0" borderId="0" applyProtection="0"/>
    <xf numFmtId="43" fontId="32" fillId="0" borderId="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alignment vertical="center"/>
    </xf>
    <xf numFmtId="43" fontId="145"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xf numFmtId="43" fontId="32" fillId="0" borderId="0" applyFont="0" applyFill="0" applyBorder="0" applyAlignment="0" applyProtection="0"/>
    <xf numFmtId="41" fontId="282" fillId="0" borderId="0" applyFont="0" applyFill="0" applyBorder="0" applyAlignment="0" applyProtection="0"/>
    <xf numFmtId="41" fontId="32" fillId="0" borderId="0" applyProtection="0"/>
    <xf numFmtId="41" fontId="32" fillId="0" borderId="0" applyProtection="0"/>
    <xf numFmtId="41" fontId="282" fillId="0" borderId="0" applyFont="0" applyFill="0" applyBorder="0" applyAlignment="0" applyProtection="0"/>
    <xf numFmtId="0" fontId="295" fillId="44" borderId="0" applyNumberFormat="0" applyBorder="0" applyAlignment="0" applyProtection="0">
      <alignment vertical="center"/>
    </xf>
    <xf numFmtId="0" fontId="295" fillId="44" borderId="0" applyNumberFormat="0" applyBorder="0" applyAlignment="0" applyProtection="0">
      <alignment vertical="center"/>
    </xf>
    <xf numFmtId="0" fontId="295" fillId="44" borderId="0" applyNumberFormat="0" applyBorder="0" applyAlignment="0" applyProtection="0">
      <alignment vertical="center"/>
    </xf>
    <xf numFmtId="0" fontId="295" fillId="4" borderId="0" applyNumberFormat="0" applyBorder="0" applyAlignment="0" applyProtection="0">
      <alignment vertical="center"/>
    </xf>
    <xf numFmtId="0" fontId="295" fillId="4" borderId="0" applyNumberFormat="0" applyBorder="0" applyAlignment="0" applyProtection="0">
      <alignment vertical="center"/>
    </xf>
    <xf numFmtId="0" fontId="295" fillId="4" borderId="0" applyNumberFormat="0" applyBorder="0" applyAlignment="0" applyProtection="0">
      <alignment vertical="center"/>
    </xf>
    <xf numFmtId="0" fontId="295" fillId="40" borderId="0" applyNumberFormat="0" applyBorder="0" applyAlignment="0" applyProtection="0">
      <alignment vertical="center"/>
    </xf>
    <xf numFmtId="0" fontId="295" fillId="40" borderId="0" applyNumberFormat="0" applyBorder="0" applyAlignment="0" applyProtection="0">
      <alignment vertical="center"/>
    </xf>
    <xf numFmtId="0" fontId="295" fillId="40" borderId="0" applyNumberFormat="0" applyBorder="0" applyAlignment="0" applyProtection="0">
      <alignment vertical="center"/>
    </xf>
    <xf numFmtId="0" fontId="295" fillId="38" borderId="0" applyNumberFormat="0" applyBorder="0" applyAlignment="0" applyProtection="0">
      <alignment vertical="center"/>
    </xf>
    <xf numFmtId="0" fontId="295" fillId="38" borderId="0" applyNumberFormat="0" applyBorder="0" applyAlignment="0" applyProtection="0">
      <alignment vertical="center"/>
    </xf>
    <xf numFmtId="0" fontId="295" fillId="38" borderId="0" applyNumberFormat="0" applyBorder="0" applyAlignment="0" applyProtection="0">
      <alignment vertical="center"/>
    </xf>
    <xf numFmtId="0" fontId="295" fillId="36" borderId="0" applyNumberFormat="0" applyBorder="0" applyAlignment="0" applyProtection="0">
      <alignment vertical="center"/>
    </xf>
    <xf numFmtId="0" fontId="295" fillId="36" borderId="0" applyNumberFormat="0" applyBorder="0" applyAlignment="0" applyProtection="0">
      <alignment vertical="center"/>
    </xf>
    <xf numFmtId="0" fontId="295" fillId="36" borderId="0" applyNumberFormat="0" applyBorder="0" applyAlignment="0" applyProtection="0">
      <alignment vertical="center"/>
    </xf>
    <xf numFmtId="0" fontId="295" fillId="42" borderId="0" applyNumberFormat="0" applyBorder="0" applyAlignment="0" applyProtection="0">
      <alignment vertical="center"/>
    </xf>
    <xf numFmtId="0" fontId="295" fillId="42" borderId="0" applyNumberFormat="0" applyBorder="0" applyAlignment="0" applyProtection="0">
      <alignment vertical="center"/>
    </xf>
    <xf numFmtId="0" fontId="295" fillId="42" borderId="0" applyNumberFormat="0" applyBorder="0" applyAlignment="0" applyProtection="0">
      <alignment vertical="center"/>
    </xf>
    <xf numFmtId="0" fontId="308" fillId="31" borderId="165" applyNumberFormat="0" applyAlignment="0" applyProtection="0">
      <alignment vertical="center"/>
    </xf>
    <xf numFmtId="0" fontId="308" fillId="31" borderId="165" applyNumberFormat="0" applyAlignment="0" applyProtection="0">
      <alignment vertical="center"/>
    </xf>
    <xf numFmtId="0" fontId="308" fillId="31" borderId="165" applyNumberFormat="0" applyAlignment="0" applyProtection="0">
      <alignment vertical="center"/>
    </xf>
    <xf numFmtId="0" fontId="305" fillId="24" borderId="158" applyNumberFormat="0" applyAlignment="0" applyProtection="0">
      <alignment vertical="center"/>
    </xf>
    <xf numFmtId="0" fontId="305" fillId="24" borderId="158" applyNumberFormat="0" applyAlignment="0" applyProtection="0">
      <alignment vertical="center"/>
    </xf>
    <xf numFmtId="0" fontId="305" fillId="24" borderId="158" applyNumberFormat="0" applyAlignment="0" applyProtection="0">
      <alignment vertical="center"/>
    </xf>
    <xf numFmtId="0" fontId="282" fillId="0" borderId="0"/>
    <xf numFmtId="0" fontId="282" fillId="0" borderId="0"/>
    <xf numFmtId="191" fontId="282" fillId="0" borderId="0">
      <protection locked="0"/>
    </xf>
    <xf numFmtId="0" fontId="289" fillId="0" borderId="0"/>
    <xf numFmtId="0" fontId="289" fillId="0" borderId="0"/>
    <xf numFmtId="0" fontId="289" fillId="0" borderId="0"/>
    <xf numFmtId="0" fontId="289" fillId="0" borderId="0"/>
    <xf numFmtId="0" fontId="289" fillId="0" borderId="0"/>
    <xf numFmtId="0" fontId="289" fillId="0" borderId="0"/>
    <xf numFmtId="0" fontId="282" fillId="0" borderId="0"/>
    <xf numFmtId="0" fontId="282" fillId="0" borderId="0"/>
    <xf numFmtId="0" fontId="282" fillId="0" borderId="0"/>
    <xf numFmtId="0" fontId="289" fillId="0" borderId="0"/>
    <xf numFmtId="0" fontId="289" fillId="0" borderId="0">
      <alignment vertical="center"/>
    </xf>
    <xf numFmtId="0" fontId="289" fillId="0" borderId="0" applyProtection="0"/>
    <xf numFmtId="0" fontId="289" fillId="0" borderId="0"/>
    <xf numFmtId="0" fontId="289" fillId="0" borderId="0"/>
    <xf numFmtId="0" fontId="289" fillId="0" borderId="0"/>
    <xf numFmtId="0" fontId="282" fillId="0" borderId="0"/>
    <xf numFmtId="0" fontId="289" fillId="0" borderId="0"/>
    <xf numFmtId="0" fontId="282" fillId="0" borderId="0"/>
    <xf numFmtId="0" fontId="282" fillId="0" borderId="0"/>
    <xf numFmtId="0" fontId="282" fillId="0" borderId="0"/>
    <xf numFmtId="0" fontId="289" fillId="0" borderId="0"/>
    <xf numFmtId="0" fontId="289" fillId="0" borderId="0"/>
    <xf numFmtId="0" fontId="282" fillId="0" borderId="0"/>
    <xf numFmtId="0" fontId="32" fillId="25" borderId="164" applyNumberFormat="0" applyFont="0" applyAlignment="0" applyProtection="0">
      <alignment vertical="center"/>
    </xf>
    <xf numFmtId="0" fontId="32" fillId="25" borderId="164" applyNumberFormat="0" applyFont="0" applyAlignment="0" applyProtection="0">
      <alignment vertical="center"/>
    </xf>
    <xf numFmtId="0" fontId="32" fillId="25" borderId="164" applyNumberFormat="0" applyFont="0" applyAlignment="0" applyProtection="0">
      <alignment vertical="center"/>
    </xf>
    <xf numFmtId="0" fontId="277" fillId="0" borderId="0" applyNumberFormat="0" applyFill="0" applyBorder="0" applyAlignment="0" applyProtection="0">
      <alignment vertical="center"/>
    </xf>
  </cellStyleXfs>
  <cellXfs count="37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78" fontId="81" fillId="0" borderId="2" xfId="2" applyNumberFormat="1" applyFont="1" applyFill="1" applyBorder="1" applyAlignment="1" applyProtection="1">
      <alignment vertical="center"/>
      <protection locked="0"/>
    </xf>
    <xf numFmtId="0" fontId="280" fillId="17" borderId="153" xfId="0" applyFont="1" applyFill="1" applyBorder="1" applyAlignment="1">
      <alignment horizontal="center"/>
    </xf>
    <xf numFmtId="0" fontId="280"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5" xfId="0" applyFont="1" applyFill="1" applyBorder="1" applyAlignment="1">
      <alignment horizontal="right" vertical="center" wrapText="1"/>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49" fontId="84" fillId="2" borderId="43"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4" fillId="0" borderId="5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53" fillId="0" borderId="1" xfId="0" applyNumberFormat="1" applyFont="1" applyFill="1" applyBorder="1" applyAlignment="1" applyProtection="1">
      <alignment horizontal="center" vertical="center" wrapText="1"/>
      <protection locked="0"/>
    </xf>
    <xf numFmtId="0" fontId="145" fillId="6" borderId="0" xfId="2" applyFill="1" applyAlignment="1"/>
    <xf numFmtId="0" fontId="0" fillId="6" borderId="0" xfId="0" applyFill="1" applyAlignment="1"/>
    <xf numFmtId="0" fontId="0" fillId="9" borderId="0" xfId="0" applyFill="1" applyAlignment="1"/>
    <xf numFmtId="0" fontId="145" fillId="0" borderId="0" xfId="2" applyAlignment="1"/>
    <xf numFmtId="0" fontId="3" fillId="8" borderId="0" xfId="61" applyFont="1" applyFill="1" applyProtection="1"/>
    <xf numFmtId="180" fontId="3" fillId="19" borderId="1" xfId="62" applyNumberFormat="1" applyFont="1" applyFill="1" applyBorder="1" applyAlignment="1">
      <alignment vertical="center"/>
    </xf>
    <xf numFmtId="180" fontId="3" fillId="19" borderId="6" xfId="62" applyNumberFormat="1" applyFont="1" applyFill="1" applyBorder="1" applyAlignment="1">
      <alignment vertical="center"/>
    </xf>
    <xf numFmtId="0" fontId="3" fillId="8" borderId="6" xfId="61" applyFont="1" applyFill="1" applyBorder="1" applyAlignment="1" applyProtection="1">
      <alignment horizontal="center" vertical="center" wrapText="1"/>
    </xf>
    <xf numFmtId="180" fontId="3" fillId="8" borderId="6" xfId="61" applyNumberFormat="1" applyFont="1" applyFill="1" applyBorder="1" applyAlignment="1" applyProtection="1">
      <alignment vertical="center" wrapText="1"/>
    </xf>
    <xf numFmtId="180" fontId="3" fillId="19" borderId="6" xfId="62" applyNumberFormat="1" applyFont="1" applyFill="1" applyBorder="1" applyAlignment="1">
      <alignment horizontal="left" vertical="center"/>
    </xf>
    <xf numFmtId="180" fontId="3" fillId="8" borderId="0" xfId="61" applyNumberFormat="1" applyFont="1" applyFill="1" applyProtection="1"/>
    <xf numFmtId="180" fontId="3" fillId="19" borderId="11" xfId="62" applyNumberFormat="1" applyFont="1" applyFill="1" applyBorder="1" applyAlignment="1">
      <alignment vertical="center"/>
    </xf>
    <xf numFmtId="180" fontId="3" fillId="19" borderId="2" xfId="62" applyNumberFormat="1" applyFont="1" applyFill="1" applyBorder="1" applyAlignment="1">
      <alignment vertical="center"/>
    </xf>
    <xf numFmtId="0" fontId="3" fillId="8" borderId="2" xfId="61" applyFont="1" applyFill="1" applyBorder="1" applyAlignment="1" applyProtection="1">
      <alignment horizontal="center" vertical="center" wrapText="1"/>
    </xf>
    <xf numFmtId="180" fontId="3" fillId="19" borderId="2" xfId="62" applyNumberFormat="1" applyFont="1" applyFill="1" applyBorder="1" applyAlignment="1">
      <alignment horizontal="left" vertical="center"/>
    </xf>
    <xf numFmtId="0" fontId="3" fillId="8" borderId="12" xfId="61" applyFont="1" applyFill="1" applyBorder="1" applyAlignment="1" applyProtection="1">
      <alignment horizontal="left" vertical="center" wrapText="1"/>
    </xf>
    <xf numFmtId="0" fontId="144" fillId="8" borderId="0" xfId="61" applyFont="1" applyFill="1" applyAlignment="1" applyProtection="1">
      <alignment horizontal="center" vertical="center"/>
    </xf>
    <xf numFmtId="178" fontId="3" fillId="8" borderId="12" xfId="61" applyNumberFormat="1" applyFont="1" applyFill="1" applyBorder="1" applyAlignment="1" applyProtection="1">
      <alignment vertical="center"/>
    </xf>
    <xf numFmtId="10" fontId="144" fillId="8" borderId="0" xfId="61" applyNumberFormat="1" applyFont="1" applyFill="1" applyAlignment="1" applyProtection="1">
      <alignment horizontal="center" vertical="center"/>
    </xf>
    <xf numFmtId="180" fontId="3" fillId="19" borderId="11" xfId="62" applyNumberFormat="1" applyFont="1" applyFill="1" applyBorder="1" applyAlignment="1">
      <alignment horizontal="left" vertical="center"/>
    </xf>
    <xf numFmtId="0" fontId="3" fillId="8" borderId="12" xfId="61" applyFont="1" applyFill="1" applyBorder="1" applyAlignment="1" applyProtection="1">
      <alignment vertical="center"/>
    </xf>
    <xf numFmtId="0" fontId="3" fillId="8" borderId="0" xfId="61" applyFont="1" applyFill="1" applyBorder="1" applyAlignment="1" applyProtection="1">
      <alignment horizontal="center" vertical="center"/>
    </xf>
    <xf numFmtId="178" fontId="3" fillId="8" borderId="44" xfId="61" applyNumberFormat="1" applyFont="1" applyFill="1" applyBorder="1" applyAlignment="1" applyProtection="1">
      <alignment horizontal="center" vertical="center"/>
    </xf>
    <xf numFmtId="0" fontId="144" fillId="8" borderId="44" xfId="61" applyFont="1" applyFill="1" applyBorder="1" applyAlignment="1" applyProtection="1">
      <alignment horizontal="center" vertical="center"/>
    </xf>
    <xf numFmtId="0" fontId="3" fillId="8" borderId="44" xfId="61" applyFont="1" applyFill="1" applyBorder="1" applyAlignment="1" applyProtection="1">
      <alignment horizontal="center" vertical="center"/>
    </xf>
    <xf numFmtId="0" fontId="3" fillId="8" borderId="46" xfId="61" applyFont="1" applyFill="1" applyBorder="1" applyAlignment="1" applyProtection="1">
      <alignment vertical="center"/>
    </xf>
    <xf numFmtId="196" fontId="284" fillId="8" borderId="0" xfId="61" applyNumberFormat="1" applyFont="1" applyFill="1" applyBorder="1" applyAlignment="1" applyProtection="1">
      <alignment vertical="center" wrapText="1"/>
    </xf>
    <xf numFmtId="196" fontId="284" fillId="8" borderId="0" xfId="61" applyNumberFormat="1" applyFont="1" applyFill="1" applyBorder="1" applyAlignment="1" applyProtection="1">
      <alignment horizontal="center" vertical="center" wrapText="1"/>
    </xf>
    <xf numFmtId="196" fontId="285" fillId="21" borderId="6" xfId="60" applyNumberFormat="1" applyFont="1" applyFill="1" applyBorder="1" applyAlignment="1">
      <alignment horizontal="center" vertical="center"/>
    </xf>
    <xf numFmtId="196" fontId="285" fillId="21" borderId="7" xfId="60" applyNumberFormat="1" applyFont="1" applyFill="1" applyBorder="1" applyAlignment="1">
      <alignment horizontal="center" vertical="center"/>
    </xf>
    <xf numFmtId="43" fontId="127" fillId="8" borderId="2" xfId="63" applyFont="1" applyFill="1" applyBorder="1" applyAlignment="1">
      <alignment horizontal="left" vertical="center" wrapText="1"/>
    </xf>
    <xf numFmtId="180" fontId="3" fillId="0" borderId="2" xfId="60" applyNumberFormat="1" applyFont="1" applyBorder="1" applyAlignment="1">
      <alignment horizontal="center" vertical="center" wrapText="1"/>
    </xf>
    <xf numFmtId="180" fontId="3" fillId="0" borderId="2" xfId="60" applyNumberFormat="1" applyFont="1" applyFill="1" applyBorder="1" applyAlignment="1">
      <alignment horizontal="center" vertical="center" wrapText="1"/>
    </xf>
    <xf numFmtId="10" fontId="127" fillId="0" borderId="2" xfId="60" applyNumberFormat="1" applyFont="1" applyFill="1" applyBorder="1" applyAlignment="1">
      <alignment horizontal="center" vertical="center" wrapText="1"/>
    </xf>
    <xf numFmtId="180" fontId="3" fillId="0" borderId="2" xfId="60" applyNumberFormat="1" applyFont="1" applyBorder="1" applyAlignment="1" applyProtection="1">
      <alignment horizontal="center" vertical="center" wrapText="1"/>
    </xf>
    <xf numFmtId="43" fontId="127" fillId="10" borderId="2" xfId="63" applyFont="1" applyFill="1" applyBorder="1" applyAlignment="1">
      <alignment horizontal="left" vertical="center" wrapText="1"/>
    </xf>
    <xf numFmtId="180" fontId="3" fillId="8" borderId="2" xfId="60" applyNumberFormat="1" applyFont="1" applyFill="1" applyBorder="1" applyAlignment="1">
      <alignment horizontal="center" vertical="center" wrapText="1"/>
    </xf>
    <xf numFmtId="0" fontId="3" fillId="22" borderId="2" xfId="60" applyFont="1" applyFill="1" applyBorder="1" applyAlignment="1">
      <alignment horizontal="center" vertical="center" wrapText="1"/>
    </xf>
    <xf numFmtId="180" fontId="3" fillId="22" borderId="2" xfId="60" applyNumberFormat="1" applyFont="1" applyFill="1" applyBorder="1" applyAlignment="1">
      <alignment horizontal="center" vertical="center" wrapText="1"/>
    </xf>
    <xf numFmtId="180" fontId="3" fillId="22" borderId="2" xfId="60" applyNumberFormat="1" applyFont="1" applyFill="1" applyBorder="1" applyAlignment="1">
      <alignment vertical="center" wrapText="1"/>
    </xf>
    <xf numFmtId="180" fontId="3" fillId="22" borderId="2" xfId="60" applyNumberFormat="1" applyFont="1" applyFill="1" applyBorder="1" applyAlignment="1" applyProtection="1">
      <alignment horizontal="center" vertical="center" wrapText="1"/>
    </xf>
    <xf numFmtId="9" fontId="3" fillId="22" borderId="2" xfId="64" applyFont="1" applyFill="1" applyBorder="1" applyAlignment="1">
      <alignment horizontal="center" vertical="center" wrapText="1"/>
    </xf>
    <xf numFmtId="0" fontId="3" fillId="10" borderId="2" xfId="61" applyFont="1" applyFill="1" applyBorder="1" applyProtection="1"/>
    <xf numFmtId="180" fontId="3" fillId="8" borderId="2" xfId="61" applyNumberFormat="1" applyFont="1" applyFill="1" applyBorder="1" applyAlignment="1" applyProtection="1">
      <alignment horizontal="center" vertical="center" wrapText="1"/>
    </xf>
    <xf numFmtId="180" fontId="286" fillId="8" borderId="2" xfId="61" applyNumberFormat="1" applyFont="1" applyFill="1" applyBorder="1" applyAlignment="1" applyProtection="1">
      <alignment vertical="center" wrapText="1"/>
    </xf>
    <xf numFmtId="178" fontId="3" fillId="8" borderId="2" xfId="61" applyNumberFormat="1" applyFont="1" applyFill="1" applyBorder="1" applyAlignment="1" applyProtection="1">
      <alignment horizontal="center" vertical="center" wrapText="1"/>
    </xf>
    <xf numFmtId="0" fontId="3" fillId="8" borderId="2" xfId="61" applyFont="1" applyFill="1" applyBorder="1" applyAlignment="1" applyProtection="1">
      <alignment horizontal="center" vertical="center"/>
    </xf>
    <xf numFmtId="180" fontId="3" fillId="8" borderId="2" xfId="61" applyNumberFormat="1" applyFont="1" applyFill="1" applyBorder="1" applyAlignment="1" applyProtection="1">
      <alignment vertical="center" wrapText="1"/>
    </xf>
    <xf numFmtId="0" fontId="3" fillId="8" borderId="2" xfId="61" applyFont="1" applyFill="1" applyBorder="1" applyAlignment="1" applyProtection="1">
      <alignment vertical="center"/>
    </xf>
    <xf numFmtId="0" fontId="3" fillId="22" borderId="10" xfId="60" applyFont="1" applyFill="1" applyBorder="1" applyAlignment="1">
      <alignment horizontal="center" vertical="center" wrapText="1"/>
    </xf>
    <xf numFmtId="180" fontId="3" fillId="22" borderId="10" xfId="60" applyNumberFormat="1" applyFont="1" applyFill="1" applyBorder="1" applyAlignment="1">
      <alignment horizontal="center" vertical="center" wrapText="1"/>
    </xf>
    <xf numFmtId="180" fontId="3" fillId="22" borderId="10" xfId="60" applyNumberFormat="1" applyFont="1" applyFill="1" applyBorder="1" applyAlignment="1">
      <alignment vertical="center" wrapText="1"/>
    </xf>
    <xf numFmtId="180" fontId="3" fillId="22" borderId="10" xfId="60" applyNumberFormat="1" applyFont="1" applyFill="1" applyBorder="1" applyAlignment="1" applyProtection="1">
      <alignment horizontal="center" vertical="center" wrapText="1"/>
    </xf>
    <xf numFmtId="9" fontId="127" fillId="22" borderId="10" xfId="64" applyFont="1" applyFill="1" applyBorder="1" applyAlignment="1">
      <alignment horizontal="center" vertical="center" wrapText="1"/>
    </xf>
    <xf numFmtId="178" fontId="3" fillId="22" borderId="10" xfId="60" applyNumberFormat="1" applyFont="1" applyFill="1" applyBorder="1" applyAlignment="1">
      <alignment horizontal="center" vertical="center" wrapText="1"/>
    </xf>
    <xf numFmtId="0" fontId="3" fillId="22" borderId="10" xfId="60" applyFont="1" applyFill="1" applyBorder="1" applyAlignment="1">
      <alignment horizontal="center" vertical="center"/>
    </xf>
    <xf numFmtId="0" fontId="3" fillId="22" borderId="46" xfId="60" applyFont="1" applyFill="1" applyBorder="1" applyAlignment="1">
      <alignment vertical="center"/>
    </xf>
    <xf numFmtId="0" fontId="3" fillId="8" borderId="2" xfId="61" applyFont="1" applyFill="1" applyBorder="1" applyProtection="1"/>
    <xf numFmtId="0" fontId="127" fillId="0" borderId="2" xfId="65" applyFont="1" applyFill="1" applyBorder="1" applyAlignment="1">
      <alignment vertical="center"/>
    </xf>
    <xf numFmtId="180" fontId="3" fillId="8" borderId="2" xfId="61" applyNumberFormat="1" applyFont="1" applyFill="1" applyBorder="1" applyAlignment="1" applyProtection="1">
      <alignment horizontal="center" vertical="center"/>
    </xf>
    <xf numFmtId="180" fontId="286" fillId="0" borderId="0" xfId="61" applyNumberFormat="1" applyFont="1" applyFill="1" applyBorder="1" applyAlignment="1" applyProtection="1">
      <alignment vertical="center" wrapText="1"/>
    </xf>
    <xf numFmtId="0" fontId="127" fillId="0" borderId="2" xfId="65" applyFont="1" applyBorder="1" applyAlignment="1">
      <alignment vertical="center"/>
    </xf>
    <xf numFmtId="180" fontId="286" fillId="8" borderId="0" xfId="61" applyNumberFormat="1" applyFont="1" applyFill="1" applyBorder="1" applyAlignment="1" applyProtection="1">
      <alignment horizontal="left" vertical="center" wrapText="1"/>
    </xf>
    <xf numFmtId="0" fontId="287" fillId="0" borderId="2" xfId="66" applyFont="1" applyFill="1" applyBorder="1" applyAlignment="1">
      <alignment horizontal="left" vertical="center"/>
    </xf>
    <xf numFmtId="0" fontId="3" fillId="8" borderId="2" xfId="60" applyFont="1" applyFill="1" applyBorder="1" applyAlignment="1" applyProtection="1">
      <alignment horizontal="left" vertical="center" wrapText="1"/>
    </xf>
    <xf numFmtId="0" fontId="284" fillId="21" borderId="2" xfId="60" applyFont="1" applyFill="1" applyBorder="1" applyAlignment="1">
      <alignment vertical="center" wrapText="1"/>
    </xf>
    <xf numFmtId="180" fontId="284" fillId="21" borderId="2" xfId="60" applyNumberFormat="1" applyFont="1" applyFill="1" applyBorder="1" applyAlignment="1">
      <alignment vertical="center" wrapText="1"/>
    </xf>
    <xf numFmtId="180" fontId="284" fillId="21" borderId="2" xfId="60" applyNumberFormat="1" applyFont="1" applyFill="1" applyBorder="1" applyAlignment="1">
      <alignment horizontal="center" vertical="center" wrapText="1"/>
    </xf>
    <xf numFmtId="0" fontId="226" fillId="0" borderId="2" xfId="65" applyFont="1" applyBorder="1" applyAlignment="1">
      <alignment horizontal="left" vertical="center"/>
    </xf>
    <xf numFmtId="180" fontId="284" fillId="8" borderId="2" xfId="61" applyNumberFormat="1" applyFont="1" applyFill="1" applyBorder="1" applyAlignment="1" applyProtection="1">
      <alignment horizontal="center" vertical="center" wrapText="1"/>
    </xf>
    <xf numFmtId="178" fontId="284" fillId="8" borderId="2" xfId="61" applyNumberFormat="1" applyFont="1" applyFill="1" applyBorder="1" applyAlignment="1" applyProtection="1">
      <alignment horizontal="center" vertical="center" wrapText="1"/>
    </xf>
    <xf numFmtId="180" fontId="284" fillId="8" borderId="2" xfId="61" applyNumberFormat="1" applyFont="1" applyFill="1" applyBorder="1" applyAlignment="1" applyProtection="1">
      <alignment vertical="center" wrapText="1"/>
    </xf>
    <xf numFmtId="0" fontId="127" fillId="0" borderId="2" xfId="65" applyFont="1" applyBorder="1" applyAlignment="1">
      <alignment horizontal="right" vertical="center"/>
    </xf>
    <xf numFmtId="0" fontId="284" fillId="22" borderId="2" xfId="60" applyFont="1" applyFill="1" applyBorder="1" applyAlignment="1">
      <alignment horizontal="center" vertical="center" wrapText="1"/>
    </xf>
    <xf numFmtId="180" fontId="284" fillId="22" borderId="2" xfId="60" applyNumberFormat="1" applyFont="1" applyFill="1" applyBorder="1" applyAlignment="1">
      <alignment horizontal="center" vertical="center" wrapText="1"/>
    </xf>
    <xf numFmtId="180" fontId="284" fillId="22" borderId="2" xfId="60" applyNumberFormat="1" applyFont="1" applyFill="1" applyBorder="1" applyAlignment="1">
      <alignment vertical="center" wrapText="1"/>
    </xf>
    <xf numFmtId="180" fontId="284" fillId="22" borderId="2" xfId="60" applyNumberFormat="1" applyFont="1" applyFill="1" applyBorder="1" applyAlignment="1" applyProtection="1">
      <alignment vertical="center" wrapText="1"/>
    </xf>
    <xf numFmtId="0" fontId="285" fillId="21" borderId="43" xfId="60" applyFont="1" applyFill="1" applyBorder="1" applyAlignment="1">
      <alignment horizontal="center" vertical="center"/>
    </xf>
    <xf numFmtId="0" fontId="285" fillId="21" borderId="44" xfId="60" applyFont="1" applyFill="1" applyBorder="1" applyAlignment="1">
      <alignment horizontal="center" vertical="center"/>
    </xf>
    <xf numFmtId="196" fontId="288" fillId="21" borderId="44" xfId="60" applyNumberFormat="1" applyFont="1" applyFill="1" applyBorder="1" applyAlignment="1">
      <alignment horizontal="center" vertical="center"/>
    </xf>
    <xf numFmtId="196" fontId="288" fillId="21" borderId="44" xfId="60" applyNumberFormat="1" applyFont="1" applyFill="1" applyBorder="1" applyAlignment="1" applyProtection="1">
      <alignment horizontal="center" vertical="center"/>
    </xf>
    <xf numFmtId="9" fontId="288" fillId="21" borderId="44" xfId="64" applyFont="1" applyFill="1" applyBorder="1" applyAlignment="1">
      <alignment horizontal="center" vertical="center"/>
    </xf>
    <xf numFmtId="10" fontId="3" fillId="8" borderId="0" xfId="61" applyNumberFormat="1" applyFont="1" applyFill="1" applyProtection="1"/>
    <xf numFmtId="180" fontId="3" fillId="19" borderId="1" xfId="463" applyNumberFormat="1" applyFont="1" applyFill="1" applyBorder="1" applyAlignment="1">
      <alignment vertical="center"/>
    </xf>
    <xf numFmtId="180" fontId="3" fillId="19" borderId="6" xfId="463" applyNumberFormat="1" applyFont="1" applyFill="1" applyBorder="1" applyAlignment="1">
      <alignment vertical="center"/>
    </xf>
    <xf numFmtId="180" fontId="3" fillId="19" borderId="6" xfId="463" applyNumberFormat="1" applyFont="1" applyFill="1" applyBorder="1" applyAlignment="1">
      <alignment horizontal="left" vertical="center"/>
    </xf>
    <xf numFmtId="180" fontId="3" fillId="19" borderId="11" xfId="463" applyNumberFormat="1" applyFont="1" applyFill="1" applyBorder="1" applyAlignment="1">
      <alignment vertical="center"/>
    </xf>
    <xf numFmtId="180" fontId="3" fillId="19" borderId="2" xfId="463" applyNumberFormat="1" applyFont="1" applyFill="1" applyBorder="1" applyAlignment="1">
      <alignment vertical="center"/>
    </xf>
    <xf numFmtId="180" fontId="3" fillId="19" borderId="2" xfId="463" applyNumberFormat="1" applyFont="1" applyFill="1" applyBorder="1" applyAlignment="1">
      <alignment horizontal="left" vertical="center"/>
    </xf>
    <xf numFmtId="3" fontId="3" fillId="8" borderId="12" xfId="61" applyNumberFormat="1" applyFont="1" applyFill="1" applyBorder="1" applyProtection="1"/>
    <xf numFmtId="0" fontId="3" fillId="8" borderId="5" xfId="61" applyFont="1" applyFill="1" applyBorder="1" applyAlignment="1" applyProtection="1">
      <alignment horizontal="left" vertical="center" wrapText="1"/>
    </xf>
    <xf numFmtId="0" fontId="3" fillId="8" borderId="12" xfId="61" applyFont="1" applyFill="1" applyBorder="1" applyProtection="1"/>
    <xf numFmtId="0" fontId="144" fillId="8" borderId="12" xfId="61" applyFont="1" applyFill="1" applyBorder="1" applyAlignment="1" applyProtection="1">
      <alignment horizontal="center" vertical="center"/>
    </xf>
    <xf numFmtId="178" fontId="3" fillId="8" borderId="5" xfId="61" applyNumberFormat="1" applyFont="1" applyFill="1" applyBorder="1" applyAlignment="1" applyProtection="1">
      <alignment vertical="center"/>
    </xf>
    <xf numFmtId="180" fontId="3" fillId="19" borderId="11" xfId="463" applyNumberFormat="1" applyFont="1" applyFill="1" applyBorder="1" applyAlignment="1">
      <alignment horizontal="left" vertical="center"/>
    </xf>
    <xf numFmtId="0" fontId="3" fillId="8" borderId="5" xfId="61" applyFont="1" applyFill="1" applyBorder="1" applyAlignment="1" applyProtection="1">
      <alignment vertical="center"/>
    </xf>
    <xf numFmtId="0" fontId="3" fillId="8" borderId="12" xfId="61" applyFont="1" applyFill="1" applyBorder="1" applyAlignment="1" applyProtection="1">
      <alignment horizontal="center" vertical="center"/>
    </xf>
    <xf numFmtId="0" fontId="3" fillId="8" borderId="45" xfId="61" applyFont="1" applyFill="1" applyBorder="1" applyAlignment="1" applyProtection="1">
      <alignment vertical="center"/>
    </xf>
    <xf numFmtId="196" fontId="284" fillId="8" borderId="46" xfId="61" applyNumberFormat="1" applyFont="1" applyFill="1" applyBorder="1" applyAlignment="1" applyProtection="1">
      <alignment vertical="center" wrapText="1"/>
    </xf>
    <xf numFmtId="180" fontId="3" fillId="0" borderId="2" xfId="60" applyNumberFormat="1" applyFont="1" applyFill="1" applyBorder="1" applyAlignment="1">
      <alignment vertical="center" wrapText="1"/>
    </xf>
    <xf numFmtId="180" fontId="3" fillId="0" borderId="2" xfId="60" applyNumberFormat="1" applyFont="1" applyFill="1" applyBorder="1" applyAlignment="1" applyProtection="1">
      <alignment horizontal="center" vertical="center" wrapText="1"/>
    </xf>
    <xf numFmtId="178" fontId="3" fillId="0" borderId="2" xfId="60" applyNumberFormat="1" applyFont="1" applyBorder="1" applyAlignment="1">
      <alignment horizontal="center" vertical="center" wrapText="1"/>
    </xf>
    <xf numFmtId="178" fontId="3" fillId="0" borderId="12" xfId="60" applyNumberFormat="1" applyFont="1" applyBorder="1" applyAlignment="1">
      <alignment horizontal="center" vertical="center" wrapText="1"/>
    </xf>
    <xf numFmtId="10" fontId="127" fillId="0" borderId="2" xfId="60" applyNumberFormat="1" applyFont="1" applyFill="1" applyBorder="1" applyAlignment="1" applyProtection="1">
      <alignment horizontal="center" vertical="center" wrapText="1"/>
    </xf>
    <xf numFmtId="179" fontId="3" fillId="0" borderId="2" xfId="60" applyNumberFormat="1" applyFont="1" applyFill="1" applyBorder="1" applyAlignment="1">
      <alignment horizontal="center" vertical="center" wrapText="1"/>
    </xf>
    <xf numFmtId="0" fontId="3" fillId="3" borderId="2" xfId="60" applyFont="1" applyFill="1" applyBorder="1" applyAlignment="1">
      <alignment horizontal="center" vertical="center"/>
    </xf>
    <xf numFmtId="178" fontId="3" fillId="0" borderId="2" xfId="388" applyNumberFormat="1" applyFont="1" applyBorder="1" applyAlignment="1">
      <alignment horizontal="center" vertical="center" wrapText="1"/>
    </xf>
    <xf numFmtId="180" fontId="3" fillId="8" borderId="2" xfId="60" applyNumberFormat="1" applyFont="1" applyFill="1" applyBorder="1" applyAlignment="1" applyProtection="1">
      <alignment horizontal="center" vertical="center" wrapText="1"/>
    </xf>
    <xf numFmtId="180" fontId="3" fillId="0" borderId="2" xfId="60" applyNumberFormat="1" applyFont="1" applyFill="1" applyBorder="1" applyAlignment="1" applyProtection="1">
      <alignment vertical="center" wrapText="1"/>
    </xf>
    <xf numFmtId="9" fontId="3" fillId="22" borderId="2" xfId="255" applyFont="1" applyFill="1" applyBorder="1" applyAlignment="1">
      <alignment horizontal="center" vertical="center" wrapText="1"/>
    </xf>
    <xf numFmtId="9" fontId="127" fillId="22" borderId="10" xfId="255" applyFont="1" applyFill="1" applyBorder="1" applyAlignment="1">
      <alignment horizontal="center" vertical="center" wrapText="1"/>
    </xf>
    <xf numFmtId="9" fontId="284" fillId="22" borderId="2" xfId="255" applyFont="1" applyFill="1" applyBorder="1" applyAlignment="1">
      <alignment horizontal="center" vertical="center" wrapText="1"/>
    </xf>
    <xf numFmtId="195" fontId="288" fillId="21" borderId="44" xfId="60" applyNumberFormat="1" applyFont="1" applyFill="1" applyBorder="1" applyAlignment="1">
      <alignment horizontal="center" vertical="center"/>
    </xf>
    <xf numFmtId="9" fontId="288" fillId="21" borderId="44" xfId="255" applyFont="1" applyFill="1" applyBorder="1" applyAlignment="1">
      <alignment horizontal="center" vertical="center"/>
    </xf>
    <xf numFmtId="195" fontId="3" fillId="8" borderId="0" xfId="61" applyNumberFormat="1" applyFont="1" applyFill="1" applyProtection="1"/>
    <xf numFmtId="185" fontId="158" fillId="0" borderId="2" xfId="0" applyNumberFormat="1" applyFont="1" applyFill="1" applyBorder="1" applyAlignment="1" applyProtection="1">
      <alignment horizontal="center" vertical="center"/>
      <protection locked="0"/>
    </xf>
    <xf numFmtId="185" fontId="158" fillId="0" borderId="10" xfId="0" applyNumberFormat="1" applyFont="1" applyFill="1" applyBorder="1" applyAlignment="1" applyProtection="1">
      <alignment horizontal="center" vertical="center"/>
      <protection locked="0"/>
    </xf>
    <xf numFmtId="0" fontId="145" fillId="0" borderId="0" xfId="0" applyFont="1" applyAlignment="1"/>
    <xf numFmtId="0" fontId="145" fillId="9" borderId="0" xfId="0" applyFont="1" applyFill="1" applyAlignment="1"/>
    <xf numFmtId="0" fontId="277" fillId="0" borderId="0" xfId="56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9"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80" fontId="3" fillId="8" borderId="2" xfId="61" applyNumberFormat="1" applyFont="1" applyFill="1" applyBorder="1" applyAlignment="1" applyProtection="1">
      <alignment horizontal="center" vertical="center" wrapText="1"/>
    </xf>
    <xf numFmtId="180" fontId="3" fillId="19" borderId="2" xfId="62" applyNumberFormat="1" applyFont="1" applyFill="1" applyBorder="1" applyAlignment="1">
      <alignment horizontal="left" vertical="center"/>
    </xf>
    <xf numFmtId="10" fontId="3" fillId="8" borderId="2" xfId="61" applyNumberFormat="1" applyFont="1" applyFill="1" applyBorder="1" applyAlignment="1" applyProtection="1">
      <alignment horizontal="center" vertical="center" wrapText="1"/>
    </xf>
    <xf numFmtId="182" fontId="3" fillId="8" borderId="2" xfId="61" applyNumberFormat="1" applyFont="1" applyFill="1" applyBorder="1" applyAlignment="1" applyProtection="1">
      <alignment horizontal="center" vertical="center"/>
    </xf>
    <xf numFmtId="182" fontId="3" fillId="8" borderId="12" xfId="61" applyNumberFormat="1" applyFont="1" applyFill="1" applyBorder="1" applyAlignment="1" applyProtection="1">
      <alignment horizontal="center" vertical="center"/>
    </xf>
    <xf numFmtId="0" fontId="283" fillId="3" borderId="0" xfId="60" applyFont="1" applyFill="1" applyBorder="1" applyAlignment="1">
      <alignment horizontal="center" vertical="center"/>
    </xf>
    <xf numFmtId="180" fontId="3" fillId="8" borderId="6" xfId="61" applyNumberFormat="1" applyFont="1" applyFill="1" applyBorder="1" applyAlignment="1" applyProtection="1">
      <alignment horizontal="center" vertical="center" wrapText="1"/>
    </xf>
    <xf numFmtId="180" fontId="3" fillId="19" borderId="6" xfId="62" applyNumberFormat="1" applyFont="1" applyFill="1" applyBorder="1" applyAlignment="1">
      <alignment horizontal="left" vertical="center"/>
    </xf>
    <xf numFmtId="0" fontId="3" fillId="8" borderId="29" xfId="61" applyFont="1" applyFill="1" applyBorder="1" applyAlignment="1" applyProtection="1">
      <alignment horizontal="center" vertical="center" wrapText="1"/>
    </xf>
    <xf numFmtId="0" fontId="3" fillId="8" borderId="42" xfId="61" applyFont="1" applyFill="1" applyBorder="1" applyAlignment="1" applyProtection="1">
      <alignment horizontal="center" vertical="center" wrapText="1"/>
    </xf>
    <xf numFmtId="0" fontId="3" fillId="8" borderId="57" xfId="61" applyFont="1" applyFill="1" applyBorder="1" applyAlignment="1" applyProtection="1">
      <alignment horizontal="center" vertical="center" wrapText="1"/>
    </xf>
    <xf numFmtId="195" fontId="3" fillId="8" borderId="2" xfId="61" applyNumberFormat="1" applyFont="1" applyFill="1" applyBorder="1" applyAlignment="1" applyProtection="1">
      <alignment horizontal="center" vertical="center" wrapText="1"/>
    </xf>
    <xf numFmtId="196" fontId="3" fillId="8" borderId="2" xfId="61" applyNumberFormat="1" applyFont="1" applyFill="1" applyBorder="1" applyAlignment="1" applyProtection="1">
      <alignment horizontal="center" vertical="center"/>
    </xf>
    <xf numFmtId="0" fontId="3" fillId="8" borderId="2" xfId="61" applyFont="1" applyFill="1" applyBorder="1" applyAlignment="1" applyProtection="1">
      <alignment horizontal="center" vertical="center"/>
    </xf>
    <xf numFmtId="180" fontId="3" fillId="19" borderId="2" xfId="62" applyNumberFormat="1" applyFont="1" applyFill="1" applyBorder="1" applyAlignment="1">
      <alignment horizontal="center" vertical="center"/>
    </xf>
    <xf numFmtId="180" fontId="3" fillId="8" borderId="11" xfId="61" applyNumberFormat="1" applyFont="1" applyFill="1" applyBorder="1" applyAlignment="1" applyProtection="1">
      <alignment horizontal="center" vertical="center"/>
    </xf>
    <xf numFmtId="180" fontId="3" fillId="8" borderId="2" xfId="61" applyNumberFormat="1" applyFont="1" applyFill="1" applyBorder="1" applyAlignment="1" applyProtection="1">
      <alignment horizontal="center" vertical="center"/>
    </xf>
    <xf numFmtId="0" fontId="3" fillId="8" borderId="0" xfId="61" applyFont="1" applyFill="1" applyBorder="1" applyAlignment="1" applyProtection="1">
      <alignment horizontal="center" vertical="center"/>
    </xf>
    <xf numFmtId="180" fontId="3" fillId="8" borderId="43" xfId="61" applyNumberFormat="1" applyFont="1" applyFill="1" applyBorder="1" applyAlignment="1" applyProtection="1">
      <alignment horizontal="center" vertical="center"/>
    </xf>
    <xf numFmtId="180" fontId="3" fillId="8" borderId="44" xfId="61" applyNumberFormat="1" applyFont="1" applyFill="1" applyBorder="1" applyAlignment="1" applyProtection="1">
      <alignment horizontal="center" vertical="center"/>
    </xf>
    <xf numFmtId="178" fontId="3" fillId="8" borderId="44" xfId="61" applyNumberFormat="1" applyFont="1" applyFill="1" applyBorder="1" applyAlignment="1" applyProtection="1">
      <alignment horizontal="center" vertical="center"/>
    </xf>
    <xf numFmtId="178" fontId="3" fillId="8" borderId="45" xfId="61" applyNumberFormat="1" applyFont="1" applyFill="1" applyBorder="1" applyAlignment="1" applyProtection="1">
      <alignment horizontal="center" vertical="center"/>
    </xf>
    <xf numFmtId="178" fontId="3" fillId="8" borderId="47" xfId="61" applyNumberFormat="1" applyFont="1" applyFill="1" applyBorder="1" applyAlignment="1" applyProtection="1">
      <alignment horizontal="center" vertical="center"/>
    </xf>
    <xf numFmtId="0" fontId="3" fillId="8" borderId="44" xfId="61" applyFont="1" applyFill="1" applyBorder="1" applyAlignment="1" applyProtection="1">
      <alignment horizontal="center" vertical="center"/>
    </xf>
    <xf numFmtId="180" fontId="3" fillId="19" borderId="5" xfId="62" applyNumberFormat="1" applyFont="1" applyFill="1" applyBorder="1" applyAlignment="1">
      <alignment horizontal="center" vertical="center"/>
    </xf>
    <xf numFmtId="180" fontId="3" fillId="19" borderId="9" xfId="62" applyNumberFormat="1" applyFont="1" applyFill="1" applyBorder="1" applyAlignment="1">
      <alignment horizontal="center" vertical="center"/>
    </xf>
    <xf numFmtId="0" fontId="3" fillId="20" borderId="24" xfId="61" applyFont="1" applyFill="1" applyBorder="1" applyAlignment="1" applyProtection="1">
      <alignment horizontal="center" vertical="center"/>
    </xf>
    <xf numFmtId="0" fontId="3" fillId="20" borderId="3" xfId="61" applyFont="1" applyFill="1" applyBorder="1" applyAlignment="1" applyProtection="1">
      <alignment horizontal="center" vertical="center"/>
    </xf>
    <xf numFmtId="0" fontId="3" fillId="20" borderId="52" xfId="61" applyFont="1" applyFill="1" applyBorder="1" applyAlignment="1" applyProtection="1">
      <alignment horizontal="center" vertical="center"/>
    </xf>
    <xf numFmtId="0" fontId="285" fillId="21" borderId="1" xfId="60" applyFont="1" applyFill="1" applyBorder="1" applyAlignment="1">
      <alignment horizontal="center" vertical="center"/>
    </xf>
    <xf numFmtId="0" fontId="285" fillId="21" borderId="6" xfId="60" applyFont="1" applyFill="1" applyBorder="1" applyAlignment="1">
      <alignment horizontal="center" vertical="center"/>
    </xf>
    <xf numFmtId="196" fontId="284" fillId="10" borderId="2" xfId="61" applyNumberFormat="1" applyFont="1" applyFill="1" applyBorder="1" applyAlignment="1" applyProtection="1">
      <alignment horizontal="center" vertical="center" wrapText="1"/>
    </xf>
    <xf numFmtId="0" fontId="3" fillId="8" borderId="11" xfId="61" applyFont="1" applyFill="1" applyBorder="1" applyAlignment="1" applyProtection="1">
      <alignment horizontal="center" vertical="center" textRotation="255" wrapText="1"/>
    </xf>
    <xf numFmtId="0" fontId="3" fillId="10" borderId="5" xfId="61" applyFont="1" applyFill="1" applyBorder="1" applyAlignment="1" applyProtection="1">
      <alignment horizontal="center"/>
    </xf>
    <xf numFmtId="0" fontId="3" fillId="10" borderId="9" xfId="61" applyFont="1" applyFill="1" applyBorder="1" applyAlignment="1" applyProtection="1">
      <alignment horizontal="center"/>
    </xf>
    <xf numFmtId="43" fontId="127" fillId="10" borderId="2" xfId="63" applyFont="1" applyFill="1" applyBorder="1" applyAlignment="1">
      <alignment horizontal="center" vertical="center" wrapText="1"/>
    </xf>
    <xf numFmtId="0" fontId="127" fillId="10" borderId="2" xfId="61" applyFont="1" applyFill="1" applyBorder="1" applyAlignment="1" applyProtection="1">
      <alignment horizontal="center" vertical="center" wrapText="1"/>
    </xf>
    <xf numFmtId="0" fontId="3" fillId="8" borderId="22" xfId="61" applyFont="1" applyFill="1" applyBorder="1" applyAlignment="1" applyProtection="1">
      <alignment horizontal="center" vertical="center" textRotation="255" wrapText="1"/>
    </xf>
    <xf numFmtId="0" fontId="3" fillId="8" borderId="11" xfId="61" applyFont="1" applyFill="1" applyBorder="1" applyAlignment="1" applyProtection="1">
      <alignment horizontal="center" vertical="center" wrapText="1"/>
    </xf>
    <xf numFmtId="180" fontId="286" fillId="8" borderId="2" xfId="61" applyNumberFormat="1" applyFont="1" applyFill="1" applyBorder="1" applyAlignment="1" applyProtection="1">
      <alignment horizontal="center" vertical="center" wrapText="1"/>
    </xf>
    <xf numFmtId="180" fontId="286" fillId="8" borderId="2" xfId="61" applyNumberFormat="1" applyFont="1" applyFill="1" applyBorder="1" applyAlignment="1" applyProtection="1">
      <alignment horizontal="left" vertical="center" wrapText="1"/>
    </xf>
    <xf numFmtId="180" fontId="286" fillId="8" borderId="12" xfId="61" applyNumberFormat="1" applyFont="1" applyFill="1" applyBorder="1" applyAlignment="1" applyProtection="1">
      <alignment horizontal="left" vertical="center" wrapText="1"/>
    </xf>
    <xf numFmtId="180" fontId="286" fillId="0" borderId="0" xfId="61" applyNumberFormat="1" applyFont="1" applyFill="1" applyBorder="1" applyAlignment="1" applyProtection="1">
      <alignment horizontal="left" vertical="center" wrapText="1"/>
    </xf>
    <xf numFmtId="180" fontId="286" fillId="8" borderId="5" xfId="61" applyNumberFormat="1" applyFont="1" applyFill="1" applyBorder="1" applyAlignment="1" applyProtection="1">
      <alignment horizontal="center" vertical="center" wrapText="1"/>
    </xf>
    <xf numFmtId="180" fontId="286" fillId="8" borderId="8" xfId="61" applyNumberFormat="1" applyFont="1" applyFill="1" applyBorder="1" applyAlignment="1" applyProtection="1">
      <alignment horizontal="center" vertical="center" wrapText="1"/>
    </xf>
    <xf numFmtId="180" fontId="286" fillId="8" borderId="16" xfId="61" applyNumberFormat="1" applyFont="1" applyFill="1" applyBorder="1" applyAlignment="1" applyProtection="1">
      <alignment horizontal="center" vertical="center" wrapText="1"/>
    </xf>
    <xf numFmtId="180" fontId="286" fillId="8" borderId="0" xfId="61" applyNumberFormat="1" applyFont="1" applyFill="1" applyBorder="1" applyAlignment="1" applyProtection="1">
      <alignment horizontal="left" vertical="center" wrapText="1"/>
    </xf>
    <xf numFmtId="180" fontId="3" fillId="22" borderId="2" xfId="60" applyNumberFormat="1" applyFont="1" applyFill="1" applyBorder="1" applyAlignment="1">
      <alignment horizontal="center" vertical="center" wrapText="1"/>
    </xf>
    <xf numFmtId="180" fontId="3" fillId="22" borderId="12" xfId="60" applyNumberFormat="1" applyFont="1" applyFill="1" applyBorder="1" applyAlignment="1">
      <alignment horizontal="center" vertical="center" wrapText="1"/>
    </xf>
    <xf numFmtId="180" fontId="286" fillId="8" borderId="0" xfId="61" applyNumberFormat="1" applyFont="1" applyFill="1" applyBorder="1" applyAlignment="1" applyProtection="1">
      <alignment horizontal="left" vertical="center"/>
    </xf>
    <xf numFmtId="0" fontId="288" fillId="23" borderId="44" xfId="61" applyFont="1" applyFill="1" applyBorder="1" applyAlignment="1" applyProtection="1">
      <alignment horizontal="center" vertical="center"/>
    </xf>
    <xf numFmtId="0" fontId="288" fillId="23" borderId="46" xfId="61" applyFont="1" applyFill="1" applyBorder="1" applyAlignment="1" applyProtection="1">
      <alignment horizontal="center" vertical="center"/>
    </xf>
    <xf numFmtId="180" fontId="3" fillId="8" borderId="10" xfId="61" applyNumberFormat="1" applyFont="1" applyFill="1" applyBorder="1" applyAlignment="1" applyProtection="1">
      <alignment horizontal="center" vertical="center" wrapText="1"/>
    </xf>
    <xf numFmtId="180" fontId="3" fillId="8" borderId="21" xfId="61" applyNumberFormat="1" applyFont="1" applyFill="1" applyBorder="1" applyAlignment="1" applyProtection="1">
      <alignment horizontal="center" vertical="center" wrapText="1"/>
    </xf>
    <xf numFmtId="180" fontId="3" fillId="19" borderId="2" xfId="463" applyNumberFormat="1" applyFont="1" applyFill="1" applyBorder="1" applyAlignment="1">
      <alignment horizontal="left" vertical="center"/>
    </xf>
    <xf numFmtId="182" fontId="3" fillId="8" borderId="5" xfId="61" applyNumberFormat="1" applyFont="1" applyFill="1" applyBorder="1" applyAlignment="1" applyProtection="1">
      <alignment horizontal="center" vertical="center"/>
    </xf>
    <xf numFmtId="180" fontId="3" fillId="19" borderId="6" xfId="463" applyNumberFormat="1" applyFont="1" applyFill="1" applyBorder="1" applyAlignment="1">
      <alignment horizontal="left" vertical="center"/>
    </xf>
    <xf numFmtId="0" fontId="3" fillId="8" borderId="30" xfId="61" applyFont="1" applyFill="1" applyBorder="1" applyAlignment="1" applyProtection="1">
      <alignment horizontal="center" vertical="center" wrapText="1"/>
    </xf>
    <xf numFmtId="180" fontId="3" fillId="19" borderId="2" xfId="463" applyNumberFormat="1" applyFont="1" applyFill="1" applyBorder="1" applyAlignment="1">
      <alignment horizontal="center" vertical="center"/>
    </xf>
    <xf numFmtId="196" fontId="3" fillId="0" borderId="43" xfId="360" applyNumberFormat="1" applyFont="1" applyFill="1" applyBorder="1" applyAlignment="1">
      <alignment horizontal="center" vertical="center"/>
    </xf>
    <xf numFmtId="0" fontId="3" fillId="0" borderId="44" xfId="360" applyFont="1" applyFill="1" applyBorder="1" applyAlignment="1">
      <alignment horizontal="center" vertical="center"/>
    </xf>
    <xf numFmtId="180" fontId="3" fillId="19" borderId="5" xfId="463" applyNumberFormat="1" applyFont="1" applyFill="1" applyBorder="1" applyAlignment="1">
      <alignment horizontal="center" vertical="center"/>
    </xf>
    <xf numFmtId="180" fontId="3" fillId="19" borderId="9" xfId="463" applyNumberFormat="1" applyFont="1" applyFill="1" applyBorder="1" applyAlignment="1">
      <alignment horizontal="center" vertical="center"/>
    </xf>
    <xf numFmtId="180" fontId="212" fillId="8" borderId="2" xfId="61" applyNumberFormat="1" applyFont="1" applyFill="1" applyBorder="1" applyAlignment="1" applyProtection="1">
      <alignment horizontal="left" vertical="center" wrapText="1"/>
    </xf>
    <xf numFmtId="180" fontId="212" fillId="8" borderId="12" xfId="61" applyNumberFormat="1"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79" fillId="0" borderId="0" xfId="0" applyFont="1" applyAlignment="1">
      <alignment horizontal="center"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7" borderId="1" xfId="0" applyFont="1" applyFill="1" applyBorder="1" applyAlignment="1" applyProtection="1">
      <alignment horizontal="center" vertical="center" wrapText="1"/>
    </xf>
    <xf numFmtId="0" fontId="84" fillId="7" borderId="7"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85" fontId="76" fillId="9" borderId="2" xfId="0" applyNumberFormat="1" applyFont="1" applyFill="1" applyBorder="1" applyAlignment="1" applyProtection="1">
      <alignment horizontal="center" vertical="center"/>
      <protection locked="0"/>
    </xf>
  </cellXfs>
  <cellStyles count="562">
    <cellStyle name="_x0007_" xfId="67"/>
    <cellStyle name="_%(SignOnly)" xfId="68"/>
    <cellStyle name="_%(SignSpaceOnly)" xfId="69"/>
    <cellStyle name="_（高层+多层）金域东郡成本测算090915" xfId="70"/>
    <cellStyle name="_■项目成本测算表" xfId="71"/>
    <cellStyle name="_■项目成本测算表（09新版）" xfId="72"/>
    <cellStyle name="_08-10计划（0731）摸底0808调整(09调整）" xfId="73"/>
    <cellStyle name="_2 (3)" xfId="74"/>
    <cellStyle name="_Book1" xfId="75"/>
    <cellStyle name="_Comma" xfId="76"/>
    <cellStyle name="_Currency" xfId="77"/>
    <cellStyle name="_CurrencySpace" xfId="78"/>
    <cellStyle name="_ET_STYLE_NoName_00_" xfId="79"/>
    <cellStyle name="_Euro" xfId="80"/>
    <cellStyle name="_Heading" xfId="81"/>
    <cellStyle name="_Highlight" xfId="82"/>
    <cellStyle name="_Multiple" xfId="83"/>
    <cellStyle name="_MultipleSpace" xfId="84"/>
    <cellStyle name="_SubHeading" xfId="85"/>
    <cellStyle name="_Table" xfId="86"/>
    <cellStyle name="_Table_副本金色城市销售计划（09-02-17）-全项目 (2) (2)" xfId="87"/>
    <cellStyle name="_Table_副本金色城市销售计划（09-02-17）-全项目 (2) (2)_魅力五期目标成本经济指标责任表(设计部)-4 1" xfId="88"/>
    <cellStyle name="_TableHead" xfId="89"/>
    <cellStyle name="_TableHead_副本金色城市销售计划（09-02-17）-全项目 (2) (2)" xfId="90"/>
    <cellStyle name="_TableHead_副本金色城市销售计划（09-02-17）-全项目 (2) (2)_魅力五期目标成本经济指标责任表(设计部)-4 1" xfId="91"/>
    <cellStyle name="_TableRowHead" xfId="92"/>
    <cellStyle name="_TableSuperHead" xfId="93"/>
    <cellStyle name="_TO LIRONGJUAN" xfId="94"/>
    <cellStyle name="_成本模型" xfId="95"/>
    <cellStyle name="_成本优化经营任务书(090603）" xfId="96"/>
    <cellStyle name="_对比 (3)" xfId="97"/>
    <cellStyle name="_对标景观详细" xfId="98"/>
    <cellStyle name="_付款节奏" xfId="99"/>
    <cellStyle name="_复件 复件 金域华庭一期目标成本测算表（卢民涛12月11日提供）刘波调整地价（汇报后临调,调匀赢利率-分摊调整  ）分摊可信" xfId="100"/>
    <cellStyle name="_复件 千林山居三期目标成本指导书-(201004修订版）" xfId="101"/>
    <cellStyle name="_副本pp分工" xfId="102"/>
    <cellStyle name="_副本金域东郡成本测算090629" xfId="103"/>
    <cellStyle name="_工厂项目测算0916提谭颖" xfId="104"/>
    <cellStyle name="_官湖旧改用地指标测算表1" xfId="105"/>
    <cellStyle name="_华府一二期对比" xfId="106"/>
    <cellStyle name="_基础数据收集" xfId="107"/>
    <cellStyle name="_金色家园（中林）目标成本测算表071201" xfId="108"/>
    <cellStyle name="_金域华府二期目标成本指导书(黄耀文)" xfId="109"/>
    <cellStyle name="_金域华府售价利润测算20090227" xfId="110"/>
    <cellStyle name="_晶元09-10年销售计划" xfId="111"/>
    <cellStyle name="_目标成本测算表" xfId="112"/>
    <cellStyle name="_目标成本审批表" xfId="113"/>
    <cellStyle name="_浦江镇项目三至五期经济测算090916" xfId="114"/>
    <cellStyle name="_人防地下车库" xfId="115"/>
    <cellStyle name="_榕江二期成本测算表（081215）" xfId="116"/>
    <cellStyle name="_上海公司信息月报2008年8月" xfId="117"/>
    <cellStyle name="_数据提炼(周四汇报) (2)" xfId="118"/>
    <cellStyle name="_棠樾三期目标成本测算表1030（小毛坯分摊地价）" xfId="119"/>
    <cellStyle name="_万景德定稿版本目标成本090316成本优化后方案一(万景德、同福西地价均摊）" xfId="120"/>
    <cellStyle name="_项目测算（1212汇报稿）" xfId="121"/>
    <cellStyle name="_项目分产品盈利情况动态表（0902）" xfId="122"/>
    <cellStyle name="_项目分产品盈利情况动态表（0904）及考核表" xfId="123"/>
    <cellStyle name="_项目分产品盈利情况动态表（0904）及考核表-财务备" xfId="124"/>
    <cellStyle name="_项目分产品盈利情况动态表（090429）及考核表" xfId="125"/>
    <cellStyle name="_项目分产品盈利情况动态表（090527）及考核表" xfId="126"/>
    <cellStyle name="_项目分产品盈利情况动态表（090601）及考核表" xfId="127"/>
    <cellStyle name="_项目分产品盈利情况动态表（090601）及考核表（调整物业完善费等）" xfId="128"/>
    <cellStyle name="_一线公司运营计划分析表-模板-修正(北区)" xfId="129"/>
    <cellStyle name="_指标数据对标（深圳公司）" xfId="130"/>
    <cellStyle name="_指标数据对标（深圳公司）-汇" xfId="131"/>
    <cellStyle name="_智能化及社区管网" xfId="132"/>
    <cellStyle name="_重固测算表11年3月15日（东块）终稿成本" xfId="133"/>
    <cellStyle name="0,0_x000d__x000a_NA_x000d__x000a_" xfId="134"/>
    <cellStyle name="0,0_x000d__x000a_NA_x000d__x000a_ 2" xfId="135"/>
    <cellStyle name="0,0_x000d__x000a_NA_x000d__x000a_ 2 2" xfId="136"/>
    <cellStyle name="0,0_x000d__x000a_NA_x000d__x000a_ 3" xfId="137"/>
    <cellStyle name="0,0_x000d__x000a_NA_x000d__x000a__郑桥村项目可研适配" xfId="138"/>
    <cellStyle name="20% - Accent1" xfId="139"/>
    <cellStyle name="20% - Accent2" xfId="140"/>
    <cellStyle name="20% - Accent3" xfId="141"/>
    <cellStyle name="20% - Accent4" xfId="142"/>
    <cellStyle name="20% - Accent5" xfId="143"/>
    <cellStyle name="20% - Accent6" xfId="144"/>
    <cellStyle name="20% - 强调文字颜色 1 2" xfId="145"/>
    <cellStyle name="20% - 强调文字颜色 1 2 2" xfId="146"/>
    <cellStyle name="20% - 强调文字颜色 1 2 3" xfId="147"/>
    <cellStyle name="20% - 强调文字颜色 2 2" xfId="148"/>
    <cellStyle name="20% - 强调文字颜色 2 2 2" xfId="149"/>
    <cellStyle name="20% - 强调文字颜色 2 2 3" xfId="150"/>
    <cellStyle name="20% - 强调文字颜色 3 2" xfId="151"/>
    <cellStyle name="20% - 强调文字颜色 3 2 2" xfId="152"/>
    <cellStyle name="20% - 强调文字颜色 3 2 3" xfId="153"/>
    <cellStyle name="20% - 强调文字颜色 4 2" xfId="154"/>
    <cellStyle name="20% - 强调文字颜色 4 2 2" xfId="155"/>
    <cellStyle name="20% - 强调文字颜色 4 2 3" xfId="156"/>
    <cellStyle name="20% - 强调文字颜色 5 2" xfId="157"/>
    <cellStyle name="20% - 强调文字颜色 5 2 2" xfId="158"/>
    <cellStyle name="20% - 强调文字颜色 5 2 3" xfId="159"/>
    <cellStyle name="20% - 强调文字颜色 6 2" xfId="160"/>
    <cellStyle name="20% - 强调文字颜色 6 2 2" xfId="161"/>
    <cellStyle name="20% - 强调文字颜色 6 2 3" xfId="162"/>
    <cellStyle name="3232" xfId="163"/>
    <cellStyle name="3232 2" xfId="164"/>
    <cellStyle name="3232 3" xfId="165"/>
    <cellStyle name="40% - Accent1" xfId="166"/>
    <cellStyle name="40% - Accent2" xfId="167"/>
    <cellStyle name="40% - Accent3" xfId="168"/>
    <cellStyle name="40% - Accent4" xfId="169"/>
    <cellStyle name="40% - Accent5" xfId="170"/>
    <cellStyle name="40% - Accent6" xfId="171"/>
    <cellStyle name="40% - 强调文字颜色 1 2" xfId="172"/>
    <cellStyle name="40% - 强调文字颜色 1 2 2" xfId="173"/>
    <cellStyle name="40% - 强调文字颜色 1 2 3" xfId="174"/>
    <cellStyle name="40% - 强调文字颜色 2 2" xfId="175"/>
    <cellStyle name="40% - 强调文字颜色 2 2 2" xfId="176"/>
    <cellStyle name="40% - 强调文字颜色 2 2 3" xfId="177"/>
    <cellStyle name="40% - 强调文字颜色 3 2" xfId="178"/>
    <cellStyle name="40% - 强调文字颜色 3 2 2" xfId="179"/>
    <cellStyle name="40% - 强调文字颜色 3 2 3" xfId="180"/>
    <cellStyle name="40% - 强调文字颜色 4 2" xfId="181"/>
    <cellStyle name="40% - 强调文字颜色 4 2 2" xfId="182"/>
    <cellStyle name="40% - 强调文字颜色 4 2 3" xfId="183"/>
    <cellStyle name="40% - 强调文字颜色 5 2" xfId="184"/>
    <cellStyle name="40% - 强调文字颜色 5 2 2" xfId="185"/>
    <cellStyle name="40% - 强调文字颜色 5 2 3" xfId="186"/>
    <cellStyle name="40% - 强调文字颜色 6 2" xfId="187"/>
    <cellStyle name="40% - 强调文字颜色 6 2 2" xfId="188"/>
    <cellStyle name="40% - 强调文字颜色 6 2 3" xfId="189"/>
    <cellStyle name="60% - Accent1" xfId="190"/>
    <cellStyle name="60% - Accent2" xfId="191"/>
    <cellStyle name="60% - Accent3" xfId="192"/>
    <cellStyle name="60% - Accent4" xfId="193"/>
    <cellStyle name="60% - Accent5" xfId="194"/>
    <cellStyle name="60% - Accent6" xfId="195"/>
    <cellStyle name="60% - 强调文字颜色 1 2" xfId="196"/>
    <cellStyle name="60% - 强调文字颜色 1 2 2" xfId="197"/>
    <cellStyle name="60% - 强调文字颜色 1 2 3" xfId="198"/>
    <cellStyle name="60% - 强调文字颜色 2 2" xfId="199"/>
    <cellStyle name="60% - 强调文字颜色 2 2 2" xfId="200"/>
    <cellStyle name="60% - 强调文字颜色 2 2 3" xfId="201"/>
    <cellStyle name="60% - 强调文字颜色 3 2" xfId="202"/>
    <cellStyle name="60% - 强调文字颜色 3 2 2" xfId="203"/>
    <cellStyle name="60% - 强调文字颜色 3 2 3" xfId="204"/>
    <cellStyle name="60% - 强调文字颜色 4 2" xfId="205"/>
    <cellStyle name="60% - 强调文字颜色 4 2 2" xfId="206"/>
    <cellStyle name="60% - 强调文字颜色 4 2 3" xfId="207"/>
    <cellStyle name="60% - 强调文字颜色 5 2" xfId="208"/>
    <cellStyle name="60% - 强调文字颜色 5 2 2" xfId="209"/>
    <cellStyle name="60% - 强调文字颜色 5 2 3" xfId="210"/>
    <cellStyle name="60% - 强调文字颜色 6 2" xfId="211"/>
    <cellStyle name="60% - 强调文字颜色 6 2 2" xfId="212"/>
    <cellStyle name="60% - 强调文字颜色 6 2 3" xfId="213"/>
    <cellStyle name="Accent1" xfId="214"/>
    <cellStyle name="Accent2" xfId="215"/>
    <cellStyle name="Accent3" xfId="216"/>
    <cellStyle name="Accent4" xfId="217"/>
    <cellStyle name="Accent5" xfId="218"/>
    <cellStyle name="Accent6" xfId="219"/>
    <cellStyle name="Bad" xfId="220"/>
    <cellStyle name="Calculation" xfId="221"/>
    <cellStyle name="Change A&amp;ll" xfId="222"/>
    <cellStyle name="Change A&amp;ll 3" xfId="223"/>
    <cellStyle name="Change A&amp;ll 3 2" xfId="224"/>
    <cellStyle name="Change A&amp;ll 3 3" xfId="225"/>
    <cellStyle name="Check Cell" xfId="226"/>
    <cellStyle name="ColLevel_0" xfId="227"/>
    <cellStyle name="Comma [0]" xfId="228"/>
    <cellStyle name="Comma [0] 2" xfId="229"/>
    <cellStyle name="Comma_Chart1" xfId="230"/>
    <cellStyle name="Currency [0]" xfId="231"/>
    <cellStyle name="Currency_Chart1" xfId="232"/>
    <cellStyle name="Explanatory Text" xfId="233"/>
    <cellStyle name="Good" xfId="234"/>
    <cellStyle name="Heading 1" xfId="235"/>
    <cellStyle name="Heading 2" xfId="236"/>
    <cellStyle name="Heading 3" xfId="237"/>
    <cellStyle name="Heading 4" xfId="238"/>
    <cellStyle name="Input" xfId="239"/>
    <cellStyle name="Linked Cell" xfId="240"/>
    <cellStyle name="Neutral" xfId="241"/>
    <cellStyle name="Normal 2" xfId="242"/>
    <cellStyle name="Normal_cashflow forecast" xfId="243"/>
    <cellStyle name="Note" xfId="244"/>
    <cellStyle name="Output" xfId="245"/>
    <cellStyle name="Percent 2" xfId="246"/>
    <cellStyle name="RowLevel_0" xfId="247"/>
    <cellStyle name="Title" xfId="248"/>
    <cellStyle name="Total" xfId="249"/>
    <cellStyle name="Warning Text" xfId="250"/>
    <cellStyle name="百分比 2" xfId="11"/>
    <cellStyle name="百分比 2 2" xfId="251"/>
    <cellStyle name="百分比 2 2 2" xfId="252"/>
    <cellStyle name="百分比 2 2 3" xfId="253"/>
    <cellStyle name="百分比 2 3" xfId="254"/>
    <cellStyle name="百分比 2 4" xfId="255"/>
    <cellStyle name="百分比 3" xfId="64"/>
    <cellStyle name="百分比 3 2" xfId="256"/>
    <cellStyle name="百分比 3 2 2" xfId="257"/>
    <cellStyle name="百分比 3 3" xfId="258"/>
    <cellStyle name="百分比 3 4" xfId="259"/>
    <cellStyle name="百分比 3 5" xfId="260"/>
    <cellStyle name="百分比 3 6" xfId="261"/>
    <cellStyle name="百分比 4" xfId="262"/>
    <cellStyle name="百分比 4 2" xfId="263"/>
    <cellStyle name="百分比 4 2 2" xfId="264"/>
    <cellStyle name="百分比 4 3" xfId="265"/>
    <cellStyle name="百分比 5" xfId="266"/>
    <cellStyle name="百分比 5 2" xfId="267"/>
    <cellStyle name="百分比 6" xfId="268"/>
    <cellStyle name="百分比 6 2" xfId="269"/>
    <cellStyle name="百分比 6 2 2" xfId="270"/>
    <cellStyle name="百分比 6 3" xfId="271"/>
    <cellStyle name="标题 1 2" xfId="272"/>
    <cellStyle name="标题 1 2 2" xfId="273"/>
    <cellStyle name="标题 1 2 3" xfId="274"/>
    <cellStyle name="标题 2 2" xfId="275"/>
    <cellStyle name="标题 2 2 2" xfId="276"/>
    <cellStyle name="标题 2 2 3" xfId="277"/>
    <cellStyle name="标题 3 2" xfId="278"/>
    <cellStyle name="标题 3 2 2" xfId="279"/>
    <cellStyle name="标题 3 2 3" xfId="280"/>
    <cellStyle name="标题 4 2" xfId="281"/>
    <cellStyle name="标题 4 2 2" xfId="282"/>
    <cellStyle name="标题 4 2 3" xfId="283"/>
    <cellStyle name="标题 5" xfId="284"/>
    <cellStyle name="标题 5 2" xfId="285"/>
    <cellStyle name="标题 5 3" xfId="286"/>
    <cellStyle name="差 2" xfId="287"/>
    <cellStyle name="差 2 2" xfId="288"/>
    <cellStyle name="差 2 3" xfId="289"/>
    <cellStyle name="差_■项目成本测算表" xfId="290"/>
    <cellStyle name="差_09年部门重点工作KPI反馈" xfId="291"/>
    <cellStyle name="差_09年部门重点工作KPI反馈-调" xfId="292"/>
    <cellStyle name="差_4月签证变更情况统计-KPI" xfId="293"/>
    <cellStyle name="差_7月份成本变动原因" xfId="294"/>
    <cellStyle name="差_草庄地块立项报告090804" xfId="295"/>
    <cellStyle name="差_成本优化达成率KPI统计" xfId="296"/>
    <cellStyle name="差_城花新园A块（标一、二、三、四段）10年1月动态成本" xfId="297"/>
    <cellStyle name="差_大朗金域蓝湾二期目标成本测算表-08-11-11 (5)" xfId="298"/>
    <cellStyle name="差_当期规划指标" xfId="299"/>
    <cellStyle name="差_当期规划指标 2" xfId="300"/>
    <cellStyle name="差_第五园3期成本梳理080314" xfId="301"/>
    <cellStyle name="差_副本成本优化落实及承诺报建风险评估总表0713" xfId="302"/>
    <cellStyle name="差_汇报测算201007 (2)" xfId="303"/>
    <cellStyle name="差_晶元南块目标成本测算-规划方案批复20090514-含财务-报批稿" xfId="304"/>
    <cellStyle name="差_目标成本测算表科目样表测试版20130906" xfId="305"/>
    <cellStyle name="差_目标成本测算表科目样表测试版20130906 2" xfId="306"/>
    <cellStyle name="差_目标成本测算表科目样表测试版20130906 3" xfId="307"/>
    <cellStyle name="差_浦江商业1号地块目标成本20110227(02月动态）" xfId="308"/>
    <cellStyle name="差_旗忠指标-2012.03.30" xfId="309"/>
    <cellStyle name="差_前期费用汇总" xfId="310"/>
    <cellStyle name="差_人防地下车库" xfId="311"/>
    <cellStyle name="差_数据提炼(周四汇报) (2)" xfId="312"/>
    <cellStyle name="差_水源九厂项目－可研成本测算表（090411" xfId="313"/>
    <cellStyle name="差_松柏淀粉厂地块成本测算090225" xfId="314"/>
    <cellStyle name="差_松柏淀粉厂地块成本测算090225 2" xfId="315"/>
    <cellStyle name="差_松柏淀粉厂地块成本测算090225 3" xfId="316"/>
    <cellStyle name="差_松山湖目标成本调整车库后09－2－15 (2)" xfId="317"/>
    <cellStyle name="差_项目分产品盈利情况动态表（0902）" xfId="318"/>
    <cellStyle name="差_项目分产品盈利情况动态表（0904）及考核表" xfId="319"/>
    <cellStyle name="差_项目分产品盈利情况动态表（090429）及考核表" xfId="320"/>
    <cellStyle name="差_项目分产品盈利情况动态表（090527）及考核表" xfId="321"/>
    <cellStyle name="差_项目分产品盈利情况动态表（090601）及考核表" xfId="322"/>
    <cellStyle name="差_项目分产品盈利情况动态表（090601）及考核表（调整物业完善费等）" xfId="323"/>
    <cellStyle name="差_新桥地块规划指标销售计划" xfId="324"/>
    <cellStyle name="差_新桥地块规划指标——销售计划" xfId="325"/>
    <cellStyle name="差_新项目速算表-湖心岛0529-指标" xfId="326"/>
    <cellStyle name="差_新项目速算表-湖心岛0529-指标 2" xfId="327"/>
    <cellStyle name="差_新项目速算表-湖心岛0529-指标 3" xfId="328"/>
    <cellStyle name="差_新项目速算表-舒文修订版 (5)" xfId="329"/>
    <cellStyle name="差_新项目速算表-舒文修订版 (5) 2" xfId="330"/>
    <cellStyle name="差_新项目速算表-舒文修订版 (5) 3" xfId="331"/>
    <cellStyle name="差_徐虹北路地块规划指标" xfId="332"/>
    <cellStyle name="差_徐虹北路地块规划指标0521" xfId="333"/>
    <cellStyle name="差_一线公司运营计划分析表-模板-修正(北区)" xfId="334"/>
    <cellStyle name="差_重固测算表11年3月15日（东块）终稿成本" xfId="335"/>
    <cellStyle name="常规" xfId="0" builtinId="0"/>
    <cellStyle name="常规 10" xfId="60"/>
    <cellStyle name="常规 11" xfId="336"/>
    <cellStyle name="常规 16" xfId="1"/>
    <cellStyle name="常规 2" xfId="2"/>
    <cellStyle name="常规 2 10" xfId="337"/>
    <cellStyle name="常规 2 19" xfId="338"/>
    <cellStyle name="常规 2 19 2" xfId="339"/>
    <cellStyle name="常规 2 2" xfId="3"/>
    <cellStyle name="常规 2 2 2" xfId="340"/>
    <cellStyle name="常规 2 2 2 2" xfId="341"/>
    <cellStyle name="常规 2 2 2 2 2" xfId="342"/>
    <cellStyle name="常规 2 2 2 2 3" xfId="12"/>
    <cellStyle name="常规 2 2 2 3" xfId="343"/>
    <cellStyle name="常规 2 2 3" xfId="344"/>
    <cellStyle name="常规 2 2 4" xfId="345"/>
    <cellStyle name="常规 2 2 5" xfId="346"/>
    <cellStyle name="常规 2 2 6" xfId="347"/>
    <cellStyle name="常规 2 2 7" xfId="348"/>
    <cellStyle name="常规 2 3" xfId="349"/>
    <cellStyle name="常规 2 3 2" xfId="350"/>
    <cellStyle name="常规 2 3 2 2" xfId="351"/>
    <cellStyle name="常规 2 3 2 3" xfId="352"/>
    <cellStyle name="常规 2 3 3" xfId="353"/>
    <cellStyle name="常规 2 4" xfId="354"/>
    <cellStyle name="常规 2 4 2" xfId="355"/>
    <cellStyle name="常规 2 5" xfId="356"/>
    <cellStyle name="常规 2_目标成本测算表科目样表测试版20130906" xfId="357"/>
    <cellStyle name="常规 25" xfId="358"/>
    <cellStyle name="常规 3" xfId="4"/>
    <cellStyle name="常规 3 2" xfId="5"/>
    <cellStyle name="常规 3 2 2" xfId="66"/>
    <cellStyle name="常规 3 2 3" xfId="359"/>
    <cellStyle name="常规 3 3" xfId="360"/>
    <cellStyle name="常规 3 3 2" xfId="361"/>
    <cellStyle name="常规 3 4" xfId="362"/>
    <cellStyle name="常规 3 7" xfId="363"/>
    <cellStyle name="常规 36" xfId="364"/>
    <cellStyle name="常规 4" xfId="6"/>
    <cellStyle name="常规 4 2" xfId="365"/>
    <cellStyle name="常规 4 2 2" xfId="366"/>
    <cellStyle name="常规 4 2 3" xfId="367"/>
    <cellStyle name="常规 4 2 4" xfId="368"/>
    <cellStyle name="常规 4 3" xfId="369"/>
    <cellStyle name="常规 4 4" xfId="370"/>
    <cellStyle name="常规 4 5" xfId="371"/>
    <cellStyle name="常规 4 6" xfId="372"/>
    <cellStyle name="常规 5" xfId="7"/>
    <cellStyle name="常规 5 2" xfId="61"/>
    <cellStyle name="常规 5 2 2" xfId="373"/>
    <cellStyle name="常规 5 2 3" xfId="374"/>
    <cellStyle name="常规 5 3" xfId="375"/>
    <cellStyle name="常规 5 4" xfId="376"/>
    <cellStyle name="常规 5 5" xfId="377"/>
    <cellStyle name="常规 5 6" xfId="378"/>
    <cellStyle name="常规 6" xfId="8"/>
    <cellStyle name="常规 6 2" xfId="10"/>
    <cellStyle name="常规 6 2 2" xfId="13"/>
    <cellStyle name="常规 7" xfId="9"/>
    <cellStyle name="常规 7 2" xfId="379"/>
    <cellStyle name="常规 7 3" xfId="380"/>
    <cellStyle name="常规 7 4" xfId="381"/>
    <cellStyle name="常规 8" xfId="59"/>
    <cellStyle name="常规 8 2" xfId="382"/>
    <cellStyle name="常规 8 2 2" xfId="383"/>
    <cellStyle name="常规 8 2 2 2" xfId="384"/>
    <cellStyle name="常规 8 2 3" xfId="385"/>
    <cellStyle name="常规 8 3" xfId="386"/>
    <cellStyle name="常规 8 4" xfId="387"/>
    <cellStyle name="常规 9" xfId="14"/>
    <cellStyle name="常规_李家上流大一期目标成本测算" xfId="388"/>
    <cellStyle name="常规_项目经济技术指标模板" xfId="65"/>
    <cellStyle name="超级链接_中山南城项目可研经济测算表——财务部分030515" xfId="389"/>
    <cellStyle name="超链接" xfId="15" builtinId="8" hidden="1"/>
    <cellStyle name="超链接" xfId="17" builtinId="8" hidden="1"/>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超链接" xfId="45" builtinId="8" hidden="1"/>
    <cellStyle name="超链接" xfId="47" builtinId="8" hidden="1"/>
    <cellStyle name="超链接" xfId="49" builtinId="8" hidden="1"/>
    <cellStyle name="超链接" xfId="51" builtinId="8" hidden="1"/>
    <cellStyle name="超链接" xfId="53" builtinId="8" hidden="1"/>
    <cellStyle name="超链接" xfId="55" builtinId="8" hidden="1"/>
    <cellStyle name="超链接" xfId="57" builtinId="8" hidden="1"/>
    <cellStyle name="超链接" xfId="561" builtinId="8"/>
    <cellStyle name="超链接 2" xfId="390"/>
    <cellStyle name="好 2" xfId="391"/>
    <cellStyle name="好 2 2" xfId="392"/>
    <cellStyle name="好 2 3" xfId="393"/>
    <cellStyle name="好_■项目成本测算表" xfId="394"/>
    <cellStyle name="好_09年部门重点工作KPI反馈" xfId="395"/>
    <cellStyle name="好_09年部门重点工作KPI反馈-调" xfId="396"/>
    <cellStyle name="好_4月签证变更情况统计-KPI" xfId="397"/>
    <cellStyle name="好_7月份成本变动原因" xfId="398"/>
    <cellStyle name="好_草庄地块立项报告090804" xfId="399"/>
    <cellStyle name="好_成本优化达成率KPI统计" xfId="400"/>
    <cellStyle name="好_城花新园A块（标一、二、三、四段）10年1月动态成本" xfId="401"/>
    <cellStyle name="好_大朗金域蓝湾二期目标成本测算表-08-11-11 (5)" xfId="402"/>
    <cellStyle name="好_当期规划指标" xfId="403"/>
    <cellStyle name="好_当期规划指标 2" xfId="404"/>
    <cellStyle name="好_第五园3期成本梳理080314" xfId="405"/>
    <cellStyle name="好_副本成本优化落实及承诺报建风险评估总表0713" xfId="406"/>
    <cellStyle name="好_汇报测算201007 (2)" xfId="407"/>
    <cellStyle name="好_晶元南块目标成本测算-规划方案批复20090514-含财务-报批稿" xfId="408"/>
    <cellStyle name="好_目标成本测算表科目样表测试版20130906" xfId="409"/>
    <cellStyle name="好_目标成本测算表科目样表测试版20130906 2" xfId="410"/>
    <cellStyle name="好_目标成本测算表科目样表测试版20130906 3" xfId="411"/>
    <cellStyle name="好_浦江商业1号地块目标成本20110227(02月动态）" xfId="412"/>
    <cellStyle name="好_旗忠指标-2012.03.30" xfId="413"/>
    <cellStyle name="好_前期费用汇总" xfId="414"/>
    <cellStyle name="好_人防地下车库" xfId="415"/>
    <cellStyle name="好_数据提炼(周四汇报) (2)" xfId="416"/>
    <cellStyle name="好_水源九厂项目－可研成本测算表（090411" xfId="417"/>
    <cellStyle name="好_松柏淀粉厂地块成本测算090225" xfId="418"/>
    <cellStyle name="好_松柏淀粉厂地块成本测算090225 2" xfId="419"/>
    <cellStyle name="好_松柏淀粉厂地块成本测算090225 3" xfId="420"/>
    <cellStyle name="好_松山湖目标成本调整车库后09－2－15 (2)" xfId="421"/>
    <cellStyle name="好_项目分产品盈利情况动态表（0902）" xfId="422"/>
    <cellStyle name="好_项目分产品盈利情况动态表（0904）及考核表" xfId="423"/>
    <cellStyle name="好_项目分产品盈利情况动态表（090429）及考核表" xfId="424"/>
    <cellStyle name="好_项目分产品盈利情况动态表（090527）及考核表" xfId="425"/>
    <cellStyle name="好_项目分产品盈利情况动态表（090601）及考核表" xfId="426"/>
    <cellStyle name="好_项目分产品盈利情况动态表（090601）及考核表（调整物业完善费等）" xfId="427"/>
    <cellStyle name="好_新桥地块规划指标销售计划" xfId="428"/>
    <cellStyle name="好_新桥地块规划指标——销售计划" xfId="429"/>
    <cellStyle name="好_新项目速算表-湖心岛0529-指标" xfId="430"/>
    <cellStyle name="好_新项目速算表-湖心岛0529-指标 2" xfId="431"/>
    <cellStyle name="好_新项目速算表-湖心岛0529-指标 3" xfId="432"/>
    <cellStyle name="好_新项目速算表-舒文修订版 (5)" xfId="433"/>
    <cellStyle name="好_新项目速算表-舒文修订版 (5) 2" xfId="434"/>
    <cellStyle name="好_新项目速算表-舒文修订版 (5) 3" xfId="435"/>
    <cellStyle name="好_徐虹北路地块规划指标" xfId="436"/>
    <cellStyle name="好_徐虹北路地块规划指标0521" xfId="437"/>
    <cellStyle name="好_一线公司运营计划分析表-模板-修正(北区)" xfId="438"/>
    <cellStyle name="好_重固测算表11年3月15日（东块）终稿成本" xfId="439"/>
    <cellStyle name="后继超级链接_中山南城项目可研经济测算表——财务部分030515" xfId="440"/>
    <cellStyle name="汇总 2" xfId="441"/>
    <cellStyle name="汇总 2 2" xfId="442"/>
    <cellStyle name="汇总 2 3" xfId="443"/>
    <cellStyle name="计算 2" xfId="444"/>
    <cellStyle name="计算 2 2" xfId="445"/>
    <cellStyle name="计算 2 3" xfId="446"/>
    <cellStyle name="检查单元格 2" xfId="447"/>
    <cellStyle name="检查单元格 2 2" xfId="448"/>
    <cellStyle name="检查单元格 2 3" xfId="449"/>
    <cellStyle name="警告文本 2" xfId="450"/>
    <cellStyle name="警告文本 2 2" xfId="451"/>
    <cellStyle name="警告文本 2 3" xfId="452"/>
    <cellStyle name="链接单元格 2" xfId="453"/>
    <cellStyle name="链接单元格 2 2" xfId="454"/>
    <cellStyle name="链接单元格 2 3" xfId="455"/>
    <cellStyle name="普通_laroux" xfId="456"/>
    <cellStyle name="千分位[0]_laroux" xfId="457"/>
    <cellStyle name="千分位_laroux" xfId="458"/>
    <cellStyle name="千位[0]_laroux" xfId="459"/>
    <cellStyle name="千位_laroux" xfId="460"/>
    <cellStyle name="千位分隔 10" xfId="461"/>
    <cellStyle name="千位分隔 10 2" xfId="462"/>
    <cellStyle name="千位分隔 11" xfId="463"/>
    <cellStyle name="千位分隔 12" xfId="464"/>
    <cellStyle name="千位分隔 13" xfId="465"/>
    <cellStyle name="千位分隔 2" xfId="62"/>
    <cellStyle name="千位分隔 2 2" xfId="466"/>
    <cellStyle name="千位分隔 2 2 2" xfId="467"/>
    <cellStyle name="千位分隔 2 2 2 2" xfId="468"/>
    <cellStyle name="千位分隔 2 2 3" xfId="469"/>
    <cellStyle name="千位分隔 2 3" xfId="470"/>
    <cellStyle name="千位分隔 2 3 2" xfId="471"/>
    <cellStyle name="千位分隔 2 3 3" xfId="472"/>
    <cellStyle name="千位分隔 2 4" xfId="473"/>
    <cellStyle name="千位分隔 2 5" xfId="474"/>
    <cellStyle name="千位分隔 2 6" xfId="475"/>
    <cellStyle name="千位分隔 2 7" xfId="476"/>
    <cellStyle name="千位分隔 2 8" xfId="477"/>
    <cellStyle name="千位分隔 3" xfId="478"/>
    <cellStyle name="千位分隔 3 2" xfId="479"/>
    <cellStyle name="千位分隔 3 3" xfId="480"/>
    <cellStyle name="千位分隔 3 4" xfId="481"/>
    <cellStyle name="千位分隔 3 5" xfId="482"/>
    <cellStyle name="千位分隔 4" xfId="483"/>
    <cellStyle name="千位分隔 4 2" xfId="484"/>
    <cellStyle name="千位分隔 4 2 2" xfId="485"/>
    <cellStyle name="千位分隔 4 3" xfId="486"/>
    <cellStyle name="千位分隔 4 4" xfId="487"/>
    <cellStyle name="千位分隔 4 5" xfId="488"/>
    <cellStyle name="千位分隔 5" xfId="63"/>
    <cellStyle name="千位分隔 5 2" xfId="489"/>
    <cellStyle name="千位分隔 5 3" xfId="490"/>
    <cellStyle name="千位分隔 5 4" xfId="491"/>
    <cellStyle name="千位分隔 5 5" xfId="492"/>
    <cellStyle name="千位分隔 6" xfId="493"/>
    <cellStyle name="千位分隔 6 2" xfId="494"/>
    <cellStyle name="千位分隔 6 3" xfId="495"/>
    <cellStyle name="千位分隔 6 4" xfId="496"/>
    <cellStyle name="千位分隔 7" xfId="497"/>
    <cellStyle name="千位分隔 7 2" xfId="498"/>
    <cellStyle name="千位分隔 7 2 2" xfId="499"/>
    <cellStyle name="千位分隔 7 3" xfId="500"/>
    <cellStyle name="千位分隔 7 4" xfId="501"/>
    <cellStyle name="千位分隔 8" xfId="502"/>
    <cellStyle name="千位分隔 9" xfId="503"/>
    <cellStyle name="千位分隔[0] 2" xfId="504"/>
    <cellStyle name="千位分隔[0] 2 2" xfId="505"/>
    <cellStyle name="千位分隔[0] 2 3" xfId="506"/>
    <cellStyle name="千位分隔[0] 2 4" xfId="507"/>
    <cellStyle name="强调文字颜色 1 2" xfId="508"/>
    <cellStyle name="强调文字颜色 1 2 2" xfId="509"/>
    <cellStyle name="强调文字颜色 1 2 3" xfId="510"/>
    <cellStyle name="强调文字颜色 2 2" xfId="511"/>
    <cellStyle name="强调文字颜色 2 2 2" xfId="512"/>
    <cellStyle name="强调文字颜色 2 2 3" xfId="513"/>
    <cellStyle name="强调文字颜色 3 2" xfId="514"/>
    <cellStyle name="强调文字颜色 3 2 2" xfId="515"/>
    <cellStyle name="强调文字颜色 3 2 3" xfId="516"/>
    <cellStyle name="强调文字颜色 4 2" xfId="517"/>
    <cellStyle name="强调文字颜色 4 2 2" xfId="518"/>
    <cellStyle name="强调文字颜色 4 2 3" xfId="519"/>
    <cellStyle name="强调文字颜色 5 2" xfId="520"/>
    <cellStyle name="强调文字颜色 5 2 2" xfId="521"/>
    <cellStyle name="强调文字颜色 5 2 3" xfId="522"/>
    <cellStyle name="强调文字颜色 6 2" xfId="523"/>
    <cellStyle name="强调文字颜色 6 2 2" xfId="524"/>
    <cellStyle name="强调文字颜色 6 2 3" xfId="525"/>
    <cellStyle name="输出 2" xfId="526"/>
    <cellStyle name="输出 2 2" xfId="527"/>
    <cellStyle name="输出 2 3" xfId="528"/>
    <cellStyle name="输入 2" xfId="529"/>
    <cellStyle name="输入 2 2" xfId="530"/>
    <cellStyle name="输入 2 3" xfId="531"/>
    <cellStyle name="样式 1" xfId="532"/>
    <cellStyle name="样式 1 2" xfId="533"/>
    <cellStyle name="样式 1 3" xfId="534"/>
    <cellStyle name="样式 1 3 2" xfId="535"/>
    <cellStyle name="样式 10" xfId="536"/>
    <cellStyle name="样式 11" xfId="537"/>
    <cellStyle name="样式 12" xfId="538"/>
    <cellStyle name="样式 13" xfId="539"/>
    <cellStyle name="样式 14" xfId="540"/>
    <cellStyle name="样式 15" xfId="541"/>
    <cellStyle name="样式 16" xfId="542"/>
    <cellStyle name="样式 17" xfId="543"/>
    <cellStyle name="样式 2" xfId="544"/>
    <cellStyle name="样式 2 2" xfId="545"/>
    <cellStyle name="样式 2 2 2" xfId="546"/>
    <cellStyle name="样式 2 2 3" xfId="547"/>
    <cellStyle name="样式 2 2 4" xfId="548"/>
    <cellStyle name="样式 2 3" xfId="549"/>
    <cellStyle name="样式 3" xfId="550"/>
    <cellStyle name="样式 4" xfId="551"/>
    <cellStyle name="样式 5" xfId="552"/>
    <cellStyle name="样式 6" xfId="553"/>
    <cellStyle name="样式 7" xfId="554"/>
    <cellStyle name="样式 8" xfId="555"/>
    <cellStyle name="样式 9" xfId="556"/>
    <cellStyle name="一般_3202013" xfId="557"/>
    <cellStyle name="已访问的超链接" xfId="16" builtinId="9" hidden="1"/>
    <cellStyle name="已访问的超链接" xfId="18" builtinId="9" hidden="1"/>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 name="已访问的超链接" xfId="46" builtinId="9" hidden="1"/>
    <cellStyle name="已访问的超链接" xfId="48" builtinId="9" hidden="1"/>
    <cellStyle name="已访问的超链接" xfId="50" builtinId="9" hidden="1"/>
    <cellStyle name="已访问的超链接" xfId="52" builtinId="9" hidden="1"/>
    <cellStyle name="已访问的超链接" xfId="54" builtinId="9" hidden="1"/>
    <cellStyle name="已访问的超链接" xfId="56" builtinId="9" hidden="1"/>
    <cellStyle name="已访问的超链接" xfId="58" builtinId="9" hidden="1"/>
    <cellStyle name="注释 2" xfId="558"/>
    <cellStyle name="注释 2 2" xfId="559"/>
    <cellStyle name="注释 2 3" xfId="560"/>
  </cellStyles>
  <dxfs count="21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95250</xdr:colOff>
      <xdr:row>46</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90650"/>
          <a:ext cx="9010650" cy="6610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19050</xdr:colOff>
      <xdr:row>5</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91250" cy="942975"/>
        </a:xfrm>
        <a:prstGeom prst="rect">
          <a:avLst/>
        </a:prstGeom>
      </xdr:spPr>
    </xdr:pic>
    <xdr:clientData/>
  </xdr:twoCellAnchor>
  <xdr:twoCellAnchor editAs="oneCell">
    <xdr:from>
      <xdr:col>0</xdr:col>
      <xdr:colOff>0</xdr:colOff>
      <xdr:row>7</xdr:row>
      <xdr:rowOff>0</xdr:rowOff>
    </xdr:from>
    <xdr:to>
      <xdr:col>14</xdr:col>
      <xdr:colOff>457200</xdr:colOff>
      <xdr:row>18</xdr:row>
      <xdr:rowOff>101912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10058400" cy="19878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116;&#26399;&#30446;&#26631;&#25104;&#26412;&#26368;&#32456;&#29256;20141117/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16;&#26399;&#30446;&#26631;&#25104;&#26412;&#26368;&#32456;&#29256;20141117/RecoveredExternalLink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116;&#26399;&#30446;&#26631;&#25104;&#26412;&#26368;&#32456;&#29256;20141117/RecoveredExternalLink4"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0116;&#26399;&#30446;&#26631;&#25104;&#26412;&#26368;&#32456;&#29256;20141117/RecoveredExternalLink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0116;&#26399;&#30446;&#26631;&#25104;&#26412;&#26368;&#32456;&#29256;20141117/RecoveredExternalLink6"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990;&#21644;&#24220;&#39033;&#30446;&#25237;&#36164;&#27979;&#31639;&#34920;(&#30446;&#26631;&#25104;&#26412;&#65289;&#26041;&#26696;&#19968;%20%204&#26376;17&#260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绿化"/>
      <sheetName val="景观"/>
      <sheetName val="Sheet2"/>
      <sheetName val="Sheet3"/>
      <sheetName val="5201.2004"/>
      <sheetName val="成本汇总"/>
      <sheetName val="4301.2004ch"/>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参数表"/>
      <sheetName val="计算表"/>
      <sheetName val="Sheet1"/>
      <sheetName val="封面"/>
      <sheetName val="利润速算表"/>
      <sheetName val="产品适配"/>
      <sheetName val="全期规划指标"/>
      <sheetName val="地价分摊表"/>
      <sheetName val="公摊费用及期间费"/>
      <sheetName val="高层"/>
      <sheetName val="普通多层"/>
      <sheetName val="多层洋房"/>
      <sheetName val="叠加别墅"/>
      <sheetName val="联排双拼别墅"/>
      <sheetName val="独立别墅"/>
      <sheetName val="酒店公寓"/>
      <sheetName val="可售底层商业"/>
      <sheetName val="持有商业地上"/>
      <sheetName val="持有写字楼甲级"/>
      <sheetName val="可售写字楼"/>
      <sheetName val="可售物业地下室"/>
      <sheetName val="报批报建费汇总"/>
      <sheetName val="S2月.开工及销售"/>
      <sheetName val="S3月.结算"/>
      <sheetName val="S4月.付款"/>
      <sheetName val="S5月.现金流"/>
      <sheetName val="S6月.创造"/>
      <sheetName val="S7季.现金流"/>
      <sheetName val="S8年.现金流"/>
      <sheetName val="S9年.创造及结算"/>
      <sheetName val="S10土增税"/>
      <sheetName val="S11资本化利息"/>
      <sheetName val="S12税费说明"/>
      <sheetName val="#REF!"/>
      <sheetName val="21"/>
      <sheetName val="墙面工程"/>
      <sheetName val="内围地梁钢筋说明"/>
      <sheetName val="建筑面积 "/>
      <sheetName val="名称"/>
      <sheetName val="规划指标"/>
      <sheetName val="工程量计算书"/>
      <sheetName val="汇总表"/>
      <sheetName val="成本汇总 "/>
      <sheetName val="施工参考单价报价表"/>
      <sheetName val="甲指乙供材料报价表"/>
      <sheetName val="土建工程综合单价表"/>
      <sheetName val="综合单价汇总表"/>
      <sheetName val="给排水工程量计算书"/>
      <sheetName val="其它工作项目报价清单"/>
      <sheetName val="Parameters"/>
      <sheetName val="组团面积"/>
      <sheetName val="套数"/>
      <sheetName val="总指标"/>
      <sheetName val="目录"/>
      <sheetName val="Note 1 - Recon Profit"/>
      <sheetName val="Cash Flow Statement"/>
      <sheetName val="单方成本测算(帐面)"/>
      <sheetName val="成本结转表(IFRS)"/>
      <sheetName val="基础资料（B）"/>
      <sheetName val="2004年"/>
      <sheetName val="2006年"/>
      <sheetName val="2005年"/>
      <sheetName val="资本化利息分配表"/>
      <sheetName val="面积指标"/>
      <sheetName val="Aging Datasheet"/>
      <sheetName val="指标"/>
      <sheetName val="139叠加"/>
      <sheetName val="室内装修价格明细"/>
      <sheetName val="全区规划指标"/>
      <sheetName val="全区成本汇总"/>
      <sheetName val="工程材料"/>
      <sheetName val="CFS"/>
      <sheetName val="敏感参数"/>
      <sheetName val="基础项目"/>
      <sheetName val="梁"/>
      <sheetName val="1#"/>
      <sheetName val="2#"/>
      <sheetName val="3#"/>
      <sheetName val="4#"/>
      <sheetName val="合计"/>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21"/>
      <sheetName val="墙面工程"/>
      <sheetName val="内围地梁钢筋说明"/>
      <sheetName val="参数表"/>
      <sheetName val="计算表"/>
      <sheetName val="Sheet2"/>
      <sheetName val="成本汇总"/>
      <sheetName val="建筑面积 "/>
      <sheetName val="名称"/>
      <sheetName val="规划指标"/>
      <sheetName val="工程量计算书"/>
      <sheetName val="汇总表"/>
      <sheetName val="成本汇总 "/>
      <sheetName val="施工参考单价报价表"/>
      <sheetName val="甲指乙供材料报价表"/>
      <sheetName val="土建工程综合单价表"/>
      <sheetName val="综合单价汇总表"/>
      <sheetName val="给排水工程量计算书"/>
      <sheetName val="其它工作项目报价清单"/>
      <sheetName val="Parameters"/>
      <sheetName val="组团面积"/>
      <sheetName val="套数"/>
      <sheetName val="总指标"/>
      <sheetName val="目录"/>
      <sheetName val="Note 1 - Recon Profit"/>
      <sheetName val="Cash Flow Statement"/>
      <sheetName val="单方成本测算(帐面)"/>
      <sheetName val="成本结转表(IFRS)"/>
      <sheetName val="基础资料（B）"/>
      <sheetName val="2004年"/>
      <sheetName val="2006年"/>
      <sheetName val="2005年"/>
      <sheetName val="资本化利息分配表"/>
      <sheetName val="面积指标"/>
      <sheetName val="Aging Datasheet"/>
      <sheetName val="指标"/>
      <sheetName val="139叠加"/>
      <sheetName val="室内装修价格明细"/>
      <sheetName val="全区规划指标"/>
      <sheetName val="全区成本汇总"/>
      <sheetName val="工程材料"/>
      <sheetName val="CFS"/>
      <sheetName val="敏感参数"/>
      <sheetName val="基础项目"/>
      <sheetName val="梁"/>
      <sheetName val="时间设置"/>
      <sheetName val="成本测算"/>
      <sheetName val="Sheet1"/>
      <sheetName val="财务费用"/>
      <sheetName val="收入与成本"/>
      <sheetName val="销售比率"/>
      <sheetName val="2、明细表"/>
      <sheetName val="枣园--建安-间接"/>
      <sheetName val="Financial highligts"/>
      <sheetName val="XL4Poppy"/>
      <sheetName val="写字楼B"/>
      <sheetName val="土建工程综合单价组价明细表"/>
      <sheetName val="全期规划指标 "/>
      <sheetName val="BS"/>
      <sheetName val="材料费"/>
      <sheetName val="040506利息分摊"/>
      <sheetName val="2006内部公司往来利息及调整（per entity）"/>
      <sheetName val="07利息分摊"/>
      <sheetName val="list"/>
      <sheetName val="NAME"/>
      <sheetName val="XLR_NoRangeSheet"/>
      <sheetName val="承台(砖模) "/>
      <sheetName val="柱"/>
      <sheetName val="指标表"/>
      <sheetName val="车库"/>
      <sheetName val="江宁新指标"/>
      <sheetName val="叠拼"/>
      <sheetName val="复式"/>
      <sheetName val="平层"/>
      <sheetName val="独立商业"/>
      <sheetName val="地下超市"/>
      <sheetName val="Mp-team 1"/>
      <sheetName val="土地款支出"/>
      <sheetName val="规划指标表"/>
      <sheetName val="下拉菜单"/>
      <sheetName val="型材线密度表"/>
      <sheetName val="门窗表"/>
      <sheetName val="电（计算式）"/>
      <sheetName val="四季花城城南地块户型面积"/>
      <sheetName val="土建直接费"/>
      <sheetName val="Cashflow(Scenario)"/>
      <sheetName val="301-6"/>
      <sheetName val="Global"/>
      <sheetName val="板房区目标成本"/>
      <sheetName val="报批报建计划"/>
      <sheetName val="设计指标"/>
      <sheetName val="Open"/>
      <sheetName val="   合同台账  "/>
      <sheetName val="A投资指标"/>
      <sheetName val="Z控制表"/>
      <sheetName val="K流量表过渡"/>
      <sheetName val="O售价敏感分析"/>
      <sheetName val="总表"/>
      <sheetName val="成就共享（全周期）"/>
      <sheetName val="15年御湾"/>
      <sheetName val="收入预测"/>
      <sheetName val="六类"/>
      <sheetName val="总体指标表"/>
      <sheetName val="地下车库"/>
      <sheetName val="2.1设计部"/>
      <sheetName val="每日C300"/>
      <sheetName val="测算明细表(0+1+1)"/>
      <sheetName val="主要规划指标"/>
      <sheetName val="PL 2007"/>
      <sheetName val="PL 2005"/>
      <sheetName val="PL 2006"/>
      <sheetName val="材料"/>
      <sheetName val="东一一层方柱砼"/>
      <sheetName val="项目指标"/>
      <sheetName val="动态成本"/>
      <sheetName val="付款台账"/>
      <sheetName val="附表1"/>
      <sheetName val="合同台账"/>
      <sheetName val="设计部"/>
      <sheetName val="计算稿"/>
      <sheetName val="Macro1"/>
      <sheetName val="成本测算-太科园"/>
      <sheetName val="Toolbox"/>
      <sheetName val="常用项目"/>
      <sheetName val="单位库"/>
      <sheetName val="表c-1-6 二次成本分摊表"/>
      <sheetName val="POWER ASSUMPTIONS"/>
      <sheetName val="参数1"/>
      <sheetName val="折线图2数据"/>
      <sheetName val="Main"/>
      <sheetName val="Sheetl"/>
      <sheetName val="工程量计算"/>
      <sheetName val="内部往来"/>
      <sheetName val="人工费"/>
      <sheetName val="B标段叠拼"/>
      <sheetName val="B标段联排"/>
      <sheetName val="地库三安装工程"/>
      <sheetName val="成本测算及分摊"/>
      <sheetName val="销量"/>
      <sheetName val="Adjustment"/>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建安成本"/>
      <sheetName val="绿化"/>
      <sheetName val="景观"/>
      <sheetName val="Sheet2"/>
      <sheetName val="Sheet3"/>
      <sheetName val="5201.2004"/>
      <sheetName val="说明"/>
      <sheetName val="StartUp"/>
      <sheetName val="报价综合表"/>
      <sheetName val="24.25 LC0714"/>
      <sheetName val="24.25 LC1814"/>
      <sheetName val="24.25 LC1517"/>
      <sheetName val="24.25 LC1817"/>
      <sheetName val="24.25 LC1214"/>
      <sheetName val="24.25 LC1221"/>
      <sheetName val="24.25 LC2714"/>
      <sheetName val="24.25 LMC3025"/>
      <sheetName val="24.25 LMC3025a"/>
      <sheetName val="24.25 LMC3023"/>
      <sheetName val="24.25 LC3417"/>
      <sheetName val="24.25 LM1421"/>
      <sheetName val="24.25 LM1225"/>
      <sheetName val="24.25 LM1021"/>
      <sheetName val="24.25 LC0612"/>
      <sheetName val="24.25 LC0816"/>
      <sheetName val="24.25 LM1121"/>
      <sheetName val="26-28 LC1220"/>
      <sheetName val="26-28 LC1520"/>
      <sheetName val="26-28 LC2722"/>
      <sheetName val="26-28 LC3020"/>
      <sheetName val="26-28 LC0720"/>
      <sheetName val="26-28 LC0615"/>
      <sheetName val="26-28 LC0515"/>
      <sheetName val="26-28 LC1515"/>
      <sheetName val="26-28 LC2317"/>
      <sheetName val="26-28 LC2216"/>
      <sheetName val="26-28 LC0516"/>
      <sheetName val="26-28 LC1516"/>
      <sheetName val="26-28 LC2316"/>
      <sheetName val="26-28 LC0616"/>
      <sheetName val="26-28 LC1819"/>
      <sheetName val="26-28 LC1421"/>
      <sheetName val="26-28 LC0621"/>
      <sheetName val="26-28 LC0514"/>
      <sheetName val="26-28 LC3226"/>
      <sheetName val="26-28 LC0626"/>
      <sheetName val="26-28 LM0724"/>
      <sheetName val="26-28 LMC1326"/>
      <sheetName val="26-28 LM1726"/>
      <sheetName val="26-28 LM1824"/>
      <sheetName val="26-28 LM1524"/>
      <sheetName val="26-28 LM0825"/>
      <sheetName val="26-28 LM1822"/>
      <sheetName val="26-28 LM3022"/>
      <sheetName val="26-28 0922"/>
      <sheetName val="26-28 LC2517"/>
      <sheetName val="26-28 LC0416"/>
      <sheetName val="26-28 LC2516"/>
      <sheetName val="26-28 LMC2624"/>
      <sheetName val="26-28 LC0810"/>
      <sheetName val="26-28 LC1112"/>
      <sheetName val="门窗扇价格模块"/>
      <sheetName val="型材钢衬价格"/>
      <sheetName val="其他部品报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说明"/>
      <sheetName val="主要规划指标"/>
      <sheetName val="建安成本"/>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基础数据"/>
      <sheetName val="安装分析表"/>
      <sheetName val="土建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安装分析表"/>
      <sheetName val="土建分析表"/>
      <sheetName val="主要规划指标"/>
      <sheetName val="绿化"/>
      <sheetName val="景观"/>
      <sheetName val="Sheet2"/>
      <sheetName val="Sheet3"/>
      <sheetName val="5201.2004"/>
      <sheetName val="成本汇总"/>
      <sheetName val="全期规划指标"/>
      <sheetName val="公摊费用及期间费"/>
      <sheetName val="高层"/>
      <sheetName val="封面"/>
      <sheetName val="编  制  说  明"/>
      <sheetName val="建安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建安成本"/>
      <sheetName val="Sheet1"/>
      <sheetName val="利润速算表"/>
      <sheetName val="基准成本对比"/>
      <sheetName val="1目标成本审批表"/>
      <sheetName val="全期规划指标"/>
      <sheetName val="一期规划指标"/>
      <sheetName val="成本汇总（一期）"/>
      <sheetName val="地价分摊表"/>
      <sheetName val="建筑面积"/>
      <sheetName val="跨期成本分摊明细表"/>
      <sheetName val="开发费用"/>
      <sheetName val="公摊费用及期间费（一期）"/>
      <sheetName val="地下车库"/>
      <sheetName val="高层住宅精装"/>
      <sheetName val="商铺2"/>
      <sheetName val="门楼（含门卫室)"/>
      <sheetName val="填表指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封面"/>
      <sheetName val="填表指引"/>
      <sheetName val="经济指标"/>
      <sheetName val="投资模块勾稽关系"/>
      <sheetName val="基础信息"/>
      <sheetName val="销售计划"/>
      <sheetName val="工程款付款计划"/>
      <sheetName val="现金流量"/>
      <sheetName val="结算计划"/>
      <sheetName val="创造利润"/>
      <sheetName val="结算利润"/>
      <sheetName val="土地增值税"/>
      <sheetName val="跟投测算"/>
      <sheetName val="成本过渡"/>
      <sheetName val="全期规划指标表 "/>
      <sheetName val="当期规划指标表 "/>
      <sheetName val="成本汇总"/>
      <sheetName val="跨期成本分摊表 "/>
      <sheetName val="土地费用"/>
      <sheetName val="前期工程费"/>
      <sheetName val="基础设施费"/>
      <sheetName val="建安工程费"/>
      <sheetName val="公共配套设施费"/>
      <sheetName val="费用类汇总"/>
      <sheetName val="独栋住宅"/>
      <sheetName val="联排住宅"/>
      <sheetName val="叠加住宅"/>
      <sheetName val="普通多层"/>
      <sheetName val="带电梯多层"/>
      <sheetName val="小高层 "/>
      <sheetName val="高层-A类"/>
      <sheetName val="高层-B类"/>
      <sheetName val="高层-C类"/>
      <sheetName val="高层-D类"/>
      <sheetName val="酒店"/>
      <sheetName val="写字楼"/>
      <sheetName val="底商 "/>
      <sheetName val="独立商业"/>
      <sheetName val="地下车库"/>
    </sheetNames>
    <sheetDataSet>
      <sheetData sheetId="0"/>
      <sheetData sheetId="1"/>
      <sheetData sheetId="2"/>
      <sheetData sheetId="3">
        <row r="4">
          <cell r="J4">
            <v>38191.970810145955</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3">
          <cell r="D3">
            <v>67358.31</v>
          </cell>
          <cell r="K3">
            <v>67358.31</v>
          </cell>
          <cell r="O3">
            <v>174300.5</v>
          </cell>
        </row>
        <row r="4">
          <cell r="D4">
            <v>49562.06</v>
          </cell>
          <cell r="K4">
            <v>0.73579726094671916</v>
          </cell>
          <cell r="O4">
            <v>0.4</v>
          </cell>
        </row>
        <row r="5">
          <cell r="D5">
            <v>129115.5</v>
          </cell>
          <cell r="K5">
            <v>1.9168458947381548</v>
          </cell>
          <cell r="O5">
            <v>1400</v>
          </cell>
        </row>
        <row r="6">
          <cell r="M6">
            <v>2</v>
          </cell>
          <cell r="P6">
            <v>774.13464549317814</v>
          </cell>
          <cell r="R6">
            <v>774.13464549317814</v>
          </cell>
        </row>
        <row r="7">
          <cell r="B7">
            <v>1800</v>
          </cell>
          <cell r="D7">
            <v>1800</v>
          </cell>
          <cell r="F7">
            <v>0</v>
          </cell>
          <cell r="M7">
            <v>844</v>
          </cell>
          <cell r="P7">
            <v>0.91722114394926324</v>
          </cell>
        </row>
        <row r="9">
          <cell r="B9">
            <v>15996.25</v>
          </cell>
          <cell r="D9">
            <v>11197.375</v>
          </cell>
          <cell r="G9">
            <v>4798.875</v>
          </cell>
        </row>
        <row r="12">
          <cell r="D12">
            <v>16653.91</v>
          </cell>
          <cell r="E12">
            <v>2</v>
          </cell>
          <cell r="G12">
            <v>3938.5</v>
          </cell>
          <cell r="H12">
            <v>11954</v>
          </cell>
          <cell r="K12">
            <v>11954</v>
          </cell>
          <cell r="M12">
            <v>7.0222433700188866E-2</v>
          </cell>
        </row>
        <row r="13">
          <cell r="D13">
            <v>0</v>
          </cell>
          <cell r="E13">
            <v>2</v>
          </cell>
          <cell r="K13">
            <v>0</v>
          </cell>
          <cell r="L13">
            <v>0</v>
          </cell>
          <cell r="M13">
            <v>0</v>
          </cell>
        </row>
        <row r="14">
          <cell r="D14">
            <v>0</v>
          </cell>
          <cell r="E14">
            <v>2</v>
          </cell>
          <cell r="K14">
            <v>0</v>
          </cell>
          <cell r="M14">
            <v>0</v>
          </cell>
        </row>
        <row r="15">
          <cell r="D15">
            <v>0</v>
          </cell>
          <cell r="E15">
            <v>2</v>
          </cell>
          <cell r="K15">
            <v>0</v>
          </cell>
          <cell r="M15">
            <v>0</v>
          </cell>
        </row>
        <row r="16">
          <cell r="D16">
            <v>27706.12</v>
          </cell>
          <cell r="E16">
            <v>2</v>
          </cell>
          <cell r="G16">
            <v>5714.1</v>
          </cell>
          <cell r="H16">
            <v>46731.7</v>
          </cell>
          <cell r="I16">
            <v>4229.3760000000002</v>
          </cell>
          <cell r="K16">
            <v>50961.076000000001</v>
          </cell>
          <cell r="L16">
            <v>0</v>
          </cell>
          <cell r="M16">
            <v>0.29936513139537274</v>
          </cell>
        </row>
        <row r="17">
          <cell r="D17">
            <v>0</v>
          </cell>
          <cell r="E17">
            <v>2</v>
          </cell>
          <cell r="K17">
            <v>0</v>
          </cell>
          <cell r="M17">
            <v>0</v>
          </cell>
        </row>
        <row r="18">
          <cell r="D18">
            <v>22998.279999999995</v>
          </cell>
          <cell r="E18">
            <v>2</v>
          </cell>
          <cell r="G18">
            <v>3925.84</v>
          </cell>
          <cell r="H18">
            <v>66359.8</v>
          </cell>
          <cell r="I18">
            <v>6344.0640000000003</v>
          </cell>
          <cell r="K18">
            <v>72703.864000000001</v>
          </cell>
          <cell r="M18">
            <v>0.42709070348733041</v>
          </cell>
        </row>
        <row r="19">
          <cell r="D19">
            <v>0</v>
          </cell>
          <cell r="E19">
            <v>2</v>
          </cell>
          <cell r="K19">
            <v>0</v>
          </cell>
          <cell r="M19">
            <v>0</v>
          </cell>
        </row>
        <row r="20">
          <cell r="D20">
            <v>0</v>
          </cell>
          <cell r="E20">
            <v>2</v>
          </cell>
          <cell r="K20">
            <v>0</v>
          </cell>
          <cell r="M20">
            <v>0</v>
          </cell>
        </row>
        <row r="21">
          <cell r="D21">
            <v>0</v>
          </cell>
          <cell r="K21">
            <v>0</v>
          </cell>
          <cell r="M21">
            <v>0</v>
          </cell>
        </row>
        <row r="22">
          <cell r="E22">
            <v>2</v>
          </cell>
        </row>
        <row r="23">
          <cell r="K23">
            <v>0</v>
          </cell>
        </row>
        <row r="24">
          <cell r="K24">
            <v>0</v>
          </cell>
        </row>
        <row r="25">
          <cell r="K25">
            <v>0</v>
          </cell>
        </row>
        <row r="26">
          <cell r="K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fc.0372.cn/news21255.html" TargetMode="External"/></Relationships>
</file>

<file path=xl/worksheets/_rels/sheet3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B18" sqref="B18"/>
    </sheetView>
  </sheetViews>
  <sheetFormatPr defaultColWidth="8.875" defaultRowHeight="14.25"/>
  <cols>
    <col min="1" max="1" width="36.5" style="2911" customWidth="1"/>
    <col min="2" max="2" width="78.125" style="2912" customWidth="1"/>
    <col min="3" max="18" width="8.875" style="2906"/>
    <col min="19" max="19" width="17.875" style="2906" customWidth="1"/>
    <col min="20" max="51" width="8.875" style="2906"/>
    <col min="52" max="52" width="13.125" style="2906" customWidth="1"/>
    <col min="53" max="53" width="13.5" style="2906" bestFit="1" customWidth="1"/>
    <col min="54" max="54" width="11.625" style="2906" bestFit="1" customWidth="1"/>
    <col min="55" max="55" width="13.5" style="2906" bestFit="1" customWidth="1"/>
    <col min="56" max="16384" width="8.875" style="2906"/>
  </cols>
  <sheetData>
    <row r="1" spans="1:55" s="2917" customFormat="1" ht="16.5" thickBot="1">
      <c r="A1" s="2915" t="s">
        <v>2655</v>
      </c>
      <c r="B1" s="2916" t="s">
        <v>2752</v>
      </c>
    </row>
    <row r="2" spans="1:55" s="2920" customFormat="1" ht="15" thickTop="1">
      <c r="A2" s="2918" t="s">
        <v>2659</v>
      </c>
      <c r="B2" s="2919" t="str">
        <f>'预评函-封皮'!B37</f>
        <v>河南省安阳市文峰区光明路与富泉街交叉口东北角出让国有建设用地使用权抵押价格预评估</v>
      </c>
      <c r="AX2" s="2921"/>
      <c r="AZ2" s="2921"/>
      <c r="BA2" s="2922"/>
      <c r="BC2" s="2922"/>
    </row>
    <row r="3" spans="1:55" s="2923" customFormat="1">
      <c r="A3" s="2902" t="s">
        <v>2660</v>
      </c>
      <c r="B3" s="2905" t="str">
        <f>'预评函-封皮'!B40</f>
        <v>五矿国际信托有限公司</v>
      </c>
    </row>
    <row r="4" spans="1:55" s="2904" customFormat="1">
      <c r="A4" s="2902" t="s">
        <v>2661</v>
      </c>
      <c r="B4" s="2903" t="str">
        <f>'预评函-封皮'!B46</f>
        <v>王鹏、郑燚</v>
      </c>
      <c r="N4" s="2904" t="str">
        <f>'预评函-1'!A28</f>
        <v/>
      </c>
    </row>
    <row r="5" spans="1:55" s="2917" customFormat="1" ht="15" thickBot="1">
      <c r="A5" s="2924" t="s">
        <v>2662</v>
      </c>
      <c r="B5" s="2925" t="str">
        <f>'预评函-封皮'!B49</f>
        <v>康正预评字号</v>
      </c>
    </row>
    <row r="6" spans="1:55" s="2926" customFormat="1" ht="15" thickTop="1">
      <c r="A6" s="2918" t="s">
        <v>2704</v>
      </c>
      <c r="B6" s="2919" t="str">
        <f>'预评函-1'!A4</f>
        <v>受贵公司委托，我公司对河南省安阳市文峰区光明路与富泉街交叉口东北角出让国有建设用地使用权抵押价格进行了预评估。</v>
      </c>
      <c r="AM6" s="2927"/>
    </row>
    <row r="7" spans="1:55" s="2901" customFormat="1">
      <c r="A7" s="2902" t="s">
        <v>2656</v>
      </c>
      <c r="B7" s="2903" t="str">
        <f>'预评函-1'!A6</f>
        <v>估价对象为安阳建业城市建设有限公司使用的、位于河南省安阳市文峰区光明路与富泉街交叉口东北角出让国有建设用地使用权。根据《国有土地使用证》[]，估价对象（分摊）出让国有建设用地使用权面积为67358.31平方米。根据《建设工程规划许可证》[]、《出让合同》[]，估价对象规划建筑面积为156303.05平方米。</v>
      </c>
    </row>
    <row r="8" spans="1:55" s="2901" customFormat="1">
      <c r="A8" s="2902" t="s">
        <v>2657</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2707</v>
      </c>
      <c r="B9" s="2903" t="str">
        <f>'预评函-1'!A9</f>
        <v>安阳建业城市建设有限公司拟使用河南省安阳市文峰区光明路与富泉街交叉口东北角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1" customFormat="1">
      <c r="A10" s="2902" t="s">
        <v>2658</v>
      </c>
      <c r="B10" s="2903" t="str">
        <f>'预评函-1'!A11</f>
        <v>2018年5月16日（评估专业人员勘察现场之日）</v>
      </c>
    </row>
    <row r="11" spans="1:55" s="2901" customFormat="1">
      <c r="A11" s="2902" t="s">
        <v>2664</v>
      </c>
      <c r="B11" s="2903" t="str">
        <f>'预评函-1'!A14</f>
        <v>根据《国有土地使用证》[]，本次评估估价对象证载（地类）用途为城镇住宅用地，其他商服用地。</v>
      </c>
    </row>
    <row r="12" spans="1:55" s="2901" customFormat="1">
      <c r="A12" s="2902" t="s">
        <v>2665</v>
      </c>
      <c r="B12" s="2903" t="str">
        <f>'预评函-1'!A15</f>
        <v>本次评估设定用途即为证载用途住宅、商业。</v>
      </c>
    </row>
    <row r="13" spans="1:55" s="2901" customFormat="1">
      <c r="A13" s="2902" t="s">
        <v>2666</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2667</v>
      </c>
      <c r="B14" s="2903" t="str">
        <f>'预评函-1'!A18</f>
        <v>本次评估设定土地开发程度为红线外市政基础设施达“七通”、宗地红线内场地平整。</v>
      </c>
    </row>
    <row r="15" spans="1:55" s="2901" customFormat="1">
      <c r="A15" s="2902" t="s">
        <v>2663</v>
      </c>
      <c r="B15" s="2903" t="str">
        <f>'预评函-1'!A20</f>
        <v>根据《国有土地使用证》[]，估价对象（分摊）出让国有建设用地使用权面积为67358.31平方米。根据《建设工程规划许可证》[]、《出让合同》[]，估价对象规划建筑面积为156303.05平方米。</v>
      </c>
    </row>
    <row r="16" spans="1:55" s="2901" customFormat="1">
      <c r="A16" s="2902" t="s">
        <v>2668</v>
      </c>
      <c r="B16" s="2903" t="str">
        <f>'预评函-1'!A22</f>
        <v>本次估价对象为出让国有建设用地使用权，《国有土地使用证》[]证载土地终止日期为住宅2087年11月7日、商业2057年11月7日车库2067年11月7日。截至估价期日，出让国有建设用地使用权剩余土地使用年限为。</v>
      </c>
    </row>
    <row r="17" spans="1:48" s="2901" customFormat="1">
      <c r="A17" s="2902" t="s">
        <v>2669</v>
      </c>
      <c r="B17" s="2903" t="str">
        <f>'预评函-1'!A23</f>
        <v>本次评估设定估价对象剩余土地使用年限为。</v>
      </c>
    </row>
    <row r="18" spans="1:48" s="2901" customFormat="1">
      <c r="A18" s="2902" t="s">
        <v>2670</v>
      </c>
      <c r="B18" s="2903" t="str">
        <f>'预评函-1'!A25</f>
        <v>本次估价的“出让国有建设用地使用权价格”是指在估价对象土地所有权为国家所有，使用权性质为出让，在公开市场条件下、于估价期日2018年5月16日，在规划利用条件下、设定土地开发程度为红线外“七通”、宗地内场地平整，设定用途为住宅、商业，剩余土地使用年限为的出让国有建设用地使用权价格。</v>
      </c>
    </row>
    <row r="19" spans="1:48" s="2901" customFormat="1">
      <c r="A19" s="2902" t="s">
        <v>2671</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2672</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2673</v>
      </c>
      <c r="B21" s="2925" t="str">
        <f>'预评函-1'!A28</f>
        <v/>
      </c>
    </row>
    <row r="22" spans="1:48" ht="15" thickTop="1">
      <c r="A22" s="2913" t="s">
        <v>2674</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2675</v>
      </c>
      <c r="B23" s="2903" t="str">
        <f>'预评函-2'!K2</f>
        <v>估价期日：2018年5月16日</v>
      </c>
    </row>
    <row r="24" spans="1:48">
      <c r="A24" s="2902" t="s">
        <v>2676</v>
      </c>
      <c r="B24" s="2903" t="str">
        <f>'预评函-2'!R2</f>
        <v>估价期日的国有建设用地使用权性质：出让</v>
      </c>
    </row>
    <row r="25" spans="1:48">
      <c r="A25" s="2902" t="s">
        <v>2732</v>
      </c>
      <c r="B25" s="2903" t="str">
        <f>'预评函-2'!A3</f>
        <v>估价期日土地使用者</v>
      </c>
    </row>
    <row r="26" spans="1:48">
      <c r="A26" s="2902" t="s">
        <v>2708</v>
      </c>
      <c r="B26" s="2903" t="str">
        <f>'预评函-2'!A5</f>
        <v>中信开发</v>
      </c>
    </row>
    <row r="27" spans="1:48">
      <c r="A27" s="2902" t="s">
        <v>2733</v>
      </c>
      <c r="B27" s="2903" t="str">
        <f>'预评函-2'!B3</f>
        <v>宗地编号/不动产单元号</v>
      </c>
    </row>
    <row r="28" spans="1:48">
      <c r="A28" s="2902" t="s">
        <v>2709</v>
      </c>
      <c r="B28" s="2903" t="str">
        <f>'预评函-2'!B5</f>
        <v>11111111111</v>
      </c>
    </row>
    <row r="29" spans="1:48">
      <c r="A29" s="2902" t="s">
        <v>2735</v>
      </c>
      <c r="B29" s="2903">
        <f>'预评函-2'!C5</f>
        <v>22</v>
      </c>
    </row>
    <row r="30" spans="1:48">
      <c r="A30" s="2902" t="s">
        <v>2736</v>
      </c>
      <c r="B30" s="2903" t="str">
        <f>'预评函-2'!D3</f>
        <v>土地使用证编号/不动产权证书编号</v>
      </c>
    </row>
    <row r="31" spans="1:48">
      <c r="A31" s="2902" t="s">
        <v>2710</v>
      </c>
      <c r="B31" s="2903" t="str">
        <f>'预评函-2'!D5</f>
        <v>京国土字第111号</v>
      </c>
    </row>
    <row r="32" spans="1:48">
      <c r="A32" s="2902" t="s">
        <v>2711</v>
      </c>
      <c r="B32" s="2903" t="str">
        <f>'预评函-2'!E5</f>
        <v>城镇住宅用地，其他商服用地</v>
      </c>
      <c r="AV32" s="2907"/>
    </row>
    <row r="33" spans="1:2">
      <c r="A33" s="2902" t="s">
        <v>2712</v>
      </c>
      <c r="B33" s="2903">
        <f>'预评函-2'!F5</f>
        <v>258</v>
      </c>
    </row>
    <row r="34" spans="1:2">
      <c r="A34" s="2902" t="s">
        <v>2713</v>
      </c>
      <c r="B34" s="2903" t="str">
        <f>'预评函-2'!G5</f>
        <v>住宅、商业</v>
      </c>
    </row>
    <row r="35" spans="1:2">
      <c r="A35" s="2902" t="s">
        <v>2714</v>
      </c>
      <c r="B35" s="2903">
        <f>'预评函-2'!H5</f>
        <v>1.5</v>
      </c>
    </row>
    <row r="36" spans="1:2">
      <c r="A36" s="2902" t="s">
        <v>2715</v>
      </c>
      <c r="B36" s="2903">
        <f>'预评函-2'!I5</f>
        <v>1.5</v>
      </c>
    </row>
    <row r="37" spans="1:2">
      <c r="A37" s="2902" t="s">
        <v>2716</v>
      </c>
      <c r="B37" s="2903">
        <f>'预评函-2'!J5</f>
        <v>1.5</v>
      </c>
    </row>
    <row r="38" spans="1:2">
      <c r="A38" s="2902" t="s">
        <v>2717</v>
      </c>
      <c r="B38" s="2903" t="str">
        <f>'预评函-2'!K5</f>
        <v>红线外七通、宗地红线内场地平整</v>
      </c>
    </row>
    <row r="39" spans="1:2">
      <c r="A39" s="2902" t="s">
        <v>2718</v>
      </c>
      <c r="B39" s="2903" t="str">
        <f>'预评函-2'!L5</f>
        <v>红线外七通、宗地红线内场地平整</v>
      </c>
    </row>
    <row r="40" spans="1:2">
      <c r="A40" s="2902" t="s">
        <v>2737</v>
      </c>
      <c r="B40" s="2903" t="str">
        <f>'预评函-2'!M3</f>
        <v>（剩余）土地使用年限/年</v>
      </c>
    </row>
    <row r="41" spans="1:2">
      <c r="A41" s="2902" t="s">
        <v>2719</v>
      </c>
      <c r="B41" s="2903">
        <f>'预评函-2'!M5</f>
        <v>0</v>
      </c>
    </row>
    <row r="42" spans="1:2">
      <c r="A42" s="2902" t="s">
        <v>2738</v>
      </c>
      <c r="B42" s="2903" t="str">
        <f>'预评函-2'!N3</f>
        <v>（分摊）出让国有建设用地使用权面积/㎡</v>
      </c>
    </row>
    <row r="43" spans="1:2">
      <c r="A43" s="2902" t="s">
        <v>2720</v>
      </c>
      <c r="B43" s="2903">
        <f>'预评函-2'!N5</f>
        <v>67358.31</v>
      </c>
    </row>
    <row r="44" spans="1:2">
      <c r="A44" s="2902" t="s">
        <v>2739</v>
      </c>
      <c r="B44" s="2903" t="str">
        <f>'预评函-2'!O3</f>
        <v>规划建筑面积/㎡</v>
      </c>
    </row>
    <row r="45" spans="1:2">
      <c r="A45" s="2902" t="s">
        <v>2721</v>
      </c>
      <c r="B45" s="2903">
        <f>'预评函-2'!O5</f>
        <v>156303.04999999999</v>
      </c>
    </row>
    <row r="46" spans="1:2">
      <c r="A46" s="2902" t="s">
        <v>2722</v>
      </c>
      <c r="B46" s="2903">
        <f ca="1">'预评函-2'!P5</f>
        <v>6028</v>
      </c>
    </row>
    <row r="47" spans="1:2">
      <c r="A47" s="2902" t="s">
        <v>2723</v>
      </c>
      <c r="B47" s="2903">
        <f ca="1">'预评函-2'!Q5</f>
        <v>2598</v>
      </c>
    </row>
    <row r="48" spans="1:2">
      <c r="A48" s="2902" t="s">
        <v>2724</v>
      </c>
      <c r="B48" s="2903">
        <f ca="1">'预评函-2'!R5</f>
        <v>40606</v>
      </c>
    </row>
    <row r="49" spans="1:2">
      <c r="A49" s="2902" t="s">
        <v>2740</v>
      </c>
      <c r="B49" s="2903" t="str">
        <f>'预评函-2'!A6</f>
        <v>抵押价格</v>
      </c>
    </row>
    <row r="50" spans="1:2">
      <c r="A50" s="2902" t="s">
        <v>2725</v>
      </c>
      <c r="B50" s="2903">
        <f ca="1">'预评函-2'!R6</f>
        <v>40606</v>
      </c>
    </row>
    <row r="51" spans="1:2">
      <c r="A51" s="2902" t="s">
        <v>2741</v>
      </c>
      <c r="B51" s="2903" t="str">
        <f>'预评函-2'!A7</f>
        <v>——</v>
      </c>
    </row>
    <row r="52" spans="1:2">
      <c r="A52" s="2902" t="s">
        <v>2726</v>
      </c>
      <c r="B52" s="2903" t="str">
        <f>'预评函-2'!R7</f>
        <v>——</v>
      </c>
    </row>
    <row r="53" spans="1:2">
      <c r="A53" s="2902" t="s">
        <v>2742</v>
      </c>
      <c r="B53" s="2903" t="str">
        <f>'预评函-2'!A8</f>
        <v>——</v>
      </c>
    </row>
    <row r="54" spans="1:2" s="2917" customFormat="1" ht="15" thickBot="1">
      <c r="A54" s="2924" t="s">
        <v>2727</v>
      </c>
      <c r="B54" s="2925" t="str">
        <f>'预评函-2'!R8</f>
        <v>——</v>
      </c>
    </row>
    <row r="55" spans="1:2" ht="15" thickTop="1">
      <c r="A55" s="2913" t="s">
        <v>2677</v>
      </c>
      <c r="B55" s="2914" t="str">
        <f>'预评函-3'!A2</f>
        <v>1.权利限制：根据估价对象《不动产权证书》原件、，截至估价期日，估价对象抵押权未见登记。未设定租赁等其他他项权利。</v>
      </c>
    </row>
    <row r="56" spans="1:2">
      <c r="A56" s="2902" t="s">
        <v>2678</v>
      </c>
      <c r="B56" s="2903" t="str">
        <f>'预评函-3'!A3</f>
        <v>2.基础设施条件：估价对象实际开发程度为红线外七通、宗地红线内场地平整；本次评估设定开发程度为红线外七通、宗地红线内场地平整。</v>
      </c>
    </row>
    <row r="57" spans="1:2">
      <c r="A57" s="2902" t="s">
        <v>2679</v>
      </c>
      <c r="B57" s="2903" t="str">
        <f>'预评函-3'!A4</f>
        <v>3.估价规划限制条件：详见《建设工程规划许可证》[]、《出让合同》[]。</v>
      </c>
    </row>
    <row r="58" spans="1:2" s="2917" customFormat="1" ht="15" thickBot="1">
      <c r="A58" s="2924" t="s">
        <v>2728</v>
      </c>
      <c r="B58" s="2925" t="str">
        <f>'预评函-3'!A5</f>
        <v>4.影响价格的其他限定条件：无。</v>
      </c>
    </row>
    <row r="59" spans="1:2" ht="15" thickTop="1">
      <c r="A59" s="2913" t="s">
        <v>2680</v>
      </c>
      <c r="B59" s="2914" t="str">
        <f>'预评函-3'!A8</f>
        <v>2.本《评估意见函》仅供金融机构进行内部审核使用，不做其他目的之用。</v>
      </c>
    </row>
    <row r="60" spans="1:2">
      <c r="A60" s="2902" t="s">
        <v>2681</v>
      </c>
      <c r="B60" s="2903" t="str">
        <f>'预评函-3'!A9</f>
        <v>3.抵押双方在办理抵押登记手续时，应使用本公司出具的正式《土地估价报告》，特提请报告使用者注意。</v>
      </c>
    </row>
    <row r="61" spans="1:2">
      <c r="A61" s="2902" t="s">
        <v>2683</v>
      </c>
      <c r="B61" s="2903" t="str">
        <f>'预评函-3'!A10</f>
        <v>4.估价师所知悉的法定优先受偿款情况为：</v>
      </c>
    </row>
    <row r="62" spans="1:2">
      <c r="A62" s="2902" t="s">
        <v>2682</v>
      </c>
      <c r="B62" s="2903" t="str">
        <f>'预评函-3'!A11</f>
        <v>（1）根据估价对象《不动产权证书》原件、，截至估价期日，估价对象抵押权未见登记。</v>
      </c>
    </row>
    <row r="63" spans="1:2">
      <c r="A63" s="2902" t="s">
        <v>2684</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2685</v>
      </c>
      <c r="B64" s="2908" t="str">
        <f>'预评函-3'!A13</f>
        <v>（3）。</v>
      </c>
    </row>
    <row r="65" spans="1:2">
      <c r="A65" s="2902" t="s">
        <v>2686</v>
      </c>
      <c r="B65" s="2909" t="str">
        <f>'预评函-3'!A14</f>
        <v>综上，本次评估不存在估价师知悉的法定优先受偿款</v>
      </c>
    </row>
    <row r="66" spans="1:2">
      <c r="A66" s="2902" t="s">
        <v>2687</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2688</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2691</v>
      </c>
      <c r="B68" s="2928">
        <f>'预评函-3'!D30</f>
        <v>42558</v>
      </c>
    </row>
    <row r="69" spans="1:2" ht="15" thickTop="1">
      <c r="A69" s="2913" t="s">
        <v>2689</v>
      </c>
      <c r="B69" s="2914" t="str">
        <f>'预评函-3'!A20</f>
        <v>王鹏</v>
      </c>
    </row>
    <row r="70" spans="1:2">
      <c r="A70" s="2902" t="s">
        <v>2689</v>
      </c>
      <c r="B70" s="2909">
        <f ca="1">'预评函-3'!B20</f>
        <v>2002110030</v>
      </c>
    </row>
    <row r="71" spans="1:2">
      <c r="A71" s="2902" t="s">
        <v>2690</v>
      </c>
      <c r="B71" s="2903" t="str">
        <f>'预评函-3'!A21</f>
        <v>郑燚</v>
      </c>
    </row>
    <row r="72" spans="1:2" s="2917" customFormat="1" ht="15" thickBot="1">
      <c r="A72" s="2924" t="s">
        <v>2690</v>
      </c>
      <c r="B72" s="2930">
        <f>'预评函-3'!B21</f>
        <v>2014110011</v>
      </c>
    </row>
    <row r="73" spans="1:2" ht="15" thickTop="1">
      <c r="A73" s="2913" t="s">
        <v>2749</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2750</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2751</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2786</v>
      </c>
      <c r="B76" s="2912"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F12" sqref="F12:I1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385" t="str">
        <f>IF(B10="北京市","北京市",C10)&amp;F10&amp;B16&amp;"国有建设用地使用权"&amp;B9&amp;"预评估"</f>
        <v>河南省安阳市文峰区光明路与富泉街交叉口东北角出让国有建设用地使用权抵押价格预评估</v>
      </c>
      <c r="C1" s="3386"/>
      <c r="D1" s="3386"/>
      <c r="E1" s="3386"/>
      <c r="F1" s="3386"/>
      <c r="G1" s="3386"/>
      <c r="H1" s="3386"/>
      <c r="I1" s="3387"/>
      <c r="J1" s="1693"/>
      <c r="K1" s="2479" t="str">
        <f>IF(B10="北京市","北京市",C10)&amp;F10&amp;B16&amp;"国有建设用地使用权"&amp;B9</f>
        <v>河南省安阳市文峰区光明路与富泉街交叉口东北角出让国有建设用地使用权抵押价格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河南省安阳市文峰区光明路与富泉街交叉口东北角出让国有建设用地使用权</v>
      </c>
      <c r="L2" s="1722"/>
      <c r="M2" s="1722"/>
      <c r="N2" s="1693"/>
      <c r="O2" s="1694"/>
      <c r="P2" s="1693"/>
      <c r="Q2" s="1693"/>
      <c r="R2" s="1693"/>
      <c r="S2" s="1693"/>
      <c r="T2" s="1693"/>
      <c r="U2" s="1693"/>
    </row>
    <row r="3" spans="1:21">
      <c r="A3" s="1660" t="s">
        <v>1941</v>
      </c>
      <c r="B3" s="1661">
        <v>43236</v>
      </c>
      <c r="C3" s="1662" t="s">
        <v>1996</v>
      </c>
      <c r="D3" s="1661">
        <f>B3</f>
        <v>43236</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2972</v>
      </c>
      <c r="C4" s="1845">
        <f ca="1">SUMIF(土地估价师,B4,估价师及机构信息!E3:E24)</f>
        <v>2002110030</v>
      </c>
      <c r="D4" s="1842" t="s">
        <v>2973</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1943</v>
      </c>
      <c r="B5" s="1788" t="str">
        <f>B6</f>
        <v>五矿国际信托有限公司</v>
      </c>
      <c r="C5" s="1665"/>
      <c r="D5" s="1666"/>
      <c r="E5" s="1693"/>
      <c r="F5" s="1693"/>
      <c r="G5" s="1693"/>
      <c r="H5" s="1659"/>
      <c r="I5" s="1694"/>
      <c r="J5" s="1693"/>
      <c r="K5" s="1773"/>
      <c r="L5" s="1722"/>
      <c r="M5" s="1722"/>
      <c r="N5" s="1693"/>
      <c r="O5" s="1694"/>
      <c r="P5" s="1693"/>
      <c r="Q5" s="1693"/>
      <c r="R5" s="1693"/>
      <c r="S5" s="1693"/>
      <c r="T5" s="1693"/>
      <c r="U5" s="1693"/>
    </row>
    <row r="6" spans="1:21" ht="26.25">
      <c r="A6" s="1662" t="s">
        <v>2705</v>
      </c>
      <c r="B6" s="1788" t="s">
        <v>2989</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2706</v>
      </c>
      <c r="B7" s="1788" t="str">
        <f>C11</f>
        <v>安阳建业城市建设有限公司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2994</v>
      </c>
      <c r="C8" s="1670"/>
      <c r="D8" s="3391" t="s">
        <v>1946</v>
      </c>
      <c r="E8" s="1843" t="s">
        <v>2993</v>
      </c>
      <c r="F8" s="1671"/>
      <c r="G8" s="1659"/>
      <c r="H8" s="1659"/>
      <c r="I8" s="1706"/>
      <c r="J8" s="1693"/>
      <c r="K8" s="1773"/>
      <c r="L8" s="1722"/>
      <c r="M8" s="1722"/>
      <c r="N8" s="1693"/>
      <c r="O8" s="1694"/>
      <c r="P8" s="1693"/>
      <c r="Q8" s="1693"/>
      <c r="R8" s="1693"/>
      <c r="S8" s="1693"/>
      <c r="T8" s="1693"/>
      <c r="U8" s="1693"/>
    </row>
    <row r="9" spans="1:21" ht="15" thickBot="1">
      <c r="A9" s="1672" t="s">
        <v>1945</v>
      </c>
      <c r="B9" s="1673" t="s">
        <v>2993</v>
      </c>
      <c r="C9" s="1674"/>
      <c r="D9" s="3392"/>
      <c r="E9" s="1673"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2990</v>
      </c>
      <c r="C10" s="1675"/>
      <c r="D10" s="1666"/>
      <c r="E10" s="1676" t="s">
        <v>1948</v>
      </c>
      <c r="F10" s="1677" t="s">
        <v>3133</v>
      </c>
      <c r="G10" s="1744"/>
      <c r="H10" s="1745"/>
      <c r="I10" s="1666"/>
      <c r="J10" s="1693"/>
      <c r="K10" s="1773"/>
      <c r="L10" s="1722"/>
      <c r="M10" s="1722"/>
      <c r="N10" s="1693"/>
      <c r="O10" s="1694"/>
      <c r="P10" s="1693"/>
      <c r="Q10" s="1693"/>
      <c r="R10" s="1693"/>
      <c r="S10" s="1693"/>
      <c r="T10" s="1693"/>
      <c r="U10" s="1693"/>
    </row>
    <row r="11" spans="1:21" ht="28.5">
      <c r="A11" s="1696" t="s">
        <v>2001</v>
      </c>
      <c r="B11" s="1697" t="s">
        <v>2991</v>
      </c>
      <c r="C11" s="1678" t="s">
        <v>2992</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388" t="s">
        <v>2995</v>
      </c>
      <c r="C12" s="3389"/>
      <c r="D12" s="3390"/>
      <c r="E12" s="1698" t="s">
        <v>2062</v>
      </c>
      <c r="F12" s="3406" t="s">
        <v>2888</v>
      </c>
      <c r="G12" s="3407"/>
      <c r="H12" s="3407"/>
      <c r="I12" s="3408"/>
      <c r="J12" s="1693"/>
      <c r="K12" s="1773"/>
      <c r="L12" s="1722"/>
      <c r="M12" s="1722"/>
      <c r="N12" s="1693"/>
      <c r="O12" s="1694"/>
      <c r="P12" s="1693"/>
      <c r="Q12" s="1693"/>
      <c r="R12" s="1693"/>
      <c r="S12" s="1693"/>
      <c r="T12" s="1693"/>
      <c r="U12" s="1693"/>
    </row>
    <row r="13" spans="1:21">
      <c r="A13" s="1686" t="s">
        <v>2060</v>
      </c>
      <c r="B13" s="3388" t="s">
        <v>2996</v>
      </c>
      <c r="C13" s="3389"/>
      <c r="D13" s="3390"/>
      <c r="E13" s="1698" t="s">
        <v>2062</v>
      </c>
      <c r="F13" s="3406" t="s">
        <v>2889</v>
      </c>
      <c r="G13" s="3407"/>
      <c r="H13" s="3407"/>
      <c r="I13" s="3408"/>
      <c r="J13" s="1693"/>
      <c r="K13" s="1773"/>
      <c r="L13" s="1722"/>
      <c r="M13" s="1722"/>
      <c r="N13" s="1693"/>
      <c r="O13" s="1694"/>
      <c r="P13" s="1693"/>
      <c r="Q13" s="1693"/>
      <c r="R13" s="1693"/>
      <c r="S13" s="1693"/>
      <c r="T13" s="1693"/>
      <c r="U13" s="1693"/>
    </row>
    <row r="14" spans="1:21">
      <c r="A14" s="1660" t="s">
        <v>2063</v>
      </c>
      <c r="B14" s="1698"/>
      <c r="C14" s="1844" t="s">
        <v>2997</v>
      </c>
      <c r="D14" s="1732" t="str">
        <f>IF(C14="不一致","是否符合证载地类范围","")</f>
        <v/>
      </c>
      <c r="E14" s="1698"/>
      <c r="F14" s="1789" t="s">
        <v>3064</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70" t="s">
        <v>1951</v>
      </c>
      <c r="E16" s="1721" t="s">
        <v>2983</v>
      </c>
      <c r="F16" s="1721"/>
      <c r="G16" s="1721" t="s">
        <v>3508</v>
      </c>
      <c r="H16" s="1721"/>
      <c r="I16" s="1685" t="s">
        <v>1956</v>
      </c>
      <c r="J16" s="1693"/>
      <c r="K16" s="2480" t="str">
        <f>IF(D17="","",D16&amp;TEXT(D17,"yyyy年m月d日;;"))</f>
        <v>住宅2087年11月7日</v>
      </c>
      <c r="L16" s="1698" t="str">
        <f>IF(OR(K16="",M16=""),"","、")</f>
        <v>、</v>
      </c>
      <c r="M16" s="2480" t="str">
        <f>IF(E17="","",E16&amp;TEXT(E17,"yyyy年m月d日;;"))</f>
        <v>商业2057年11月7日</v>
      </c>
      <c r="N16" s="1698" t="str">
        <f>IF(OR(M16="",O16=""),"","、")</f>
        <v/>
      </c>
      <c r="O16" s="2480" t="str">
        <f>IF(F17="","",F16&amp;TEXT(F17,"yyyy年m月d日;;"))</f>
        <v/>
      </c>
      <c r="P16" s="1698" t="str">
        <f>IF(OR(O16="",Q16=""),"","、")</f>
        <v/>
      </c>
      <c r="Q16" s="2480" t="str">
        <f>IF(G17="","",G16&amp;TEXT(G17,"yyyy年m月d日;;"))</f>
        <v>车库2067年11月7日</v>
      </c>
      <c r="R16" s="1698" t="str">
        <f>IF(OR(Q16="",S16=""),"","、")</f>
        <v/>
      </c>
      <c r="S16" s="2480" t="str">
        <f>IF(H17="","",H16&amp;TEXT(H17,"yyyy年m月d日;;"))</f>
        <v/>
      </c>
      <c r="T16" s="1698" t="str">
        <f>IF(OR(S16="",U16=""),"","、")</f>
        <v/>
      </c>
      <c r="U16" s="2480" t="str">
        <f>IF(I17="","",I16&amp;TEXT(I17,"yyyy年m月d日;;"))</f>
        <v/>
      </c>
    </row>
    <row r="17" spans="1:21">
      <c r="A17" s="1762"/>
      <c r="B17" s="1681"/>
      <c r="C17" s="1682" t="s">
        <v>1957</v>
      </c>
      <c r="D17" s="1699">
        <v>68613</v>
      </c>
      <c r="E17" s="1699">
        <v>57656</v>
      </c>
      <c r="F17" s="1699"/>
      <c r="G17" s="1699">
        <v>61308</v>
      </c>
      <c r="H17" s="1699"/>
      <c r="I17" s="1699"/>
      <c r="J17" s="1693"/>
      <c r="K17" s="2479" t="str">
        <f>CONCATENATE(K16,L16,M16,N16,O16,P16,Q16,R16,S16,T16,,U16)</f>
        <v>住宅2087年11月7日、商业2057年11月7日车库2067年11月7日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69.52</v>
      </c>
      <c r="E19" s="1684">
        <f>IF(B16="出让",IF(E17="","",ROUNDDOWN(MIN((E17-$D$3)/365,E18),2)),E18)</f>
        <v>39.5</v>
      </c>
      <c r="F19" s="1684" t="str">
        <f>IF(B16="出让",IF(F17="","",ROUNDDOWN(MIN((F17-$D$3)/365,F18),2)),F18)</f>
        <v/>
      </c>
      <c r="G19" s="1684">
        <f>IF(B16="出让",IF(G17="","",ROUNDDOWN(MIN((G17-$D$3)/365,G18),2)),G18)</f>
        <v>49.51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403"/>
      <c r="E20" s="3404"/>
      <c r="F20" s="3404"/>
      <c r="G20" s="3404"/>
      <c r="H20" s="3404"/>
      <c r="I20" s="3405"/>
      <c r="J20" s="1693"/>
      <c r="K20" s="1773"/>
      <c r="L20" s="1722"/>
      <c r="M20" s="1722"/>
      <c r="N20" s="1693"/>
      <c r="O20" s="1694"/>
      <c r="P20" s="1693"/>
      <c r="Q20" s="1693"/>
      <c r="R20" s="1693"/>
      <c r="S20" s="1693"/>
      <c r="T20" s="1693"/>
      <c r="U20" s="1693"/>
    </row>
    <row r="21" spans="1:21">
      <c r="A21" s="1762" t="s">
        <v>1960</v>
      </c>
      <c r="B21" s="1763" t="s">
        <v>1961</v>
      </c>
      <c r="C21" s="1758">
        <f>'数据-汇总表'!E3</f>
        <v>156303.04999999999</v>
      </c>
      <c r="D21" s="1759" t="s">
        <v>1962</v>
      </c>
      <c r="E21" s="3393" t="s">
        <v>1999</v>
      </c>
      <c r="F21" s="3394"/>
      <c r="G21" s="3394"/>
      <c r="H21" s="3394"/>
      <c r="I21" s="3395"/>
      <c r="J21" s="1693"/>
      <c r="K21" s="1773"/>
      <c r="L21" s="1722"/>
      <c r="M21" s="1722"/>
      <c r="N21" s="1693"/>
      <c r="O21" s="1694"/>
      <c r="P21" s="1693"/>
      <c r="Q21" s="1693"/>
      <c r="R21" s="1693"/>
      <c r="S21" s="1693"/>
      <c r="T21" s="1693"/>
      <c r="U21" s="1693"/>
    </row>
    <row r="22" spans="1:21">
      <c r="A22" s="3178" t="s">
        <v>951</v>
      </c>
      <c r="B22" s="1660" t="s">
        <v>1963</v>
      </c>
      <c r="C22" s="1685">
        <f>'数据-汇总表'!D3</f>
        <v>67358.31</v>
      </c>
      <c r="D22" s="1686" t="s">
        <v>1962</v>
      </c>
      <c r="E22" s="3393" t="s">
        <v>2890</v>
      </c>
      <c r="F22" s="3394"/>
      <c r="G22" s="3394"/>
      <c r="H22" s="3394"/>
      <c r="I22" s="3395"/>
      <c r="J22" s="1693"/>
      <c r="K22" s="1773"/>
      <c r="L22" s="1722"/>
      <c r="M22" s="1722"/>
      <c r="N22" s="1693"/>
      <c r="O22" s="1694"/>
      <c r="P22" s="1693"/>
      <c r="Q22" s="1693"/>
      <c r="R22" s="1693"/>
      <c r="S22" s="1693"/>
      <c r="T22" s="1693"/>
      <c r="U22" s="1693"/>
    </row>
    <row r="23" spans="1:21" ht="43.5" thickBot="1">
      <c r="A23" s="1764" t="s">
        <v>1964</v>
      </c>
      <c r="B23" s="1700" t="s">
        <v>1965</v>
      </c>
      <c r="C23" s="1701" t="s">
        <v>2975</v>
      </c>
      <c r="D23" s="1702" t="s">
        <v>1966</v>
      </c>
      <c r="E23" s="1703" t="s">
        <v>951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396" t="s">
        <v>1968</v>
      </c>
      <c r="C24" s="3397"/>
      <c r="D24" s="3398" t="s">
        <v>1969</v>
      </c>
      <c r="E24" s="3399"/>
      <c r="F24" s="1707" t="s">
        <v>1970</v>
      </c>
      <c r="G24" s="1693"/>
      <c r="H24" s="1693"/>
      <c r="I24" s="1706"/>
      <c r="J24" s="1693"/>
      <c r="K24" s="3384" t="s">
        <v>1971</v>
      </c>
      <c r="L24" s="2481"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2326</v>
      </c>
      <c r="C25" s="1708" t="s">
        <v>1972</v>
      </c>
      <c r="D25" s="1709"/>
      <c r="E25" s="1710"/>
      <c r="F25" s="1711"/>
      <c r="G25" s="1693"/>
      <c r="H25" s="1693"/>
      <c r="I25" s="1706"/>
      <c r="J25" s="1693"/>
      <c r="K25" s="338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38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5"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6"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6"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7" t="s">
        <v>1977</v>
      </c>
      <c r="E30" s="1717"/>
      <c r="F30" s="1688"/>
      <c r="G30" s="1741"/>
      <c r="H30" s="1741"/>
      <c r="I30" s="1742"/>
      <c r="J30" s="1693"/>
      <c r="K30" s="1773"/>
      <c r="L30" s="1722"/>
      <c r="M30" s="1722"/>
      <c r="N30" s="1693"/>
      <c r="O30" s="1694"/>
      <c r="P30" s="1693"/>
      <c r="Q30" s="1693"/>
      <c r="R30" s="1693"/>
      <c r="S30" s="1693"/>
      <c r="T30" s="1693"/>
      <c r="U30" s="1693"/>
    </row>
    <row r="31" spans="1:21" ht="15" thickTop="1">
      <c r="A31" s="3370" t="s">
        <v>2002</v>
      </c>
      <c r="B31" s="1763" t="s">
        <v>2003</v>
      </c>
      <c r="C31" s="3409" t="s">
        <v>2998</v>
      </c>
      <c r="D31" s="3410"/>
      <c r="E31" s="1693"/>
      <c r="F31" s="1693"/>
      <c r="G31" s="1693"/>
      <c r="H31" s="1693"/>
      <c r="I31" s="1706"/>
      <c r="J31" s="1693"/>
      <c r="K31" s="2482"/>
      <c r="L31" s="1693"/>
      <c r="M31" s="1693"/>
      <c r="N31" s="1693"/>
      <c r="O31" s="1693"/>
      <c r="P31" s="1693"/>
      <c r="Q31" s="1693"/>
      <c r="R31" s="1693"/>
      <c r="S31" s="1693"/>
      <c r="T31" s="1693"/>
      <c r="U31" s="1693"/>
    </row>
    <row r="32" spans="1:21">
      <c r="A32" s="3370"/>
      <c r="B32" s="1660"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370"/>
      <c r="B33" s="1660"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371"/>
      <c r="B34" s="1660" t="s">
        <v>2006</v>
      </c>
      <c r="C34" s="3372"/>
      <c r="D34" s="3373"/>
      <c r="E34" s="1693"/>
      <c r="F34" s="1693"/>
      <c r="G34" s="1693"/>
      <c r="H34" s="1693"/>
      <c r="I34" s="1706"/>
      <c r="J34" s="1693"/>
      <c r="K34" s="2482"/>
      <c r="L34" s="1693"/>
      <c r="M34" s="1693"/>
      <c r="N34" s="1693"/>
      <c r="O34" s="1693"/>
      <c r="P34" s="1693"/>
      <c r="Q34" s="1693"/>
      <c r="R34" s="1693"/>
      <c r="S34" s="1693"/>
      <c r="T34" s="1693"/>
      <c r="U34" s="1693"/>
    </row>
    <row r="35" spans="1:21">
      <c r="A35" s="3374" t="s">
        <v>846</v>
      </c>
      <c r="B35" s="1721" t="s">
        <v>3000</v>
      </c>
      <c r="C35" s="1775" t="str">
        <f>IF(B35="场地平整","——","具体情况：")</f>
        <v>——</v>
      </c>
      <c r="D35" s="3376"/>
      <c r="E35" s="3377"/>
      <c r="F35" s="3377"/>
      <c r="G35" s="3377"/>
      <c r="H35" s="3377"/>
      <c r="I35" s="3378"/>
      <c r="J35" s="1693"/>
      <c r="K35" s="1774"/>
      <c r="L35" s="1722"/>
      <c r="M35" s="1722"/>
      <c r="N35" s="1693"/>
      <c r="O35" s="1694"/>
      <c r="P35" s="1693"/>
      <c r="Q35" s="1693"/>
      <c r="R35" s="1693"/>
      <c r="S35" s="1693"/>
      <c r="T35" s="1693"/>
      <c r="U35" s="1693"/>
    </row>
    <row r="36" spans="1:21">
      <c r="A36" s="3370"/>
      <c r="B36" s="3379" t="s">
        <v>2055</v>
      </c>
      <c r="C36" s="3380"/>
      <c r="D36" s="1791" t="s">
        <v>2999</v>
      </c>
      <c r="E36" s="3381"/>
      <c r="F36" s="3381"/>
      <c r="G36" s="1686" t="str">
        <f>IF(B35="场地未平整","估价结果处理","")</f>
        <v/>
      </c>
      <c r="H36" s="3382"/>
      <c r="I36" s="3382"/>
      <c r="J36" s="1693"/>
      <c r="K36" s="1774"/>
      <c r="L36" s="1722"/>
      <c r="M36" s="1722"/>
      <c r="N36" s="1693"/>
      <c r="O36" s="1694"/>
      <c r="P36" s="1693"/>
      <c r="Q36" s="1693"/>
      <c r="R36" s="1693"/>
      <c r="S36" s="1693"/>
      <c r="T36" s="1693"/>
      <c r="U36" s="1693"/>
    </row>
    <row r="37" spans="1:21" ht="28.5">
      <c r="A37" s="3370"/>
      <c r="B37" s="340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370"/>
      <c r="B38" s="3401"/>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371"/>
      <c r="B39" s="340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3001</v>
      </c>
      <c r="C40" s="1689" t="s">
        <v>3002</v>
      </c>
      <c r="D40" s="1689" t="s">
        <v>3003</v>
      </c>
      <c r="E40" s="1689" t="s">
        <v>3004</v>
      </c>
      <c r="F40" s="1689" t="s">
        <v>3005</v>
      </c>
      <c r="G40" s="1689" t="s">
        <v>3006</v>
      </c>
      <c r="H40" s="1689" t="s">
        <v>3007</v>
      </c>
      <c r="I40" s="1706"/>
      <c r="J40" s="1693"/>
      <c r="K40" s="1729">
        <f>COUNTIF(B40:H40,"——")</f>
        <v>0</v>
      </c>
      <c r="L40" s="1698" t="s">
        <v>1979</v>
      </c>
      <c r="M40" s="1695" t="s">
        <v>1980</v>
      </c>
      <c r="N40" s="1695" t="s">
        <v>1981</v>
      </c>
      <c r="O40" s="1695" t="s">
        <v>1982</v>
      </c>
      <c r="P40" s="1695" t="s">
        <v>1983</v>
      </c>
      <c r="Q40" s="1695" t="s">
        <v>1984</v>
      </c>
      <c r="R40" s="1695" t="s">
        <v>1985</v>
      </c>
      <c r="S40" s="3383" t="s">
        <v>1986</v>
      </c>
      <c r="T40" s="1730" t="str">
        <f>NUMBERSTRING(7-K40,1)&amp;"通"</f>
        <v>七通</v>
      </c>
      <c r="U40" s="1693"/>
    </row>
    <row r="41" spans="1:21">
      <c r="A41" s="1662"/>
      <c r="B41" s="3375" t="s">
        <v>1721</v>
      </c>
      <c r="C41" s="3375"/>
      <c r="D41" s="3375"/>
      <c r="E41" s="337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383"/>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2891</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L13" activePane="bottomRight" state="frozen"/>
      <selection pane="topRight" activeCell="E1" sqref="E1"/>
      <selection pane="bottomLeft" activeCell="A12" sqref="A12"/>
      <selection pane="bottomRight" activeCell="AM3" sqref="AM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67358.31</v>
      </c>
      <c r="B3" s="22">
        <f>IF(C3="否",G5-AT5,G5)</f>
        <v>156303.04999999999</v>
      </c>
      <c r="C3" s="23" t="s">
        <v>2975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174300.5</v>
      </c>
      <c r="H5" s="27">
        <f t="shared" ref="H5:AT5" si="0">SUM(H13:H641)</f>
        <v>141659.60999999999</v>
      </c>
      <c r="I5" s="27">
        <f t="shared" si="0"/>
        <v>11954</v>
      </c>
      <c r="J5" s="27">
        <f t="shared" si="0"/>
        <v>0</v>
      </c>
      <c r="K5" s="27">
        <f t="shared" si="0"/>
        <v>46731.7</v>
      </c>
      <c r="L5" s="27">
        <f t="shared" si="0"/>
        <v>0</v>
      </c>
      <c r="M5" s="27">
        <f t="shared" si="0"/>
        <v>66359.8</v>
      </c>
      <c r="N5" s="27">
        <f t="shared" si="0"/>
        <v>0</v>
      </c>
      <c r="O5" s="27">
        <f t="shared" si="0"/>
        <v>16614.109999999997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14643.44</v>
      </c>
      <c r="AD5" s="27">
        <f t="shared" si="0"/>
        <v>4070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10573.44</v>
      </c>
      <c r="AO5" s="27">
        <f t="shared" si="0"/>
        <v>0</v>
      </c>
      <c r="AP5" s="27">
        <f t="shared" si="0"/>
        <v>0</v>
      </c>
      <c r="AQ5" s="27">
        <f t="shared" si="0"/>
        <v>0</v>
      </c>
      <c r="AR5" s="27">
        <f t="shared" si="0"/>
        <v>0</v>
      </c>
      <c r="AS5" s="27">
        <f t="shared" si="0"/>
        <v>0</v>
      </c>
      <c r="AT5" s="27">
        <f t="shared" si="0"/>
        <v>17997.45</v>
      </c>
      <c r="AU5" s="988"/>
      <c r="AV5" s="26" t="s">
        <v>168</v>
      </c>
      <c r="AW5" s="989"/>
      <c r="AX5" s="989"/>
      <c r="AY5" s="28" t="s">
        <v>3</v>
      </c>
      <c r="AZ5" s="29">
        <f t="shared" ref="AZ5:BT5" si="1">SUM(AZ13:AZ641)</f>
        <v>156303.04999999999</v>
      </c>
      <c r="BA5" s="29">
        <f t="shared" si="1"/>
        <v>141659.60999999999</v>
      </c>
      <c r="BB5" s="29">
        <f t="shared" si="1"/>
        <v>11954</v>
      </c>
      <c r="BC5" s="29">
        <f t="shared" si="1"/>
        <v>46731.7</v>
      </c>
      <c r="BD5" s="29">
        <f t="shared" si="1"/>
        <v>66359.8</v>
      </c>
      <c r="BE5" s="29">
        <f t="shared" si="1"/>
        <v>16614.109999999997</v>
      </c>
      <c r="BF5" s="29">
        <f t="shared" si="1"/>
        <v>0</v>
      </c>
      <c r="BG5" s="29">
        <f t="shared" si="1"/>
        <v>0</v>
      </c>
      <c r="BH5" s="29">
        <f t="shared" si="1"/>
        <v>0</v>
      </c>
      <c r="BI5" s="29">
        <f t="shared" si="1"/>
        <v>0</v>
      </c>
      <c r="BJ5" s="29">
        <f t="shared" si="1"/>
        <v>0</v>
      </c>
      <c r="BK5" s="29">
        <f t="shared" si="1"/>
        <v>0</v>
      </c>
      <c r="BL5" s="29">
        <f t="shared" si="1"/>
        <v>14643.44</v>
      </c>
      <c r="BM5" s="29">
        <f t="shared" si="1"/>
        <v>4070</v>
      </c>
      <c r="BN5" s="29">
        <f t="shared" si="1"/>
        <v>0</v>
      </c>
      <c r="BO5" s="29">
        <f t="shared" si="1"/>
        <v>0</v>
      </c>
      <c r="BP5" s="29">
        <f t="shared" si="1"/>
        <v>0</v>
      </c>
      <c r="BQ5" s="29">
        <f t="shared" si="1"/>
        <v>0</v>
      </c>
      <c r="BR5" s="29">
        <f t="shared" si="1"/>
        <v>10573.44</v>
      </c>
      <c r="BS5" s="29">
        <f t="shared" si="1"/>
        <v>0</v>
      </c>
      <c r="BT5" s="30">
        <f t="shared" si="1"/>
        <v>0</v>
      </c>
    </row>
    <row r="6" spans="1:72" s="37" customFormat="1" ht="12.75">
      <c r="A6" s="26" t="s">
        <v>169</v>
      </c>
      <c r="B6" s="31"/>
      <c r="C6" s="31"/>
      <c r="D6" s="32"/>
      <c r="E6" s="27">
        <f>H6+AC6+AT6</f>
        <v>67358.31</v>
      </c>
      <c r="F6" s="27" t="s">
        <v>1</v>
      </c>
      <c r="G6" s="27" t="s">
        <v>2</v>
      </c>
      <c r="H6" s="33">
        <f>SUMIF(I$12:AB$12,"总值",I6:AB6)</f>
        <v>61047.770000000004</v>
      </c>
      <c r="I6" s="27">
        <f t="shared" ref="I6:AB6" si="2">ROUND($A$3*I5/$B$3,2)</f>
        <v>5151.54</v>
      </c>
      <c r="J6" s="27">
        <f t="shared" si="2"/>
        <v>0</v>
      </c>
      <c r="K6" s="27">
        <f t="shared" si="2"/>
        <v>20138.88</v>
      </c>
      <c r="L6" s="27">
        <f t="shared" si="2"/>
        <v>0</v>
      </c>
      <c r="M6" s="27">
        <f t="shared" si="2"/>
        <v>28597.55</v>
      </c>
      <c r="N6" s="27">
        <f t="shared" si="2"/>
        <v>0</v>
      </c>
      <c r="O6" s="27">
        <f t="shared" si="2"/>
        <v>7159.8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6310.54</v>
      </c>
      <c r="AD6" s="27">
        <f t="shared" ref="AD6:AS6" si="3">ROUND($A$3*AD5/$B$3,2)</f>
        <v>1753.95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4556.59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67358.31</v>
      </c>
      <c r="AZ6" s="27" t="s">
        <v>3</v>
      </c>
      <c r="BA6" s="27">
        <f>ROUND($AY$6*BA5/$AZ$5,2)</f>
        <v>61047.77</v>
      </c>
      <c r="BB6" s="27">
        <f>ROUND($AY$6*BB5/$AZ$5,2)</f>
        <v>5151.54</v>
      </c>
      <c r="BC6" s="27">
        <f t="shared" ref="BC6:BH6" si="4">ROUND($AY$6*BC5/$AZ$5,2)</f>
        <v>20138.88</v>
      </c>
      <c r="BD6" s="27">
        <f t="shared" si="4"/>
        <v>28597.55</v>
      </c>
      <c r="BE6" s="27">
        <f t="shared" si="4"/>
        <v>7159.8</v>
      </c>
      <c r="BF6" s="27">
        <f t="shared" si="4"/>
        <v>0</v>
      </c>
      <c r="BG6" s="27">
        <f t="shared" si="4"/>
        <v>0</v>
      </c>
      <c r="BH6" s="27">
        <f t="shared" si="4"/>
        <v>0</v>
      </c>
      <c r="BI6" s="27">
        <f t="shared" ref="BI6:BT6" si="5">ROUND($AY$6*BI5/$AZ$5,2)</f>
        <v>0</v>
      </c>
      <c r="BJ6" s="27">
        <f t="shared" si="5"/>
        <v>0</v>
      </c>
      <c r="BK6" s="27">
        <f t="shared" si="5"/>
        <v>0</v>
      </c>
      <c r="BL6" s="27">
        <f t="shared" si="5"/>
        <v>6310.54</v>
      </c>
      <c r="BM6" s="27">
        <f t="shared" si="5"/>
        <v>1753.95</v>
      </c>
      <c r="BN6" s="27">
        <f t="shared" si="5"/>
        <v>0</v>
      </c>
      <c r="BO6" s="27">
        <f t="shared" si="5"/>
        <v>0</v>
      </c>
      <c r="BP6" s="27">
        <f t="shared" si="5"/>
        <v>0</v>
      </c>
      <c r="BQ6" s="27">
        <f t="shared" si="5"/>
        <v>0</v>
      </c>
      <c r="BR6" s="27">
        <f t="shared" si="5"/>
        <v>4556.59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2976</v>
      </c>
      <c r="J9" s="51"/>
      <c r="K9" s="3043" t="s">
        <v>2976</v>
      </c>
      <c r="L9" s="51"/>
      <c r="M9" s="3043" t="s">
        <v>2976</v>
      </c>
      <c r="N9" s="51"/>
      <c r="O9" s="59" t="s">
        <v>3507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922</v>
      </c>
      <c r="J10" s="51"/>
      <c r="K10" s="3045" t="s">
        <v>922</v>
      </c>
      <c r="L10" s="51"/>
      <c r="M10" s="3045" t="s">
        <v>922</v>
      </c>
      <c r="N10" s="51"/>
      <c r="O10" s="66" t="s">
        <v>3508</v>
      </c>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3506</v>
      </c>
      <c r="J11" s="71"/>
      <c r="K11" s="3044" t="s">
        <v>2981</v>
      </c>
      <c r="L11" s="71"/>
      <c r="M11" s="70" t="s">
        <v>2977</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独栋</v>
      </c>
      <c r="BC12" s="79" t="str">
        <f>K11</f>
        <v>多层</v>
      </c>
      <c r="BD12" s="79" t="str">
        <f>M11</f>
        <v>高层</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1678</v>
      </c>
      <c r="E13" s="27">
        <f t="shared" ref="E13:E20" si="6">IF($C$3="是",ROUND($A$3*G13/$B$3,2),ROUND($A$3*(G13-AT13)/$B$3,2))</f>
        <v>67358.31</v>
      </c>
      <c r="F13" s="81"/>
      <c r="G13" s="82">
        <f t="shared" ref="G13:G20" si="7">H13+AC13+AT13</f>
        <v>174300.5</v>
      </c>
      <c r="H13" s="33">
        <f t="shared" ref="H13:H20" si="8">SUMIF(I$12:AB$12,"总值",I13:AB13)</f>
        <v>141659.60999999999</v>
      </c>
      <c r="I13" s="3042">
        <f>'当期规划指标表 '!H12</f>
        <v>11954</v>
      </c>
      <c r="J13" s="3042"/>
      <c r="K13" s="3042">
        <f>'当期规划指标表 '!H16</f>
        <v>46731.7</v>
      </c>
      <c r="L13" s="3042"/>
      <c r="M13" s="3042">
        <f>'当期规划指标表 '!H18</f>
        <v>66359.8</v>
      </c>
      <c r="N13" s="83"/>
      <c r="O13" s="83">
        <f>'当期规划指标表 '!I45</f>
        <v>16614.109999999997</v>
      </c>
      <c r="P13" s="83"/>
      <c r="Q13" s="83"/>
      <c r="R13" s="83"/>
      <c r="S13" s="83"/>
      <c r="T13" s="83"/>
      <c r="U13" s="83"/>
      <c r="V13" s="83"/>
      <c r="W13" s="83"/>
      <c r="X13" s="83"/>
      <c r="Y13" s="83"/>
      <c r="Z13" s="83"/>
      <c r="AA13" s="83"/>
      <c r="AB13" s="83"/>
      <c r="AC13" s="27">
        <f t="shared" ref="AC13:AC20" si="9">SUMIF(AD$12:AS$12,"总值",AD13:AS13)</f>
        <v>14643.44</v>
      </c>
      <c r="AD13" s="3046">
        <f>'当期规划指标表 '!J39</f>
        <v>4070</v>
      </c>
      <c r="AE13" s="3046"/>
      <c r="AF13" s="3046"/>
      <c r="AG13" s="3046"/>
      <c r="AH13" s="3046"/>
      <c r="AI13" s="3046"/>
      <c r="AJ13" s="3046"/>
      <c r="AK13" s="3046"/>
      <c r="AL13" s="3046"/>
      <c r="AM13" s="3046"/>
      <c r="AN13" s="3046">
        <f>'当期规划指标表 '!I22</f>
        <v>10573.44</v>
      </c>
      <c r="AO13" s="3046"/>
      <c r="AP13" s="3046"/>
      <c r="AQ13" s="3046"/>
      <c r="AR13" s="3046"/>
      <c r="AS13" s="3046"/>
      <c r="AT13" s="3047">
        <f>'当期规划指标表 '!I44</f>
        <v>17997.45</v>
      </c>
      <c r="AU13" s="3048"/>
      <c r="AV13" s="17">
        <f t="shared" ref="AV13:AX20" si="10">A13</f>
        <v>0</v>
      </c>
      <c r="AW13" s="17">
        <f t="shared" si="10"/>
        <v>0</v>
      </c>
      <c r="AX13" s="17">
        <f t="shared" si="10"/>
        <v>0</v>
      </c>
      <c r="AY13" s="996">
        <f t="shared" ref="AY13:AY20" si="11">ROUND($AY$6*AZ13/$AZ$5,2)</f>
        <v>67358.31</v>
      </c>
      <c r="AZ13" s="27">
        <f t="shared" ref="AZ13:AZ20" si="12">BA13+BL13</f>
        <v>156303.04999999999</v>
      </c>
      <c r="BA13" s="27">
        <f t="shared" ref="BA13:BA20" si="13">SUM(BB13:BK13)</f>
        <v>141659.60999999999</v>
      </c>
      <c r="BB13" s="27">
        <f t="shared" ref="BB13:BB20" si="14">IF($D13="是",I13-J13,0)</f>
        <v>11954</v>
      </c>
      <c r="BC13" s="27">
        <f t="shared" ref="BC13:BC20" si="15">IF($D13="是",K13-L13,0)</f>
        <v>46731.7</v>
      </c>
      <c r="BD13" s="27">
        <f t="shared" ref="BD13:BD20" si="16">IF($D13="是",M13-N13,0)</f>
        <v>66359.8</v>
      </c>
      <c r="BE13" s="27">
        <f t="shared" ref="BE13:BE20" si="17">IF($D13="是",O13-P13,0)</f>
        <v>16614.109999999997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14643.44</v>
      </c>
      <c r="BM13" s="27">
        <f t="shared" ref="BM13:BM20" si="25">IF($D13="是",AD13-AE13,0)</f>
        <v>4070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10573.44</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411" t="s">
        <v>0</v>
      </c>
      <c r="B1" s="3411" t="s">
        <v>4</v>
      </c>
      <c r="C1" s="3411" t="s">
        <v>5</v>
      </c>
      <c r="D1" s="3412" t="s">
        <v>40</v>
      </c>
      <c r="E1" s="3412" t="s">
        <v>41</v>
      </c>
      <c r="F1" s="3412"/>
      <c r="G1" s="3412"/>
      <c r="H1" s="3412"/>
      <c r="I1" s="3412"/>
      <c r="J1" s="3412"/>
      <c r="K1" s="3412"/>
      <c r="L1" s="3412"/>
      <c r="M1" s="3412"/>
    </row>
    <row r="2" spans="1:13" ht="27" customHeight="1">
      <c r="A2" s="3411"/>
      <c r="B2" s="3411"/>
      <c r="C2" s="3411"/>
      <c r="D2" s="3412"/>
      <c r="E2" s="3412" t="s">
        <v>24</v>
      </c>
      <c r="F2" s="3412" t="s">
        <v>25</v>
      </c>
      <c r="G2" s="3412"/>
      <c r="H2" s="3412"/>
      <c r="I2" s="3412"/>
      <c r="J2" s="3412" t="s">
        <v>26</v>
      </c>
      <c r="K2" s="3412"/>
      <c r="L2" s="3412"/>
      <c r="M2" s="3412"/>
    </row>
    <row r="3" spans="1:13" ht="28.5">
      <c r="A3" s="3411"/>
      <c r="B3" s="3411"/>
      <c r="C3" s="3411"/>
      <c r="D3" s="3412"/>
      <c r="E3" s="34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2" t="s">
        <v>42</v>
      </c>
      <c r="B9" s="3412"/>
      <c r="C9" s="34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B2:WWA51"/>
  <sheetViews>
    <sheetView topLeftCell="A19" workbookViewId="0">
      <selection activeCell="I22" sqref="I22"/>
    </sheetView>
  </sheetViews>
  <sheetFormatPr defaultColWidth="9" defaultRowHeight="11.25"/>
  <cols>
    <col min="1" max="1" width="2.5" style="3219" customWidth="1"/>
    <col min="2" max="2" width="4" style="3219" customWidth="1"/>
    <col min="3" max="3" width="16.25" style="3219" customWidth="1"/>
    <col min="4" max="4" width="8.25" style="3219" customWidth="1"/>
    <col min="5" max="5" width="7.375" style="3219" customWidth="1"/>
    <col min="6" max="6" width="6.25" style="3219" customWidth="1"/>
    <col min="7" max="10" width="11.125" style="3219" customWidth="1"/>
    <col min="11" max="11" width="10.875" style="3219" customWidth="1"/>
    <col min="12" max="12" width="7.75" style="3219" customWidth="1"/>
    <col min="13" max="13" width="7.625" style="3219" customWidth="1"/>
    <col min="14" max="14" width="9.125" style="3219" customWidth="1"/>
    <col min="15" max="15" width="10.875" style="3219" customWidth="1"/>
    <col min="16" max="16" width="6.875" style="3219" customWidth="1"/>
    <col min="17" max="17" width="8" style="3219" customWidth="1"/>
    <col min="18" max="18" width="8.5" style="3219" customWidth="1"/>
    <col min="19" max="19" width="11.5" style="3219" customWidth="1"/>
    <col min="20" max="20" width="17.625" style="3219" customWidth="1"/>
    <col min="21" max="21" width="9.5" style="3219" customWidth="1"/>
    <col min="22" max="257" width="9" style="3219"/>
    <col min="258" max="258" width="2.5" style="3219" customWidth="1"/>
    <col min="259" max="259" width="4" style="3219" customWidth="1"/>
    <col min="260" max="260" width="16.25" style="3219" customWidth="1"/>
    <col min="261" max="261" width="8.25" style="3219" customWidth="1"/>
    <col min="262" max="262" width="6.375" style="3219" customWidth="1"/>
    <col min="263" max="263" width="5.75" style="3219" customWidth="1"/>
    <col min="264" max="264" width="8" style="3219" customWidth="1"/>
    <col min="265" max="265" width="11.125" style="3219" customWidth="1"/>
    <col min="266" max="266" width="10.875" style="3219" customWidth="1"/>
    <col min="267" max="267" width="7.75" style="3219" customWidth="1"/>
    <col min="268" max="268" width="5.625" style="3219" customWidth="1"/>
    <col min="269" max="269" width="7.5" style="3219" customWidth="1"/>
    <col min="270" max="270" width="10.875" style="3219" customWidth="1"/>
    <col min="271" max="271" width="6.375" style="3219" customWidth="1"/>
    <col min="272" max="272" width="8" style="3219" customWidth="1"/>
    <col min="273" max="273" width="8.25" style="3219" customWidth="1"/>
    <col min="274" max="274" width="7.5" style="3219" customWidth="1"/>
    <col min="275" max="275" width="9" style="3219" hidden="1" customWidth="1"/>
    <col min="276" max="276" width="20.25" style="3219" customWidth="1"/>
    <col min="277" max="277" width="9.375" style="3219" customWidth="1"/>
    <col min="278" max="513" width="9" style="3219"/>
    <col min="514" max="514" width="2.5" style="3219" customWidth="1"/>
    <col min="515" max="515" width="4" style="3219" customWidth="1"/>
    <col min="516" max="516" width="16.25" style="3219" customWidth="1"/>
    <col min="517" max="517" width="8.25" style="3219" customWidth="1"/>
    <col min="518" max="518" width="6.375" style="3219" customWidth="1"/>
    <col min="519" max="519" width="5.75" style="3219" customWidth="1"/>
    <col min="520" max="520" width="8" style="3219" customWidth="1"/>
    <col min="521" max="521" width="11.125" style="3219" customWidth="1"/>
    <col min="522" max="522" width="10.875" style="3219" customWidth="1"/>
    <col min="523" max="523" width="7.75" style="3219" customWidth="1"/>
    <col min="524" max="524" width="5.625" style="3219" customWidth="1"/>
    <col min="525" max="525" width="7.5" style="3219" customWidth="1"/>
    <col min="526" max="526" width="10.875" style="3219" customWidth="1"/>
    <col min="527" max="527" width="6.375" style="3219" customWidth="1"/>
    <col min="528" max="528" width="8" style="3219" customWidth="1"/>
    <col min="529" max="529" width="8.25" style="3219" customWidth="1"/>
    <col min="530" max="530" width="7.5" style="3219" customWidth="1"/>
    <col min="531" max="531" width="9" style="3219" hidden="1" customWidth="1"/>
    <col min="532" max="532" width="20.25" style="3219" customWidth="1"/>
    <col min="533" max="533" width="9.375" style="3219" customWidth="1"/>
    <col min="534" max="769" width="9" style="3219"/>
    <col min="770" max="770" width="2.5" style="3219" customWidth="1"/>
    <col min="771" max="771" width="4" style="3219" customWidth="1"/>
    <col min="772" max="772" width="16.25" style="3219" customWidth="1"/>
    <col min="773" max="773" width="8.25" style="3219" customWidth="1"/>
    <col min="774" max="774" width="6.375" style="3219" customWidth="1"/>
    <col min="775" max="775" width="5.75" style="3219" customWidth="1"/>
    <col min="776" max="776" width="8" style="3219" customWidth="1"/>
    <col min="777" max="777" width="11.125" style="3219" customWidth="1"/>
    <col min="778" max="778" width="10.875" style="3219" customWidth="1"/>
    <col min="779" max="779" width="7.75" style="3219" customWidth="1"/>
    <col min="780" max="780" width="5.625" style="3219" customWidth="1"/>
    <col min="781" max="781" width="7.5" style="3219" customWidth="1"/>
    <col min="782" max="782" width="10.875" style="3219" customWidth="1"/>
    <col min="783" max="783" width="6.375" style="3219" customWidth="1"/>
    <col min="784" max="784" width="8" style="3219" customWidth="1"/>
    <col min="785" max="785" width="8.25" style="3219" customWidth="1"/>
    <col min="786" max="786" width="7.5" style="3219" customWidth="1"/>
    <col min="787" max="787" width="9" style="3219" hidden="1" customWidth="1"/>
    <col min="788" max="788" width="20.25" style="3219" customWidth="1"/>
    <col min="789" max="789" width="9.375" style="3219" customWidth="1"/>
    <col min="790" max="1025" width="9" style="3219"/>
    <col min="1026" max="1026" width="2.5" style="3219" customWidth="1"/>
    <col min="1027" max="1027" width="4" style="3219" customWidth="1"/>
    <col min="1028" max="1028" width="16.25" style="3219" customWidth="1"/>
    <col min="1029" max="1029" width="8.25" style="3219" customWidth="1"/>
    <col min="1030" max="1030" width="6.375" style="3219" customWidth="1"/>
    <col min="1031" max="1031" width="5.75" style="3219" customWidth="1"/>
    <col min="1032" max="1032" width="8" style="3219" customWidth="1"/>
    <col min="1033" max="1033" width="11.125" style="3219" customWidth="1"/>
    <col min="1034" max="1034" width="10.875" style="3219" customWidth="1"/>
    <col min="1035" max="1035" width="7.75" style="3219" customWidth="1"/>
    <col min="1036" max="1036" width="5.625" style="3219" customWidth="1"/>
    <col min="1037" max="1037" width="7.5" style="3219" customWidth="1"/>
    <col min="1038" max="1038" width="10.875" style="3219" customWidth="1"/>
    <col min="1039" max="1039" width="6.375" style="3219" customWidth="1"/>
    <col min="1040" max="1040" width="8" style="3219" customWidth="1"/>
    <col min="1041" max="1041" width="8.25" style="3219" customWidth="1"/>
    <col min="1042" max="1042" width="7.5" style="3219" customWidth="1"/>
    <col min="1043" max="1043" width="9" style="3219" hidden="1" customWidth="1"/>
    <col min="1044" max="1044" width="20.25" style="3219" customWidth="1"/>
    <col min="1045" max="1045" width="9.375" style="3219" customWidth="1"/>
    <col min="1046" max="1281" width="9" style="3219"/>
    <col min="1282" max="1282" width="2.5" style="3219" customWidth="1"/>
    <col min="1283" max="1283" width="4" style="3219" customWidth="1"/>
    <col min="1284" max="1284" width="16.25" style="3219" customWidth="1"/>
    <col min="1285" max="1285" width="8.25" style="3219" customWidth="1"/>
    <col min="1286" max="1286" width="6.375" style="3219" customWidth="1"/>
    <col min="1287" max="1287" width="5.75" style="3219" customWidth="1"/>
    <col min="1288" max="1288" width="8" style="3219" customWidth="1"/>
    <col min="1289" max="1289" width="11.125" style="3219" customWidth="1"/>
    <col min="1290" max="1290" width="10.875" style="3219" customWidth="1"/>
    <col min="1291" max="1291" width="7.75" style="3219" customWidth="1"/>
    <col min="1292" max="1292" width="5.625" style="3219" customWidth="1"/>
    <col min="1293" max="1293" width="7.5" style="3219" customWidth="1"/>
    <col min="1294" max="1294" width="10.875" style="3219" customWidth="1"/>
    <col min="1295" max="1295" width="6.375" style="3219" customWidth="1"/>
    <col min="1296" max="1296" width="8" style="3219" customWidth="1"/>
    <col min="1297" max="1297" width="8.25" style="3219" customWidth="1"/>
    <col min="1298" max="1298" width="7.5" style="3219" customWidth="1"/>
    <col min="1299" max="1299" width="9" style="3219" hidden="1" customWidth="1"/>
    <col min="1300" max="1300" width="20.25" style="3219" customWidth="1"/>
    <col min="1301" max="1301" width="9.375" style="3219" customWidth="1"/>
    <col min="1302" max="1537" width="9" style="3219"/>
    <col min="1538" max="1538" width="2.5" style="3219" customWidth="1"/>
    <col min="1539" max="1539" width="4" style="3219" customWidth="1"/>
    <col min="1540" max="1540" width="16.25" style="3219" customWidth="1"/>
    <col min="1541" max="1541" width="8.25" style="3219" customWidth="1"/>
    <col min="1542" max="1542" width="6.375" style="3219" customWidth="1"/>
    <col min="1543" max="1543" width="5.75" style="3219" customWidth="1"/>
    <col min="1544" max="1544" width="8" style="3219" customWidth="1"/>
    <col min="1545" max="1545" width="11.125" style="3219" customWidth="1"/>
    <col min="1546" max="1546" width="10.875" style="3219" customWidth="1"/>
    <col min="1547" max="1547" width="7.75" style="3219" customWidth="1"/>
    <col min="1548" max="1548" width="5.625" style="3219" customWidth="1"/>
    <col min="1549" max="1549" width="7.5" style="3219" customWidth="1"/>
    <col min="1550" max="1550" width="10.875" style="3219" customWidth="1"/>
    <col min="1551" max="1551" width="6.375" style="3219" customWidth="1"/>
    <col min="1552" max="1552" width="8" style="3219" customWidth="1"/>
    <col min="1553" max="1553" width="8.25" style="3219" customWidth="1"/>
    <col min="1554" max="1554" width="7.5" style="3219" customWidth="1"/>
    <col min="1555" max="1555" width="9" style="3219" hidden="1" customWidth="1"/>
    <col min="1556" max="1556" width="20.25" style="3219" customWidth="1"/>
    <col min="1557" max="1557" width="9.375" style="3219" customWidth="1"/>
    <col min="1558" max="1793" width="9" style="3219"/>
    <col min="1794" max="1794" width="2.5" style="3219" customWidth="1"/>
    <col min="1795" max="1795" width="4" style="3219" customWidth="1"/>
    <col min="1796" max="1796" width="16.25" style="3219" customWidth="1"/>
    <col min="1797" max="1797" width="8.25" style="3219" customWidth="1"/>
    <col min="1798" max="1798" width="6.375" style="3219" customWidth="1"/>
    <col min="1799" max="1799" width="5.75" style="3219" customWidth="1"/>
    <col min="1800" max="1800" width="8" style="3219" customWidth="1"/>
    <col min="1801" max="1801" width="11.125" style="3219" customWidth="1"/>
    <col min="1802" max="1802" width="10.875" style="3219" customWidth="1"/>
    <col min="1803" max="1803" width="7.75" style="3219" customWidth="1"/>
    <col min="1804" max="1804" width="5.625" style="3219" customWidth="1"/>
    <col min="1805" max="1805" width="7.5" style="3219" customWidth="1"/>
    <col min="1806" max="1806" width="10.875" style="3219" customWidth="1"/>
    <col min="1807" max="1807" width="6.375" style="3219" customWidth="1"/>
    <col min="1808" max="1808" width="8" style="3219" customWidth="1"/>
    <col min="1809" max="1809" width="8.25" style="3219" customWidth="1"/>
    <col min="1810" max="1810" width="7.5" style="3219" customWidth="1"/>
    <col min="1811" max="1811" width="9" style="3219" hidden="1" customWidth="1"/>
    <col min="1812" max="1812" width="20.25" style="3219" customWidth="1"/>
    <col min="1813" max="1813" width="9.375" style="3219" customWidth="1"/>
    <col min="1814" max="2049" width="9" style="3219"/>
    <col min="2050" max="2050" width="2.5" style="3219" customWidth="1"/>
    <col min="2051" max="2051" width="4" style="3219" customWidth="1"/>
    <col min="2052" max="2052" width="16.25" style="3219" customWidth="1"/>
    <col min="2053" max="2053" width="8.25" style="3219" customWidth="1"/>
    <col min="2054" max="2054" width="6.375" style="3219" customWidth="1"/>
    <col min="2055" max="2055" width="5.75" style="3219" customWidth="1"/>
    <col min="2056" max="2056" width="8" style="3219" customWidth="1"/>
    <col min="2057" max="2057" width="11.125" style="3219" customWidth="1"/>
    <col min="2058" max="2058" width="10.875" style="3219" customWidth="1"/>
    <col min="2059" max="2059" width="7.75" style="3219" customWidth="1"/>
    <col min="2060" max="2060" width="5.625" style="3219" customWidth="1"/>
    <col min="2061" max="2061" width="7.5" style="3219" customWidth="1"/>
    <col min="2062" max="2062" width="10.875" style="3219" customWidth="1"/>
    <col min="2063" max="2063" width="6.375" style="3219" customWidth="1"/>
    <col min="2064" max="2064" width="8" style="3219" customWidth="1"/>
    <col min="2065" max="2065" width="8.25" style="3219" customWidth="1"/>
    <col min="2066" max="2066" width="7.5" style="3219" customWidth="1"/>
    <col min="2067" max="2067" width="9" style="3219" hidden="1" customWidth="1"/>
    <col min="2068" max="2068" width="20.25" style="3219" customWidth="1"/>
    <col min="2069" max="2069" width="9.375" style="3219" customWidth="1"/>
    <col min="2070" max="2305" width="9" style="3219"/>
    <col min="2306" max="2306" width="2.5" style="3219" customWidth="1"/>
    <col min="2307" max="2307" width="4" style="3219" customWidth="1"/>
    <col min="2308" max="2308" width="16.25" style="3219" customWidth="1"/>
    <col min="2309" max="2309" width="8.25" style="3219" customWidth="1"/>
    <col min="2310" max="2310" width="6.375" style="3219" customWidth="1"/>
    <col min="2311" max="2311" width="5.75" style="3219" customWidth="1"/>
    <col min="2312" max="2312" width="8" style="3219" customWidth="1"/>
    <col min="2313" max="2313" width="11.125" style="3219" customWidth="1"/>
    <col min="2314" max="2314" width="10.875" style="3219" customWidth="1"/>
    <col min="2315" max="2315" width="7.75" style="3219" customWidth="1"/>
    <col min="2316" max="2316" width="5.625" style="3219" customWidth="1"/>
    <col min="2317" max="2317" width="7.5" style="3219" customWidth="1"/>
    <col min="2318" max="2318" width="10.875" style="3219" customWidth="1"/>
    <col min="2319" max="2319" width="6.375" style="3219" customWidth="1"/>
    <col min="2320" max="2320" width="8" style="3219" customWidth="1"/>
    <col min="2321" max="2321" width="8.25" style="3219" customWidth="1"/>
    <col min="2322" max="2322" width="7.5" style="3219" customWidth="1"/>
    <col min="2323" max="2323" width="9" style="3219" hidden="1" customWidth="1"/>
    <col min="2324" max="2324" width="20.25" style="3219" customWidth="1"/>
    <col min="2325" max="2325" width="9.375" style="3219" customWidth="1"/>
    <col min="2326" max="2561" width="9" style="3219"/>
    <col min="2562" max="2562" width="2.5" style="3219" customWidth="1"/>
    <col min="2563" max="2563" width="4" style="3219" customWidth="1"/>
    <col min="2564" max="2564" width="16.25" style="3219" customWidth="1"/>
    <col min="2565" max="2565" width="8.25" style="3219" customWidth="1"/>
    <col min="2566" max="2566" width="6.375" style="3219" customWidth="1"/>
    <col min="2567" max="2567" width="5.75" style="3219" customWidth="1"/>
    <col min="2568" max="2568" width="8" style="3219" customWidth="1"/>
    <col min="2569" max="2569" width="11.125" style="3219" customWidth="1"/>
    <col min="2570" max="2570" width="10.875" style="3219" customWidth="1"/>
    <col min="2571" max="2571" width="7.75" style="3219" customWidth="1"/>
    <col min="2572" max="2572" width="5.625" style="3219" customWidth="1"/>
    <col min="2573" max="2573" width="7.5" style="3219" customWidth="1"/>
    <col min="2574" max="2574" width="10.875" style="3219" customWidth="1"/>
    <col min="2575" max="2575" width="6.375" style="3219" customWidth="1"/>
    <col min="2576" max="2576" width="8" style="3219" customWidth="1"/>
    <col min="2577" max="2577" width="8.25" style="3219" customWidth="1"/>
    <col min="2578" max="2578" width="7.5" style="3219" customWidth="1"/>
    <col min="2579" max="2579" width="9" style="3219" hidden="1" customWidth="1"/>
    <col min="2580" max="2580" width="20.25" style="3219" customWidth="1"/>
    <col min="2581" max="2581" width="9.375" style="3219" customWidth="1"/>
    <col min="2582" max="2817" width="9" style="3219"/>
    <col min="2818" max="2818" width="2.5" style="3219" customWidth="1"/>
    <col min="2819" max="2819" width="4" style="3219" customWidth="1"/>
    <col min="2820" max="2820" width="16.25" style="3219" customWidth="1"/>
    <col min="2821" max="2821" width="8.25" style="3219" customWidth="1"/>
    <col min="2822" max="2822" width="6.375" style="3219" customWidth="1"/>
    <col min="2823" max="2823" width="5.75" style="3219" customWidth="1"/>
    <col min="2824" max="2824" width="8" style="3219" customWidth="1"/>
    <col min="2825" max="2825" width="11.125" style="3219" customWidth="1"/>
    <col min="2826" max="2826" width="10.875" style="3219" customWidth="1"/>
    <col min="2827" max="2827" width="7.75" style="3219" customWidth="1"/>
    <col min="2828" max="2828" width="5.625" style="3219" customWidth="1"/>
    <col min="2829" max="2829" width="7.5" style="3219" customWidth="1"/>
    <col min="2830" max="2830" width="10.875" style="3219" customWidth="1"/>
    <col min="2831" max="2831" width="6.375" style="3219" customWidth="1"/>
    <col min="2832" max="2832" width="8" style="3219" customWidth="1"/>
    <col min="2833" max="2833" width="8.25" style="3219" customWidth="1"/>
    <col min="2834" max="2834" width="7.5" style="3219" customWidth="1"/>
    <col min="2835" max="2835" width="9" style="3219" hidden="1" customWidth="1"/>
    <col min="2836" max="2836" width="20.25" style="3219" customWidth="1"/>
    <col min="2837" max="2837" width="9.375" style="3219" customWidth="1"/>
    <col min="2838" max="3073" width="9" style="3219"/>
    <col min="3074" max="3074" width="2.5" style="3219" customWidth="1"/>
    <col min="3075" max="3075" width="4" style="3219" customWidth="1"/>
    <col min="3076" max="3076" width="16.25" style="3219" customWidth="1"/>
    <col min="3077" max="3077" width="8.25" style="3219" customWidth="1"/>
    <col min="3078" max="3078" width="6.375" style="3219" customWidth="1"/>
    <col min="3079" max="3079" width="5.75" style="3219" customWidth="1"/>
    <col min="3080" max="3080" width="8" style="3219" customWidth="1"/>
    <col min="3081" max="3081" width="11.125" style="3219" customWidth="1"/>
    <col min="3082" max="3082" width="10.875" style="3219" customWidth="1"/>
    <col min="3083" max="3083" width="7.75" style="3219" customWidth="1"/>
    <col min="3084" max="3084" width="5.625" style="3219" customWidth="1"/>
    <col min="3085" max="3085" width="7.5" style="3219" customWidth="1"/>
    <col min="3086" max="3086" width="10.875" style="3219" customWidth="1"/>
    <col min="3087" max="3087" width="6.375" style="3219" customWidth="1"/>
    <col min="3088" max="3088" width="8" style="3219" customWidth="1"/>
    <col min="3089" max="3089" width="8.25" style="3219" customWidth="1"/>
    <col min="3090" max="3090" width="7.5" style="3219" customWidth="1"/>
    <col min="3091" max="3091" width="9" style="3219" hidden="1" customWidth="1"/>
    <col min="3092" max="3092" width="20.25" style="3219" customWidth="1"/>
    <col min="3093" max="3093" width="9.375" style="3219" customWidth="1"/>
    <col min="3094" max="3329" width="9" style="3219"/>
    <col min="3330" max="3330" width="2.5" style="3219" customWidth="1"/>
    <col min="3331" max="3331" width="4" style="3219" customWidth="1"/>
    <col min="3332" max="3332" width="16.25" style="3219" customWidth="1"/>
    <col min="3333" max="3333" width="8.25" style="3219" customWidth="1"/>
    <col min="3334" max="3334" width="6.375" style="3219" customWidth="1"/>
    <col min="3335" max="3335" width="5.75" style="3219" customWidth="1"/>
    <col min="3336" max="3336" width="8" style="3219" customWidth="1"/>
    <col min="3337" max="3337" width="11.125" style="3219" customWidth="1"/>
    <col min="3338" max="3338" width="10.875" style="3219" customWidth="1"/>
    <col min="3339" max="3339" width="7.75" style="3219" customWidth="1"/>
    <col min="3340" max="3340" width="5.625" style="3219" customWidth="1"/>
    <col min="3341" max="3341" width="7.5" style="3219" customWidth="1"/>
    <col min="3342" max="3342" width="10.875" style="3219" customWidth="1"/>
    <col min="3343" max="3343" width="6.375" style="3219" customWidth="1"/>
    <col min="3344" max="3344" width="8" style="3219" customWidth="1"/>
    <col min="3345" max="3345" width="8.25" style="3219" customWidth="1"/>
    <col min="3346" max="3346" width="7.5" style="3219" customWidth="1"/>
    <col min="3347" max="3347" width="9" style="3219" hidden="1" customWidth="1"/>
    <col min="3348" max="3348" width="20.25" style="3219" customWidth="1"/>
    <col min="3349" max="3349" width="9.375" style="3219" customWidth="1"/>
    <col min="3350" max="3585" width="9" style="3219"/>
    <col min="3586" max="3586" width="2.5" style="3219" customWidth="1"/>
    <col min="3587" max="3587" width="4" style="3219" customWidth="1"/>
    <col min="3588" max="3588" width="16.25" style="3219" customWidth="1"/>
    <col min="3589" max="3589" width="8.25" style="3219" customWidth="1"/>
    <col min="3590" max="3590" width="6.375" style="3219" customWidth="1"/>
    <col min="3591" max="3591" width="5.75" style="3219" customWidth="1"/>
    <col min="3592" max="3592" width="8" style="3219" customWidth="1"/>
    <col min="3593" max="3593" width="11.125" style="3219" customWidth="1"/>
    <col min="3594" max="3594" width="10.875" style="3219" customWidth="1"/>
    <col min="3595" max="3595" width="7.75" style="3219" customWidth="1"/>
    <col min="3596" max="3596" width="5.625" style="3219" customWidth="1"/>
    <col min="3597" max="3597" width="7.5" style="3219" customWidth="1"/>
    <col min="3598" max="3598" width="10.875" style="3219" customWidth="1"/>
    <col min="3599" max="3599" width="6.375" style="3219" customWidth="1"/>
    <col min="3600" max="3600" width="8" style="3219" customWidth="1"/>
    <col min="3601" max="3601" width="8.25" style="3219" customWidth="1"/>
    <col min="3602" max="3602" width="7.5" style="3219" customWidth="1"/>
    <col min="3603" max="3603" width="9" style="3219" hidden="1" customWidth="1"/>
    <col min="3604" max="3604" width="20.25" style="3219" customWidth="1"/>
    <col min="3605" max="3605" width="9.375" style="3219" customWidth="1"/>
    <col min="3606" max="3841" width="9" style="3219"/>
    <col min="3842" max="3842" width="2.5" style="3219" customWidth="1"/>
    <col min="3843" max="3843" width="4" style="3219" customWidth="1"/>
    <col min="3844" max="3844" width="16.25" style="3219" customWidth="1"/>
    <col min="3845" max="3845" width="8.25" style="3219" customWidth="1"/>
    <col min="3846" max="3846" width="6.375" style="3219" customWidth="1"/>
    <col min="3847" max="3847" width="5.75" style="3219" customWidth="1"/>
    <col min="3848" max="3848" width="8" style="3219" customWidth="1"/>
    <col min="3849" max="3849" width="11.125" style="3219" customWidth="1"/>
    <col min="3850" max="3850" width="10.875" style="3219" customWidth="1"/>
    <col min="3851" max="3851" width="7.75" style="3219" customWidth="1"/>
    <col min="3852" max="3852" width="5.625" style="3219" customWidth="1"/>
    <col min="3853" max="3853" width="7.5" style="3219" customWidth="1"/>
    <col min="3854" max="3854" width="10.875" style="3219" customWidth="1"/>
    <col min="3855" max="3855" width="6.375" style="3219" customWidth="1"/>
    <col min="3856" max="3856" width="8" style="3219" customWidth="1"/>
    <col min="3857" max="3857" width="8.25" style="3219" customWidth="1"/>
    <col min="3858" max="3858" width="7.5" style="3219" customWidth="1"/>
    <col min="3859" max="3859" width="9" style="3219" hidden="1" customWidth="1"/>
    <col min="3860" max="3860" width="20.25" style="3219" customWidth="1"/>
    <col min="3861" max="3861" width="9.375" style="3219" customWidth="1"/>
    <col min="3862" max="4097" width="9" style="3219"/>
    <col min="4098" max="4098" width="2.5" style="3219" customWidth="1"/>
    <col min="4099" max="4099" width="4" style="3219" customWidth="1"/>
    <col min="4100" max="4100" width="16.25" style="3219" customWidth="1"/>
    <col min="4101" max="4101" width="8.25" style="3219" customWidth="1"/>
    <col min="4102" max="4102" width="6.375" style="3219" customWidth="1"/>
    <col min="4103" max="4103" width="5.75" style="3219" customWidth="1"/>
    <col min="4104" max="4104" width="8" style="3219" customWidth="1"/>
    <col min="4105" max="4105" width="11.125" style="3219" customWidth="1"/>
    <col min="4106" max="4106" width="10.875" style="3219" customWidth="1"/>
    <col min="4107" max="4107" width="7.75" style="3219" customWidth="1"/>
    <col min="4108" max="4108" width="5.625" style="3219" customWidth="1"/>
    <col min="4109" max="4109" width="7.5" style="3219" customWidth="1"/>
    <col min="4110" max="4110" width="10.875" style="3219" customWidth="1"/>
    <col min="4111" max="4111" width="6.375" style="3219" customWidth="1"/>
    <col min="4112" max="4112" width="8" style="3219" customWidth="1"/>
    <col min="4113" max="4113" width="8.25" style="3219" customWidth="1"/>
    <col min="4114" max="4114" width="7.5" style="3219" customWidth="1"/>
    <col min="4115" max="4115" width="9" style="3219" hidden="1" customWidth="1"/>
    <col min="4116" max="4116" width="20.25" style="3219" customWidth="1"/>
    <col min="4117" max="4117" width="9.375" style="3219" customWidth="1"/>
    <col min="4118" max="4353" width="9" style="3219"/>
    <col min="4354" max="4354" width="2.5" style="3219" customWidth="1"/>
    <col min="4355" max="4355" width="4" style="3219" customWidth="1"/>
    <col min="4356" max="4356" width="16.25" style="3219" customWidth="1"/>
    <col min="4357" max="4357" width="8.25" style="3219" customWidth="1"/>
    <col min="4358" max="4358" width="6.375" style="3219" customWidth="1"/>
    <col min="4359" max="4359" width="5.75" style="3219" customWidth="1"/>
    <col min="4360" max="4360" width="8" style="3219" customWidth="1"/>
    <col min="4361" max="4361" width="11.125" style="3219" customWidth="1"/>
    <col min="4362" max="4362" width="10.875" style="3219" customWidth="1"/>
    <col min="4363" max="4363" width="7.75" style="3219" customWidth="1"/>
    <col min="4364" max="4364" width="5.625" style="3219" customWidth="1"/>
    <col min="4365" max="4365" width="7.5" style="3219" customWidth="1"/>
    <col min="4366" max="4366" width="10.875" style="3219" customWidth="1"/>
    <col min="4367" max="4367" width="6.375" style="3219" customWidth="1"/>
    <col min="4368" max="4368" width="8" style="3219" customWidth="1"/>
    <col min="4369" max="4369" width="8.25" style="3219" customWidth="1"/>
    <col min="4370" max="4370" width="7.5" style="3219" customWidth="1"/>
    <col min="4371" max="4371" width="9" style="3219" hidden="1" customWidth="1"/>
    <col min="4372" max="4372" width="20.25" style="3219" customWidth="1"/>
    <col min="4373" max="4373" width="9.375" style="3219" customWidth="1"/>
    <col min="4374" max="4609" width="9" style="3219"/>
    <col min="4610" max="4610" width="2.5" style="3219" customWidth="1"/>
    <col min="4611" max="4611" width="4" style="3219" customWidth="1"/>
    <col min="4612" max="4612" width="16.25" style="3219" customWidth="1"/>
    <col min="4613" max="4613" width="8.25" style="3219" customWidth="1"/>
    <col min="4614" max="4614" width="6.375" style="3219" customWidth="1"/>
    <col min="4615" max="4615" width="5.75" style="3219" customWidth="1"/>
    <col min="4616" max="4616" width="8" style="3219" customWidth="1"/>
    <col min="4617" max="4617" width="11.125" style="3219" customWidth="1"/>
    <col min="4618" max="4618" width="10.875" style="3219" customWidth="1"/>
    <col min="4619" max="4619" width="7.75" style="3219" customWidth="1"/>
    <col min="4620" max="4620" width="5.625" style="3219" customWidth="1"/>
    <col min="4621" max="4621" width="7.5" style="3219" customWidth="1"/>
    <col min="4622" max="4622" width="10.875" style="3219" customWidth="1"/>
    <col min="4623" max="4623" width="6.375" style="3219" customWidth="1"/>
    <col min="4624" max="4624" width="8" style="3219" customWidth="1"/>
    <col min="4625" max="4625" width="8.25" style="3219" customWidth="1"/>
    <col min="4626" max="4626" width="7.5" style="3219" customWidth="1"/>
    <col min="4627" max="4627" width="9" style="3219" hidden="1" customWidth="1"/>
    <col min="4628" max="4628" width="20.25" style="3219" customWidth="1"/>
    <col min="4629" max="4629" width="9.375" style="3219" customWidth="1"/>
    <col min="4630" max="4865" width="9" style="3219"/>
    <col min="4866" max="4866" width="2.5" style="3219" customWidth="1"/>
    <col min="4867" max="4867" width="4" style="3219" customWidth="1"/>
    <col min="4868" max="4868" width="16.25" style="3219" customWidth="1"/>
    <col min="4869" max="4869" width="8.25" style="3219" customWidth="1"/>
    <col min="4870" max="4870" width="6.375" style="3219" customWidth="1"/>
    <col min="4871" max="4871" width="5.75" style="3219" customWidth="1"/>
    <col min="4872" max="4872" width="8" style="3219" customWidth="1"/>
    <col min="4873" max="4873" width="11.125" style="3219" customWidth="1"/>
    <col min="4874" max="4874" width="10.875" style="3219" customWidth="1"/>
    <col min="4875" max="4875" width="7.75" style="3219" customWidth="1"/>
    <col min="4876" max="4876" width="5.625" style="3219" customWidth="1"/>
    <col min="4877" max="4877" width="7.5" style="3219" customWidth="1"/>
    <col min="4878" max="4878" width="10.875" style="3219" customWidth="1"/>
    <col min="4879" max="4879" width="6.375" style="3219" customWidth="1"/>
    <col min="4880" max="4880" width="8" style="3219" customWidth="1"/>
    <col min="4881" max="4881" width="8.25" style="3219" customWidth="1"/>
    <col min="4882" max="4882" width="7.5" style="3219" customWidth="1"/>
    <col min="4883" max="4883" width="9" style="3219" hidden="1" customWidth="1"/>
    <col min="4884" max="4884" width="20.25" style="3219" customWidth="1"/>
    <col min="4885" max="4885" width="9.375" style="3219" customWidth="1"/>
    <col min="4886" max="5121" width="9" style="3219"/>
    <col min="5122" max="5122" width="2.5" style="3219" customWidth="1"/>
    <col min="5123" max="5123" width="4" style="3219" customWidth="1"/>
    <col min="5124" max="5124" width="16.25" style="3219" customWidth="1"/>
    <col min="5125" max="5125" width="8.25" style="3219" customWidth="1"/>
    <col min="5126" max="5126" width="6.375" style="3219" customWidth="1"/>
    <col min="5127" max="5127" width="5.75" style="3219" customWidth="1"/>
    <col min="5128" max="5128" width="8" style="3219" customWidth="1"/>
    <col min="5129" max="5129" width="11.125" style="3219" customWidth="1"/>
    <col min="5130" max="5130" width="10.875" style="3219" customWidth="1"/>
    <col min="5131" max="5131" width="7.75" style="3219" customWidth="1"/>
    <col min="5132" max="5132" width="5.625" style="3219" customWidth="1"/>
    <col min="5133" max="5133" width="7.5" style="3219" customWidth="1"/>
    <col min="5134" max="5134" width="10.875" style="3219" customWidth="1"/>
    <col min="5135" max="5135" width="6.375" style="3219" customWidth="1"/>
    <col min="5136" max="5136" width="8" style="3219" customWidth="1"/>
    <col min="5137" max="5137" width="8.25" style="3219" customWidth="1"/>
    <col min="5138" max="5138" width="7.5" style="3219" customWidth="1"/>
    <col min="5139" max="5139" width="9" style="3219" hidden="1" customWidth="1"/>
    <col min="5140" max="5140" width="20.25" style="3219" customWidth="1"/>
    <col min="5141" max="5141" width="9.375" style="3219" customWidth="1"/>
    <col min="5142" max="5377" width="9" style="3219"/>
    <col min="5378" max="5378" width="2.5" style="3219" customWidth="1"/>
    <col min="5379" max="5379" width="4" style="3219" customWidth="1"/>
    <col min="5380" max="5380" width="16.25" style="3219" customWidth="1"/>
    <col min="5381" max="5381" width="8.25" style="3219" customWidth="1"/>
    <col min="5382" max="5382" width="6.375" style="3219" customWidth="1"/>
    <col min="5383" max="5383" width="5.75" style="3219" customWidth="1"/>
    <col min="5384" max="5384" width="8" style="3219" customWidth="1"/>
    <col min="5385" max="5385" width="11.125" style="3219" customWidth="1"/>
    <col min="5386" max="5386" width="10.875" style="3219" customWidth="1"/>
    <col min="5387" max="5387" width="7.75" style="3219" customWidth="1"/>
    <col min="5388" max="5388" width="5.625" style="3219" customWidth="1"/>
    <col min="5389" max="5389" width="7.5" style="3219" customWidth="1"/>
    <col min="5390" max="5390" width="10.875" style="3219" customWidth="1"/>
    <col min="5391" max="5391" width="6.375" style="3219" customWidth="1"/>
    <col min="5392" max="5392" width="8" style="3219" customWidth="1"/>
    <col min="5393" max="5393" width="8.25" style="3219" customWidth="1"/>
    <col min="5394" max="5394" width="7.5" style="3219" customWidth="1"/>
    <col min="5395" max="5395" width="9" style="3219" hidden="1" customWidth="1"/>
    <col min="5396" max="5396" width="20.25" style="3219" customWidth="1"/>
    <col min="5397" max="5397" width="9.375" style="3219" customWidth="1"/>
    <col min="5398" max="5633" width="9" style="3219"/>
    <col min="5634" max="5634" width="2.5" style="3219" customWidth="1"/>
    <col min="5635" max="5635" width="4" style="3219" customWidth="1"/>
    <col min="5636" max="5636" width="16.25" style="3219" customWidth="1"/>
    <col min="5637" max="5637" width="8.25" style="3219" customWidth="1"/>
    <col min="5638" max="5638" width="6.375" style="3219" customWidth="1"/>
    <col min="5639" max="5639" width="5.75" style="3219" customWidth="1"/>
    <col min="5640" max="5640" width="8" style="3219" customWidth="1"/>
    <col min="5641" max="5641" width="11.125" style="3219" customWidth="1"/>
    <col min="5642" max="5642" width="10.875" style="3219" customWidth="1"/>
    <col min="5643" max="5643" width="7.75" style="3219" customWidth="1"/>
    <col min="5644" max="5644" width="5.625" style="3219" customWidth="1"/>
    <col min="5645" max="5645" width="7.5" style="3219" customWidth="1"/>
    <col min="5646" max="5646" width="10.875" style="3219" customWidth="1"/>
    <col min="5647" max="5647" width="6.375" style="3219" customWidth="1"/>
    <col min="5648" max="5648" width="8" style="3219" customWidth="1"/>
    <col min="5649" max="5649" width="8.25" style="3219" customWidth="1"/>
    <col min="5650" max="5650" width="7.5" style="3219" customWidth="1"/>
    <col min="5651" max="5651" width="9" style="3219" hidden="1" customWidth="1"/>
    <col min="5652" max="5652" width="20.25" style="3219" customWidth="1"/>
    <col min="5653" max="5653" width="9.375" style="3219" customWidth="1"/>
    <col min="5654" max="5889" width="9" style="3219"/>
    <col min="5890" max="5890" width="2.5" style="3219" customWidth="1"/>
    <col min="5891" max="5891" width="4" style="3219" customWidth="1"/>
    <col min="5892" max="5892" width="16.25" style="3219" customWidth="1"/>
    <col min="5893" max="5893" width="8.25" style="3219" customWidth="1"/>
    <col min="5894" max="5894" width="6.375" style="3219" customWidth="1"/>
    <col min="5895" max="5895" width="5.75" style="3219" customWidth="1"/>
    <col min="5896" max="5896" width="8" style="3219" customWidth="1"/>
    <col min="5897" max="5897" width="11.125" style="3219" customWidth="1"/>
    <col min="5898" max="5898" width="10.875" style="3219" customWidth="1"/>
    <col min="5899" max="5899" width="7.75" style="3219" customWidth="1"/>
    <col min="5900" max="5900" width="5.625" style="3219" customWidth="1"/>
    <col min="5901" max="5901" width="7.5" style="3219" customWidth="1"/>
    <col min="5902" max="5902" width="10.875" style="3219" customWidth="1"/>
    <col min="5903" max="5903" width="6.375" style="3219" customWidth="1"/>
    <col min="5904" max="5904" width="8" style="3219" customWidth="1"/>
    <col min="5905" max="5905" width="8.25" style="3219" customWidth="1"/>
    <col min="5906" max="5906" width="7.5" style="3219" customWidth="1"/>
    <col min="5907" max="5907" width="9" style="3219" hidden="1" customWidth="1"/>
    <col min="5908" max="5908" width="20.25" style="3219" customWidth="1"/>
    <col min="5909" max="5909" width="9.375" style="3219" customWidth="1"/>
    <col min="5910" max="6145" width="9" style="3219"/>
    <col min="6146" max="6146" width="2.5" style="3219" customWidth="1"/>
    <col min="6147" max="6147" width="4" style="3219" customWidth="1"/>
    <col min="6148" max="6148" width="16.25" style="3219" customWidth="1"/>
    <col min="6149" max="6149" width="8.25" style="3219" customWidth="1"/>
    <col min="6150" max="6150" width="6.375" style="3219" customWidth="1"/>
    <col min="6151" max="6151" width="5.75" style="3219" customWidth="1"/>
    <col min="6152" max="6152" width="8" style="3219" customWidth="1"/>
    <col min="6153" max="6153" width="11.125" style="3219" customWidth="1"/>
    <col min="6154" max="6154" width="10.875" style="3219" customWidth="1"/>
    <col min="6155" max="6155" width="7.75" style="3219" customWidth="1"/>
    <col min="6156" max="6156" width="5.625" style="3219" customWidth="1"/>
    <col min="6157" max="6157" width="7.5" style="3219" customWidth="1"/>
    <col min="6158" max="6158" width="10.875" style="3219" customWidth="1"/>
    <col min="6159" max="6159" width="6.375" style="3219" customWidth="1"/>
    <col min="6160" max="6160" width="8" style="3219" customWidth="1"/>
    <col min="6161" max="6161" width="8.25" style="3219" customWidth="1"/>
    <col min="6162" max="6162" width="7.5" style="3219" customWidth="1"/>
    <col min="6163" max="6163" width="9" style="3219" hidden="1" customWidth="1"/>
    <col min="6164" max="6164" width="20.25" style="3219" customWidth="1"/>
    <col min="6165" max="6165" width="9.375" style="3219" customWidth="1"/>
    <col min="6166" max="6401" width="9" style="3219"/>
    <col min="6402" max="6402" width="2.5" style="3219" customWidth="1"/>
    <col min="6403" max="6403" width="4" style="3219" customWidth="1"/>
    <col min="6404" max="6404" width="16.25" style="3219" customWidth="1"/>
    <col min="6405" max="6405" width="8.25" style="3219" customWidth="1"/>
    <col min="6406" max="6406" width="6.375" style="3219" customWidth="1"/>
    <col min="6407" max="6407" width="5.75" style="3219" customWidth="1"/>
    <col min="6408" max="6408" width="8" style="3219" customWidth="1"/>
    <col min="6409" max="6409" width="11.125" style="3219" customWidth="1"/>
    <col min="6410" max="6410" width="10.875" style="3219" customWidth="1"/>
    <col min="6411" max="6411" width="7.75" style="3219" customWidth="1"/>
    <col min="6412" max="6412" width="5.625" style="3219" customWidth="1"/>
    <col min="6413" max="6413" width="7.5" style="3219" customWidth="1"/>
    <col min="6414" max="6414" width="10.875" style="3219" customWidth="1"/>
    <col min="6415" max="6415" width="6.375" style="3219" customWidth="1"/>
    <col min="6416" max="6416" width="8" style="3219" customWidth="1"/>
    <col min="6417" max="6417" width="8.25" style="3219" customWidth="1"/>
    <col min="6418" max="6418" width="7.5" style="3219" customWidth="1"/>
    <col min="6419" max="6419" width="9" style="3219" hidden="1" customWidth="1"/>
    <col min="6420" max="6420" width="20.25" style="3219" customWidth="1"/>
    <col min="6421" max="6421" width="9.375" style="3219" customWidth="1"/>
    <col min="6422" max="6657" width="9" style="3219"/>
    <col min="6658" max="6658" width="2.5" style="3219" customWidth="1"/>
    <col min="6659" max="6659" width="4" style="3219" customWidth="1"/>
    <col min="6660" max="6660" width="16.25" style="3219" customWidth="1"/>
    <col min="6661" max="6661" width="8.25" style="3219" customWidth="1"/>
    <col min="6662" max="6662" width="6.375" style="3219" customWidth="1"/>
    <col min="6663" max="6663" width="5.75" style="3219" customWidth="1"/>
    <col min="6664" max="6664" width="8" style="3219" customWidth="1"/>
    <col min="6665" max="6665" width="11.125" style="3219" customWidth="1"/>
    <col min="6666" max="6666" width="10.875" style="3219" customWidth="1"/>
    <col min="6667" max="6667" width="7.75" style="3219" customWidth="1"/>
    <col min="6668" max="6668" width="5.625" style="3219" customWidth="1"/>
    <col min="6669" max="6669" width="7.5" style="3219" customWidth="1"/>
    <col min="6670" max="6670" width="10.875" style="3219" customWidth="1"/>
    <col min="6671" max="6671" width="6.375" style="3219" customWidth="1"/>
    <col min="6672" max="6672" width="8" style="3219" customWidth="1"/>
    <col min="6673" max="6673" width="8.25" style="3219" customWidth="1"/>
    <col min="6674" max="6674" width="7.5" style="3219" customWidth="1"/>
    <col min="6675" max="6675" width="9" style="3219" hidden="1" customWidth="1"/>
    <col min="6676" max="6676" width="20.25" style="3219" customWidth="1"/>
    <col min="6677" max="6677" width="9.375" style="3219" customWidth="1"/>
    <col min="6678" max="6913" width="9" style="3219"/>
    <col min="6914" max="6914" width="2.5" style="3219" customWidth="1"/>
    <col min="6915" max="6915" width="4" style="3219" customWidth="1"/>
    <col min="6916" max="6916" width="16.25" style="3219" customWidth="1"/>
    <col min="6917" max="6917" width="8.25" style="3219" customWidth="1"/>
    <col min="6918" max="6918" width="6.375" style="3219" customWidth="1"/>
    <col min="6919" max="6919" width="5.75" style="3219" customWidth="1"/>
    <col min="6920" max="6920" width="8" style="3219" customWidth="1"/>
    <col min="6921" max="6921" width="11.125" style="3219" customWidth="1"/>
    <col min="6922" max="6922" width="10.875" style="3219" customWidth="1"/>
    <col min="6923" max="6923" width="7.75" style="3219" customWidth="1"/>
    <col min="6924" max="6924" width="5.625" style="3219" customWidth="1"/>
    <col min="6925" max="6925" width="7.5" style="3219" customWidth="1"/>
    <col min="6926" max="6926" width="10.875" style="3219" customWidth="1"/>
    <col min="6927" max="6927" width="6.375" style="3219" customWidth="1"/>
    <col min="6928" max="6928" width="8" style="3219" customWidth="1"/>
    <col min="6929" max="6929" width="8.25" style="3219" customWidth="1"/>
    <col min="6930" max="6930" width="7.5" style="3219" customWidth="1"/>
    <col min="6931" max="6931" width="9" style="3219" hidden="1" customWidth="1"/>
    <col min="6932" max="6932" width="20.25" style="3219" customWidth="1"/>
    <col min="6933" max="6933" width="9.375" style="3219" customWidth="1"/>
    <col min="6934" max="7169" width="9" style="3219"/>
    <col min="7170" max="7170" width="2.5" style="3219" customWidth="1"/>
    <col min="7171" max="7171" width="4" style="3219" customWidth="1"/>
    <col min="7172" max="7172" width="16.25" style="3219" customWidth="1"/>
    <col min="7173" max="7173" width="8.25" style="3219" customWidth="1"/>
    <col min="7174" max="7174" width="6.375" style="3219" customWidth="1"/>
    <col min="7175" max="7175" width="5.75" style="3219" customWidth="1"/>
    <col min="7176" max="7176" width="8" style="3219" customWidth="1"/>
    <col min="7177" max="7177" width="11.125" style="3219" customWidth="1"/>
    <col min="7178" max="7178" width="10.875" style="3219" customWidth="1"/>
    <col min="7179" max="7179" width="7.75" style="3219" customWidth="1"/>
    <col min="7180" max="7180" width="5.625" style="3219" customWidth="1"/>
    <col min="7181" max="7181" width="7.5" style="3219" customWidth="1"/>
    <col min="7182" max="7182" width="10.875" style="3219" customWidth="1"/>
    <col min="7183" max="7183" width="6.375" style="3219" customWidth="1"/>
    <col min="7184" max="7184" width="8" style="3219" customWidth="1"/>
    <col min="7185" max="7185" width="8.25" style="3219" customWidth="1"/>
    <col min="7186" max="7186" width="7.5" style="3219" customWidth="1"/>
    <col min="7187" max="7187" width="9" style="3219" hidden="1" customWidth="1"/>
    <col min="7188" max="7188" width="20.25" style="3219" customWidth="1"/>
    <col min="7189" max="7189" width="9.375" style="3219" customWidth="1"/>
    <col min="7190" max="7425" width="9" style="3219"/>
    <col min="7426" max="7426" width="2.5" style="3219" customWidth="1"/>
    <col min="7427" max="7427" width="4" style="3219" customWidth="1"/>
    <col min="7428" max="7428" width="16.25" style="3219" customWidth="1"/>
    <col min="7429" max="7429" width="8.25" style="3219" customWidth="1"/>
    <col min="7430" max="7430" width="6.375" style="3219" customWidth="1"/>
    <col min="7431" max="7431" width="5.75" style="3219" customWidth="1"/>
    <col min="7432" max="7432" width="8" style="3219" customWidth="1"/>
    <col min="7433" max="7433" width="11.125" style="3219" customWidth="1"/>
    <col min="7434" max="7434" width="10.875" style="3219" customWidth="1"/>
    <col min="7435" max="7435" width="7.75" style="3219" customWidth="1"/>
    <col min="7436" max="7436" width="5.625" style="3219" customWidth="1"/>
    <col min="7437" max="7437" width="7.5" style="3219" customWidth="1"/>
    <col min="7438" max="7438" width="10.875" style="3219" customWidth="1"/>
    <col min="7439" max="7439" width="6.375" style="3219" customWidth="1"/>
    <col min="7440" max="7440" width="8" style="3219" customWidth="1"/>
    <col min="7441" max="7441" width="8.25" style="3219" customWidth="1"/>
    <col min="7442" max="7442" width="7.5" style="3219" customWidth="1"/>
    <col min="7443" max="7443" width="9" style="3219" hidden="1" customWidth="1"/>
    <col min="7444" max="7444" width="20.25" style="3219" customWidth="1"/>
    <col min="7445" max="7445" width="9.375" style="3219" customWidth="1"/>
    <col min="7446" max="7681" width="9" style="3219"/>
    <col min="7682" max="7682" width="2.5" style="3219" customWidth="1"/>
    <col min="7683" max="7683" width="4" style="3219" customWidth="1"/>
    <col min="7684" max="7684" width="16.25" style="3219" customWidth="1"/>
    <col min="7685" max="7685" width="8.25" style="3219" customWidth="1"/>
    <col min="7686" max="7686" width="6.375" style="3219" customWidth="1"/>
    <col min="7687" max="7687" width="5.75" style="3219" customWidth="1"/>
    <col min="7688" max="7688" width="8" style="3219" customWidth="1"/>
    <col min="7689" max="7689" width="11.125" style="3219" customWidth="1"/>
    <col min="7690" max="7690" width="10.875" style="3219" customWidth="1"/>
    <col min="7691" max="7691" width="7.75" style="3219" customWidth="1"/>
    <col min="7692" max="7692" width="5.625" style="3219" customWidth="1"/>
    <col min="7693" max="7693" width="7.5" style="3219" customWidth="1"/>
    <col min="7694" max="7694" width="10.875" style="3219" customWidth="1"/>
    <col min="7695" max="7695" width="6.375" style="3219" customWidth="1"/>
    <col min="7696" max="7696" width="8" style="3219" customWidth="1"/>
    <col min="7697" max="7697" width="8.25" style="3219" customWidth="1"/>
    <col min="7698" max="7698" width="7.5" style="3219" customWidth="1"/>
    <col min="7699" max="7699" width="9" style="3219" hidden="1" customWidth="1"/>
    <col min="7700" max="7700" width="20.25" style="3219" customWidth="1"/>
    <col min="7701" max="7701" width="9.375" style="3219" customWidth="1"/>
    <col min="7702" max="7937" width="9" style="3219"/>
    <col min="7938" max="7938" width="2.5" style="3219" customWidth="1"/>
    <col min="7939" max="7939" width="4" style="3219" customWidth="1"/>
    <col min="7940" max="7940" width="16.25" style="3219" customWidth="1"/>
    <col min="7941" max="7941" width="8.25" style="3219" customWidth="1"/>
    <col min="7942" max="7942" width="6.375" style="3219" customWidth="1"/>
    <col min="7943" max="7943" width="5.75" style="3219" customWidth="1"/>
    <col min="7944" max="7944" width="8" style="3219" customWidth="1"/>
    <col min="7945" max="7945" width="11.125" style="3219" customWidth="1"/>
    <col min="7946" max="7946" width="10.875" style="3219" customWidth="1"/>
    <col min="7947" max="7947" width="7.75" style="3219" customWidth="1"/>
    <col min="7948" max="7948" width="5.625" style="3219" customWidth="1"/>
    <col min="7949" max="7949" width="7.5" style="3219" customWidth="1"/>
    <col min="7950" max="7950" width="10.875" style="3219" customWidth="1"/>
    <col min="7951" max="7951" width="6.375" style="3219" customWidth="1"/>
    <col min="7952" max="7952" width="8" style="3219" customWidth="1"/>
    <col min="7953" max="7953" width="8.25" style="3219" customWidth="1"/>
    <col min="7954" max="7954" width="7.5" style="3219" customWidth="1"/>
    <col min="7955" max="7955" width="9" style="3219" hidden="1" customWidth="1"/>
    <col min="7956" max="7956" width="20.25" style="3219" customWidth="1"/>
    <col min="7957" max="7957" width="9.375" style="3219" customWidth="1"/>
    <col min="7958" max="8193" width="9" style="3219"/>
    <col min="8194" max="8194" width="2.5" style="3219" customWidth="1"/>
    <col min="8195" max="8195" width="4" style="3219" customWidth="1"/>
    <col min="8196" max="8196" width="16.25" style="3219" customWidth="1"/>
    <col min="8197" max="8197" width="8.25" style="3219" customWidth="1"/>
    <col min="8198" max="8198" width="6.375" style="3219" customWidth="1"/>
    <col min="8199" max="8199" width="5.75" style="3219" customWidth="1"/>
    <col min="8200" max="8200" width="8" style="3219" customWidth="1"/>
    <col min="8201" max="8201" width="11.125" style="3219" customWidth="1"/>
    <col min="8202" max="8202" width="10.875" style="3219" customWidth="1"/>
    <col min="8203" max="8203" width="7.75" style="3219" customWidth="1"/>
    <col min="8204" max="8204" width="5.625" style="3219" customWidth="1"/>
    <col min="8205" max="8205" width="7.5" style="3219" customWidth="1"/>
    <col min="8206" max="8206" width="10.875" style="3219" customWidth="1"/>
    <col min="8207" max="8207" width="6.375" style="3219" customWidth="1"/>
    <col min="8208" max="8208" width="8" style="3219" customWidth="1"/>
    <col min="8209" max="8209" width="8.25" style="3219" customWidth="1"/>
    <col min="8210" max="8210" width="7.5" style="3219" customWidth="1"/>
    <col min="8211" max="8211" width="9" style="3219" hidden="1" customWidth="1"/>
    <col min="8212" max="8212" width="20.25" style="3219" customWidth="1"/>
    <col min="8213" max="8213" width="9.375" style="3219" customWidth="1"/>
    <col min="8214" max="8449" width="9" style="3219"/>
    <col min="8450" max="8450" width="2.5" style="3219" customWidth="1"/>
    <col min="8451" max="8451" width="4" style="3219" customWidth="1"/>
    <col min="8452" max="8452" width="16.25" style="3219" customWidth="1"/>
    <col min="8453" max="8453" width="8.25" style="3219" customWidth="1"/>
    <col min="8454" max="8454" width="6.375" style="3219" customWidth="1"/>
    <col min="8455" max="8455" width="5.75" style="3219" customWidth="1"/>
    <col min="8456" max="8456" width="8" style="3219" customWidth="1"/>
    <col min="8457" max="8457" width="11.125" style="3219" customWidth="1"/>
    <col min="8458" max="8458" width="10.875" style="3219" customWidth="1"/>
    <col min="8459" max="8459" width="7.75" style="3219" customWidth="1"/>
    <col min="8460" max="8460" width="5.625" style="3219" customWidth="1"/>
    <col min="8461" max="8461" width="7.5" style="3219" customWidth="1"/>
    <col min="8462" max="8462" width="10.875" style="3219" customWidth="1"/>
    <col min="8463" max="8463" width="6.375" style="3219" customWidth="1"/>
    <col min="8464" max="8464" width="8" style="3219" customWidth="1"/>
    <col min="8465" max="8465" width="8.25" style="3219" customWidth="1"/>
    <col min="8466" max="8466" width="7.5" style="3219" customWidth="1"/>
    <col min="8467" max="8467" width="9" style="3219" hidden="1" customWidth="1"/>
    <col min="8468" max="8468" width="20.25" style="3219" customWidth="1"/>
    <col min="8469" max="8469" width="9.375" style="3219" customWidth="1"/>
    <col min="8470" max="8705" width="9" style="3219"/>
    <col min="8706" max="8706" width="2.5" style="3219" customWidth="1"/>
    <col min="8707" max="8707" width="4" style="3219" customWidth="1"/>
    <col min="8708" max="8708" width="16.25" style="3219" customWidth="1"/>
    <col min="8709" max="8709" width="8.25" style="3219" customWidth="1"/>
    <col min="8710" max="8710" width="6.375" style="3219" customWidth="1"/>
    <col min="8711" max="8711" width="5.75" style="3219" customWidth="1"/>
    <col min="8712" max="8712" width="8" style="3219" customWidth="1"/>
    <col min="8713" max="8713" width="11.125" style="3219" customWidth="1"/>
    <col min="8714" max="8714" width="10.875" style="3219" customWidth="1"/>
    <col min="8715" max="8715" width="7.75" style="3219" customWidth="1"/>
    <col min="8716" max="8716" width="5.625" style="3219" customWidth="1"/>
    <col min="8717" max="8717" width="7.5" style="3219" customWidth="1"/>
    <col min="8718" max="8718" width="10.875" style="3219" customWidth="1"/>
    <col min="8719" max="8719" width="6.375" style="3219" customWidth="1"/>
    <col min="8720" max="8720" width="8" style="3219" customWidth="1"/>
    <col min="8721" max="8721" width="8.25" style="3219" customWidth="1"/>
    <col min="8722" max="8722" width="7.5" style="3219" customWidth="1"/>
    <col min="8723" max="8723" width="9" style="3219" hidden="1" customWidth="1"/>
    <col min="8724" max="8724" width="20.25" style="3219" customWidth="1"/>
    <col min="8725" max="8725" width="9.375" style="3219" customWidth="1"/>
    <col min="8726" max="8961" width="9" style="3219"/>
    <col min="8962" max="8962" width="2.5" style="3219" customWidth="1"/>
    <col min="8963" max="8963" width="4" style="3219" customWidth="1"/>
    <col min="8964" max="8964" width="16.25" style="3219" customWidth="1"/>
    <col min="8965" max="8965" width="8.25" style="3219" customWidth="1"/>
    <col min="8966" max="8966" width="6.375" style="3219" customWidth="1"/>
    <col min="8967" max="8967" width="5.75" style="3219" customWidth="1"/>
    <col min="8968" max="8968" width="8" style="3219" customWidth="1"/>
    <col min="8969" max="8969" width="11.125" style="3219" customWidth="1"/>
    <col min="8970" max="8970" width="10.875" style="3219" customWidth="1"/>
    <col min="8971" max="8971" width="7.75" style="3219" customWidth="1"/>
    <col min="8972" max="8972" width="5.625" style="3219" customWidth="1"/>
    <col min="8973" max="8973" width="7.5" style="3219" customWidth="1"/>
    <col min="8974" max="8974" width="10.875" style="3219" customWidth="1"/>
    <col min="8975" max="8975" width="6.375" style="3219" customWidth="1"/>
    <col min="8976" max="8976" width="8" style="3219" customWidth="1"/>
    <col min="8977" max="8977" width="8.25" style="3219" customWidth="1"/>
    <col min="8978" max="8978" width="7.5" style="3219" customWidth="1"/>
    <col min="8979" max="8979" width="9" style="3219" hidden="1" customWidth="1"/>
    <col min="8980" max="8980" width="20.25" style="3219" customWidth="1"/>
    <col min="8981" max="8981" width="9.375" style="3219" customWidth="1"/>
    <col min="8982" max="9217" width="9" style="3219"/>
    <col min="9218" max="9218" width="2.5" style="3219" customWidth="1"/>
    <col min="9219" max="9219" width="4" style="3219" customWidth="1"/>
    <col min="9220" max="9220" width="16.25" style="3219" customWidth="1"/>
    <col min="9221" max="9221" width="8.25" style="3219" customWidth="1"/>
    <col min="9222" max="9222" width="6.375" style="3219" customWidth="1"/>
    <col min="9223" max="9223" width="5.75" style="3219" customWidth="1"/>
    <col min="9224" max="9224" width="8" style="3219" customWidth="1"/>
    <col min="9225" max="9225" width="11.125" style="3219" customWidth="1"/>
    <col min="9226" max="9226" width="10.875" style="3219" customWidth="1"/>
    <col min="9227" max="9227" width="7.75" style="3219" customWidth="1"/>
    <col min="9228" max="9228" width="5.625" style="3219" customWidth="1"/>
    <col min="9229" max="9229" width="7.5" style="3219" customWidth="1"/>
    <col min="9230" max="9230" width="10.875" style="3219" customWidth="1"/>
    <col min="9231" max="9231" width="6.375" style="3219" customWidth="1"/>
    <col min="9232" max="9232" width="8" style="3219" customWidth="1"/>
    <col min="9233" max="9233" width="8.25" style="3219" customWidth="1"/>
    <col min="9234" max="9234" width="7.5" style="3219" customWidth="1"/>
    <col min="9235" max="9235" width="9" style="3219" hidden="1" customWidth="1"/>
    <col min="9236" max="9236" width="20.25" style="3219" customWidth="1"/>
    <col min="9237" max="9237" width="9.375" style="3219" customWidth="1"/>
    <col min="9238" max="9473" width="9" style="3219"/>
    <col min="9474" max="9474" width="2.5" style="3219" customWidth="1"/>
    <col min="9475" max="9475" width="4" style="3219" customWidth="1"/>
    <col min="9476" max="9476" width="16.25" style="3219" customWidth="1"/>
    <col min="9477" max="9477" width="8.25" style="3219" customWidth="1"/>
    <col min="9478" max="9478" width="6.375" style="3219" customWidth="1"/>
    <col min="9479" max="9479" width="5.75" style="3219" customWidth="1"/>
    <col min="9480" max="9480" width="8" style="3219" customWidth="1"/>
    <col min="9481" max="9481" width="11.125" style="3219" customWidth="1"/>
    <col min="9482" max="9482" width="10.875" style="3219" customWidth="1"/>
    <col min="9483" max="9483" width="7.75" style="3219" customWidth="1"/>
    <col min="9484" max="9484" width="5.625" style="3219" customWidth="1"/>
    <col min="9485" max="9485" width="7.5" style="3219" customWidth="1"/>
    <col min="9486" max="9486" width="10.875" style="3219" customWidth="1"/>
    <col min="9487" max="9487" width="6.375" style="3219" customWidth="1"/>
    <col min="9488" max="9488" width="8" style="3219" customWidth="1"/>
    <col min="9489" max="9489" width="8.25" style="3219" customWidth="1"/>
    <col min="9490" max="9490" width="7.5" style="3219" customWidth="1"/>
    <col min="9491" max="9491" width="9" style="3219" hidden="1" customWidth="1"/>
    <col min="9492" max="9492" width="20.25" style="3219" customWidth="1"/>
    <col min="9493" max="9493" width="9.375" style="3219" customWidth="1"/>
    <col min="9494" max="9729" width="9" style="3219"/>
    <col min="9730" max="9730" width="2.5" style="3219" customWidth="1"/>
    <col min="9731" max="9731" width="4" style="3219" customWidth="1"/>
    <col min="9732" max="9732" width="16.25" style="3219" customWidth="1"/>
    <col min="9733" max="9733" width="8.25" style="3219" customWidth="1"/>
    <col min="9734" max="9734" width="6.375" style="3219" customWidth="1"/>
    <col min="9735" max="9735" width="5.75" style="3219" customWidth="1"/>
    <col min="9736" max="9736" width="8" style="3219" customWidth="1"/>
    <col min="9737" max="9737" width="11.125" style="3219" customWidth="1"/>
    <col min="9738" max="9738" width="10.875" style="3219" customWidth="1"/>
    <col min="9739" max="9739" width="7.75" style="3219" customWidth="1"/>
    <col min="9740" max="9740" width="5.625" style="3219" customWidth="1"/>
    <col min="9741" max="9741" width="7.5" style="3219" customWidth="1"/>
    <col min="9742" max="9742" width="10.875" style="3219" customWidth="1"/>
    <col min="9743" max="9743" width="6.375" style="3219" customWidth="1"/>
    <col min="9744" max="9744" width="8" style="3219" customWidth="1"/>
    <col min="9745" max="9745" width="8.25" style="3219" customWidth="1"/>
    <col min="9746" max="9746" width="7.5" style="3219" customWidth="1"/>
    <col min="9747" max="9747" width="9" style="3219" hidden="1" customWidth="1"/>
    <col min="9748" max="9748" width="20.25" style="3219" customWidth="1"/>
    <col min="9749" max="9749" width="9.375" style="3219" customWidth="1"/>
    <col min="9750" max="9985" width="9" style="3219"/>
    <col min="9986" max="9986" width="2.5" style="3219" customWidth="1"/>
    <col min="9987" max="9987" width="4" style="3219" customWidth="1"/>
    <col min="9988" max="9988" width="16.25" style="3219" customWidth="1"/>
    <col min="9989" max="9989" width="8.25" style="3219" customWidth="1"/>
    <col min="9990" max="9990" width="6.375" style="3219" customWidth="1"/>
    <col min="9991" max="9991" width="5.75" style="3219" customWidth="1"/>
    <col min="9992" max="9992" width="8" style="3219" customWidth="1"/>
    <col min="9993" max="9993" width="11.125" style="3219" customWidth="1"/>
    <col min="9994" max="9994" width="10.875" style="3219" customWidth="1"/>
    <col min="9995" max="9995" width="7.75" style="3219" customWidth="1"/>
    <col min="9996" max="9996" width="5.625" style="3219" customWidth="1"/>
    <col min="9997" max="9997" width="7.5" style="3219" customWidth="1"/>
    <col min="9998" max="9998" width="10.875" style="3219" customWidth="1"/>
    <col min="9999" max="9999" width="6.375" style="3219" customWidth="1"/>
    <col min="10000" max="10000" width="8" style="3219" customWidth="1"/>
    <col min="10001" max="10001" width="8.25" style="3219" customWidth="1"/>
    <col min="10002" max="10002" width="7.5" style="3219" customWidth="1"/>
    <col min="10003" max="10003" width="9" style="3219" hidden="1" customWidth="1"/>
    <col min="10004" max="10004" width="20.25" style="3219" customWidth="1"/>
    <col min="10005" max="10005" width="9.375" style="3219" customWidth="1"/>
    <col min="10006" max="10241" width="9" style="3219"/>
    <col min="10242" max="10242" width="2.5" style="3219" customWidth="1"/>
    <col min="10243" max="10243" width="4" style="3219" customWidth="1"/>
    <col min="10244" max="10244" width="16.25" style="3219" customWidth="1"/>
    <col min="10245" max="10245" width="8.25" style="3219" customWidth="1"/>
    <col min="10246" max="10246" width="6.375" style="3219" customWidth="1"/>
    <col min="10247" max="10247" width="5.75" style="3219" customWidth="1"/>
    <col min="10248" max="10248" width="8" style="3219" customWidth="1"/>
    <col min="10249" max="10249" width="11.125" style="3219" customWidth="1"/>
    <col min="10250" max="10250" width="10.875" style="3219" customWidth="1"/>
    <col min="10251" max="10251" width="7.75" style="3219" customWidth="1"/>
    <col min="10252" max="10252" width="5.625" style="3219" customWidth="1"/>
    <col min="10253" max="10253" width="7.5" style="3219" customWidth="1"/>
    <col min="10254" max="10254" width="10.875" style="3219" customWidth="1"/>
    <col min="10255" max="10255" width="6.375" style="3219" customWidth="1"/>
    <col min="10256" max="10256" width="8" style="3219" customWidth="1"/>
    <col min="10257" max="10257" width="8.25" style="3219" customWidth="1"/>
    <col min="10258" max="10258" width="7.5" style="3219" customWidth="1"/>
    <col min="10259" max="10259" width="9" style="3219" hidden="1" customWidth="1"/>
    <col min="10260" max="10260" width="20.25" style="3219" customWidth="1"/>
    <col min="10261" max="10261" width="9.375" style="3219" customWidth="1"/>
    <col min="10262" max="10497" width="9" style="3219"/>
    <col min="10498" max="10498" width="2.5" style="3219" customWidth="1"/>
    <col min="10499" max="10499" width="4" style="3219" customWidth="1"/>
    <col min="10500" max="10500" width="16.25" style="3219" customWidth="1"/>
    <col min="10501" max="10501" width="8.25" style="3219" customWidth="1"/>
    <col min="10502" max="10502" width="6.375" style="3219" customWidth="1"/>
    <col min="10503" max="10503" width="5.75" style="3219" customWidth="1"/>
    <col min="10504" max="10504" width="8" style="3219" customWidth="1"/>
    <col min="10505" max="10505" width="11.125" style="3219" customWidth="1"/>
    <col min="10506" max="10506" width="10.875" style="3219" customWidth="1"/>
    <col min="10507" max="10507" width="7.75" style="3219" customWidth="1"/>
    <col min="10508" max="10508" width="5.625" style="3219" customWidth="1"/>
    <col min="10509" max="10509" width="7.5" style="3219" customWidth="1"/>
    <col min="10510" max="10510" width="10.875" style="3219" customWidth="1"/>
    <col min="10511" max="10511" width="6.375" style="3219" customWidth="1"/>
    <col min="10512" max="10512" width="8" style="3219" customWidth="1"/>
    <col min="10513" max="10513" width="8.25" style="3219" customWidth="1"/>
    <col min="10514" max="10514" width="7.5" style="3219" customWidth="1"/>
    <col min="10515" max="10515" width="9" style="3219" hidden="1" customWidth="1"/>
    <col min="10516" max="10516" width="20.25" style="3219" customWidth="1"/>
    <col min="10517" max="10517" width="9.375" style="3219" customWidth="1"/>
    <col min="10518" max="10753" width="9" style="3219"/>
    <col min="10754" max="10754" width="2.5" style="3219" customWidth="1"/>
    <col min="10755" max="10755" width="4" style="3219" customWidth="1"/>
    <col min="10756" max="10756" width="16.25" style="3219" customWidth="1"/>
    <col min="10757" max="10757" width="8.25" style="3219" customWidth="1"/>
    <col min="10758" max="10758" width="6.375" style="3219" customWidth="1"/>
    <col min="10759" max="10759" width="5.75" style="3219" customWidth="1"/>
    <col min="10760" max="10760" width="8" style="3219" customWidth="1"/>
    <col min="10761" max="10761" width="11.125" style="3219" customWidth="1"/>
    <col min="10762" max="10762" width="10.875" style="3219" customWidth="1"/>
    <col min="10763" max="10763" width="7.75" style="3219" customWidth="1"/>
    <col min="10764" max="10764" width="5.625" style="3219" customWidth="1"/>
    <col min="10765" max="10765" width="7.5" style="3219" customWidth="1"/>
    <col min="10766" max="10766" width="10.875" style="3219" customWidth="1"/>
    <col min="10767" max="10767" width="6.375" style="3219" customWidth="1"/>
    <col min="10768" max="10768" width="8" style="3219" customWidth="1"/>
    <col min="10769" max="10769" width="8.25" style="3219" customWidth="1"/>
    <col min="10770" max="10770" width="7.5" style="3219" customWidth="1"/>
    <col min="10771" max="10771" width="9" style="3219" hidden="1" customWidth="1"/>
    <col min="10772" max="10772" width="20.25" style="3219" customWidth="1"/>
    <col min="10773" max="10773" width="9.375" style="3219" customWidth="1"/>
    <col min="10774" max="11009" width="9" style="3219"/>
    <col min="11010" max="11010" width="2.5" style="3219" customWidth="1"/>
    <col min="11011" max="11011" width="4" style="3219" customWidth="1"/>
    <col min="11012" max="11012" width="16.25" style="3219" customWidth="1"/>
    <col min="11013" max="11013" width="8.25" style="3219" customWidth="1"/>
    <col min="11014" max="11014" width="6.375" style="3219" customWidth="1"/>
    <col min="11015" max="11015" width="5.75" style="3219" customWidth="1"/>
    <col min="11016" max="11016" width="8" style="3219" customWidth="1"/>
    <col min="11017" max="11017" width="11.125" style="3219" customWidth="1"/>
    <col min="11018" max="11018" width="10.875" style="3219" customWidth="1"/>
    <col min="11019" max="11019" width="7.75" style="3219" customWidth="1"/>
    <col min="11020" max="11020" width="5.625" style="3219" customWidth="1"/>
    <col min="11021" max="11021" width="7.5" style="3219" customWidth="1"/>
    <col min="11022" max="11022" width="10.875" style="3219" customWidth="1"/>
    <col min="11023" max="11023" width="6.375" style="3219" customWidth="1"/>
    <col min="11024" max="11024" width="8" style="3219" customWidth="1"/>
    <col min="11025" max="11025" width="8.25" style="3219" customWidth="1"/>
    <col min="11026" max="11026" width="7.5" style="3219" customWidth="1"/>
    <col min="11027" max="11027" width="9" style="3219" hidden="1" customWidth="1"/>
    <col min="11028" max="11028" width="20.25" style="3219" customWidth="1"/>
    <col min="11029" max="11029" width="9.375" style="3219" customWidth="1"/>
    <col min="11030" max="11265" width="9" style="3219"/>
    <col min="11266" max="11266" width="2.5" style="3219" customWidth="1"/>
    <col min="11267" max="11267" width="4" style="3219" customWidth="1"/>
    <col min="11268" max="11268" width="16.25" style="3219" customWidth="1"/>
    <col min="11269" max="11269" width="8.25" style="3219" customWidth="1"/>
    <col min="11270" max="11270" width="6.375" style="3219" customWidth="1"/>
    <col min="11271" max="11271" width="5.75" style="3219" customWidth="1"/>
    <col min="11272" max="11272" width="8" style="3219" customWidth="1"/>
    <col min="11273" max="11273" width="11.125" style="3219" customWidth="1"/>
    <col min="11274" max="11274" width="10.875" style="3219" customWidth="1"/>
    <col min="11275" max="11275" width="7.75" style="3219" customWidth="1"/>
    <col min="11276" max="11276" width="5.625" style="3219" customWidth="1"/>
    <col min="11277" max="11277" width="7.5" style="3219" customWidth="1"/>
    <col min="11278" max="11278" width="10.875" style="3219" customWidth="1"/>
    <col min="11279" max="11279" width="6.375" style="3219" customWidth="1"/>
    <col min="11280" max="11280" width="8" style="3219" customWidth="1"/>
    <col min="11281" max="11281" width="8.25" style="3219" customWidth="1"/>
    <col min="11282" max="11282" width="7.5" style="3219" customWidth="1"/>
    <col min="11283" max="11283" width="9" style="3219" hidden="1" customWidth="1"/>
    <col min="11284" max="11284" width="20.25" style="3219" customWidth="1"/>
    <col min="11285" max="11285" width="9.375" style="3219" customWidth="1"/>
    <col min="11286" max="11521" width="9" style="3219"/>
    <col min="11522" max="11522" width="2.5" style="3219" customWidth="1"/>
    <col min="11523" max="11523" width="4" style="3219" customWidth="1"/>
    <col min="11524" max="11524" width="16.25" style="3219" customWidth="1"/>
    <col min="11525" max="11525" width="8.25" style="3219" customWidth="1"/>
    <col min="11526" max="11526" width="6.375" style="3219" customWidth="1"/>
    <col min="11527" max="11527" width="5.75" style="3219" customWidth="1"/>
    <col min="11528" max="11528" width="8" style="3219" customWidth="1"/>
    <col min="11529" max="11529" width="11.125" style="3219" customWidth="1"/>
    <col min="11530" max="11530" width="10.875" style="3219" customWidth="1"/>
    <col min="11531" max="11531" width="7.75" style="3219" customWidth="1"/>
    <col min="11532" max="11532" width="5.625" style="3219" customWidth="1"/>
    <col min="11533" max="11533" width="7.5" style="3219" customWidth="1"/>
    <col min="11534" max="11534" width="10.875" style="3219" customWidth="1"/>
    <col min="11535" max="11535" width="6.375" style="3219" customWidth="1"/>
    <col min="11536" max="11536" width="8" style="3219" customWidth="1"/>
    <col min="11537" max="11537" width="8.25" style="3219" customWidth="1"/>
    <col min="11538" max="11538" width="7.5" style="3219" customWidth="1"/>
    <col min="11539" max="11539" width="9" style="3219" hidden="1" customWidth="1"/>
    <col min="11540" max="11540" width="20.25" style="3219" customWidth="1"/>
    <col min="11541" max="11541" width="9.375" style="3219" customWidth="1"/>
    <col min="11542" max="11777" width="9" style="3219"/>
    <col min="11778" max="11778" width="2.5" style="3219" customWidth="1"/>
    <col min="11779" max="11779" width="4" style="3219" customWidth="1"/>
    <col min="11780" max="11780" width="16.25" style="3219" customWidth="1"/>
    <col min="11781" max="11781" width="8.25" style="3219" customWidth="1"/>
    <col min="11782" max="11782" width="6.375" style="3219" customWidth="1"/>
    <col min="11783" max="11783" width="5.75" style="3219" customWidth="1"/>
    <col min="11784" max="11784" width="8" style="3219" customWidth="1"/>
    <col min="11785" max="11785" width="11.125" style="3219" customWidth="1"/>
    <col min="11786" max="11786" width="10.875" style="3219" customWidth="1"/>
    <col min="11787" max="11787" width="7.75" style="3219" customWidth="1"/>
    <col min="11788" max="11788" width="5.625" style="3219" customWidth="1"/>
    <col min="11789" max="11789" width="7.5" style="3219" customWidth="1"/>
    <col min="11790" max="11790" width="10.875" style="3219" customWidth="1"/>
    <col min="11791" max="11791" width="6.375" style="3219" customWidth="1"/>
    <col min="11792" max="11792" width="8" style="3219" customWidth="1"/>
    <col min="11793" max="11793" width="8.25" style="3219" customWidth="1"/>
    <col min="11794" max="11794" width="7.5" style="3219" customWidth="1"/>
    <col min="11795" max="11795" width="9" style="3219" hidden="1" customWidth="1"/>
    <col min="11796" max="11796" width="20.25" style="3219" customWidth="1"/>
    <col min="11797" max="11797" width="9.375" style="3219" customWidth="1"/>
    <col min="11798" max="12033" width="9" style="3219"/>
    <col min="12034" max="12034" width="2.5" style="3219" customWidth="1"/>
    <col min="12035" max="12035" width="4" style="3219" customWidth="1"/>
    <col min="12036" max="12036" width="16.25" style="3219" customWidth="1"/>
    <col min="12037" max="12037" width="8.25" style="3219" customWidth="1"/>
    <col min="12038" max="12038" width="6.375" style="3219" customWidth="1"/>
    <col min="12039" max="12039" width="5.75" style="3219" customWidth="1"/>
    <col min="12040" max="12040" width="8" style="3219" customWidth="1"/>
    <col min="12041" max="12041" width="11.125" style="3219" customWidth="1"/>
    <col min="12042" max="12042" width="10.875" style="3219" customWidth="1"/>
    <col min="12043" max="12043" width="7.75" style="3219" customWidth="1"/>
    <col min="12044" max="12044" width="5.625" style="3219" customWidth="1"/>
    <col min="12045" max="12045" width="7.5" style="3219" customWidth="1"/>
    <col min="12046" max="12046" width="10.875" style="3219" customWidth="1"/>
    <col min="12047" max="12047" width="6.375" style="3219" customWidth="1"/>
    <col min="12048" max="12048" width="8" style="3219" customWidth="1"/>
    <col min="12049" max="12049" width="8.25" style="3219" customWidth="1"/>
    <col min="12050" max="12050" width="7.5" style="3219" customWidth="1"/>
    <col min="12051" max="12051" width="9" style="3219" hidden="1" customWidth="1"/>
    <col min="12052" max="12052" width="20.25" style="3219" customWidth="1"/>
    <col min="12053" max="12053" width="9.375" style="3219" customWidth="1"/>
    <col min="12054" max="12289" width="9" style="3219"/>
    <col min="12290" max="12290" width="2.5" style="3219" customWidth="1"/>
    <col min="12291" max="12291" width="4" style="3219" customWidth="1"/>
    <col min="12292" max="12292" width="16.25" style="3219" customWidth="1"/>
    <col min="12293" max="12293" width="8.25" style="3219" customWidth="1"/>
    <col min="12294" max="12294" width="6.375" style="3219" customWidth="1"/>
    <col min="12295" max="12295" width="5.75" style="3219" customWidth="1"/>
    <col min="12296" max="12296" width="8" style="3219" customWidth="1"/>
    <col min="12297" max="12297" width="11.125" style="3219" customWidth="1"/>
    <col min="12298" max="12298" width="10.875" style="3219" customWidth="1"/>
    <col min="12299" max="12299" width="7.75" style="3219" customWidth="1"/>
    <col min="12300" max="12300" width="5.625" style="3219" customWidth="1"/>
    <col min="12301" max="12301" width="7.5" style="3219" customWidth="1"/>
    <col min="12302" max="12302" width="10.875" style="3219" customWidth="1"/>
    <col min="12303" max="12303" width="6.375" style="3219" customWidth="1"/>
    <col min="12304" max="12304" width="8" style="3219" customWidth="1"/>
    <col min="12305" max="12305" width="8.25" style="3219" customWidth="1"/>
    <col min="12306" max="12306" width="7.5" style="3219" customWidth="1"/>
    <col min="12307" max="12307" width="9" style="3219" hidden="1" customWidth="1"/>
    <col min="12308" max="12308" width="20.25" style="3219" customWidth="1"/>
    <col min="12309" max="12309" width="9.375" style="3219" customWidth="1"/>
    <col min="12310" max="12545" width="9" style="3219"/>
    <col min="12546" max="12546" width="2.5" style="3219" customWidth="1"/>
    <col min="12547" max="12547" width="4" style="3219" customWidth="1"/>
    <col min="12548" max="12548" width="16.25" style="3219" customWidth="1"/>
    <col min="12549" max="12549" width="8.25" style="3219" customWidth="1"/>
    <col min="12550" max="12550" width="6.375" style="3219" customWidth="1"/>
    <col min="12551" max="12551" width="5.75" style="3219" customWidth="1"/>
    <col min="12552" max="12552" width="8" style="3219" customWidth="1"/>
    <col min="12553" max="12553" width="11.125" style="3219" customWidth="1"/>
    <col min="12554" max="12554" width="10.875" style="3219" customWidth="1"/>
    <col min="12555" max="12555" width="7.75" style="3219" customWidth="1"/>
    <col min="12556" max="12556" width="5.625" style="3219" customWidth="1"/>
    <col min="12557" max="12557" width="7.5" style="3219" customWidth="1"/>
    <col min="12558" max="12558" width="10.875" style="3219" customWidth="1"/>
    <col min="12559" max="12559" width="6.375" style="3219" customWidth="1"/>
    <col min="12560" max="12560" width="8" style="3219" customWidth="1"/>
    <col min="12561" max="12561" width="8.25" style="3219" customWidth="1"/>
    <col min="12562" max="12562" width="7.5" style="3219" customWidth="1"/>
    <col min="12563" max="12563" width="9" style="3219" hidden="1" customWidth="1"/>
    <col min="12564" max="12564" width="20.25" style="3219" customWidth="1"/>
    <col min="12565" max="12565" width="9.375" style="3219" customWidth="1"/>
    <col min="12566" max="12801" width="9" style="3219"/>
    <col min="12802" max="12802" width="2.5" style="3219" customWidth="1"/>
    <col min="12803" max="12803" width="4" style="3219" customWidth="1"/>
    <col min="12804" max="12804" width="16.25" style="3219" customWidth="1"/>
    <col min="12805" max="12805" width="8.25" style="3219" customWidth="1"/>
    <col min="12806" max="12806" width="6.375" style="3219" customWidth="1"/>
    <col min="12807" max="12807" width="5.75" style="3219" customWidth="1"/>
    <col min="12808" max="12808" width="8" style="3219" customWidth="1"/>
    <col min="12809" max="12809" width="11.125" style="3219" customWidth="1"/>
    <col min="12810" max="12810" width="10.875" style="3219" customWidth="1"/>
    <col min="12811" max="12811" width="7.75" style="3219" customWidth="1"/>
    <col min="12812" max="12812" width="5.625" style="3219" customWidth="1"/>
    <col min="12813" max="12813" width="7.5" style="3219" customWidth="1"/>
    <col min="12814" max="12814" width="10.875" style="3219" customWidth="1"/>
    <col min="12815" max="12815" width="6.375" style="3219" customWidth="1"/>
    <col min="12816" max="12816" width="8" style="3219" customWidth="1"/>
    <col min="12817" max="12817" width="8.25" style="3219" customWidth="1"/>
    <col min="12818" max="12818" width="7.5" style="3219" customWidth="1"/>
    <col min="12819" max="12819" width="9" style="3219" hidden="1" customWidth="1"/>
    <col min="12820" max="12820" width="20.25" style="3219" customWidth="1"/>
    <col min="12821" max="12821" width="9.375" style="3219" customWidth="1"/>
    <col min="12822" max="13057" width="9" style="3219"/>
    <col min="13058" max="13058" width="2.5" style="3219" customWidth="1"/>
    <col min="13059" max="13059" width="4" style="3219" customWidth="1"/>
    <col min="13060" max="13060" width="16.25" style="3219" customWidth="1"/>
    <col min="13061" max="13061" width="8.25" style="3219" customWidth="1"/>
    <col min="13062" max="13062" width="6.375" style="3219" customWidth="1"/>
    <col min="13063" max="13063" width="5.75" style="3219" customWidth="1"/>
    <col min="13064" max="13064" width="8" style="3219" customWidth="1"/>
    <col min="13065" max="13065" width="11.125" style="3219" customWidth="1"/>
    <col min="13066" max="13066" width="10.875" style="3219" customWidth="1"/>
    <col min="13067" max="13067" width="7.75" style="3219" customWidth="1"/>
    <col min="13068" max="13068" width="5.625" style="3219" customWidth="1"/>
    <col min="13069" max="13069" width="7.5" style="3219" customWidth="1"/>
    <col min="13070" max="13070" width="10.875" style="3219" customWidth="1"/>
    <col min="13071" max="13071" width="6.375" style="3219" customWidth="1"/>
    <col min="13072" max="13072" width="8" style="3219" customWidth="1"/>
    <col min="13073" max="13073" width="8.25" style="3219" customWidth="1"/>
    <col min="13074" max="13074" width="7.5" style="3219" customWidth="1"/>
    <col min="13075" max="13075" width="9" style="3219" hidden="1" customWidth="1"/>
    <col min="13076" max="13076" width="20.25" style="3219" customWidth="1"/>
    <col min="13077" max="13077" width="9.375" style="3219" customWidth="1"/>
    <col min="13078" max="13313" width="9" style="3219"/>
    <col min="13314" max="13314" width="2.5" style="3219" customWidth="1"/>
    <col min="13315" max="13315" width="4" style="3219" customWidth="1"/>
    <col min="13316" max="13316" width="16.25" style="3219" customWidth="1"/>
    <col min="13317" max="13317" width="8.25" style="3219" customWidth="1"/>
    <col min="13318" max="13318" width="6.375" style="3219" customWidth="1"/>
    <col min="13319" max="13319" width="5.75" style="3219" customWidth="1"/>
    <col min="13320" max="13320" width="8" style="3219" customWidth="1"/>
    <col min="13321" max="13321" width="11.125" style="3219" customWidth="1"/>
    <col min="13322" max="13322" width="10.875" style="3219" customWidth="1"/>
    <col min="13323" max="13323" width="7.75" style="3219" customWidth="1"/>
    <col min="13324" max="13324" width="5.625" style="3219" customWidth="1"/>
    <col min="13325" max="13325" width="7.5" style="3219" customWidth="1"/>
    <col min="13326" max="13326" width="10.875" style="3219" customWidth="1"/>
    <col min="13327" max="13327" width="6.375" style="3219" customWidth="1"/>
    <col min="13328" max="13328" width="8" style="3219" customWidth="1"/>
    <col min="13329" max="13329" width="8.25" style="3219" customWidth="1"/>
    <col min="13330" max="13330" width="7.5" style="3219" customWidth="1"/>
    <col min="13331" max="13331" width="9" style="3219" hidden="1" customWidth="1"/>
    <col min="13332" max="13332" width="20.25" style="3219" customWidth="1"/>
    <col min="13333" max="13333" width="9.375" style="3219" customWidth="1"/>
    <col min="13334" max="13569" width="9" style="3219"/>
    <col min="13570" max="13570" width="2.5" style="3219" customWidth="1"/>
    <col min="13571" max="13571" width="4" style="3219" customWidth="1"/>
    <col min="13572" max="13572" width="16.25" style="3219" customWidth="1"/>
    <col min="13573" max="13573" width="8.25" style="3219" customWidth="1"/>
    <col min="13574" max="13574" width="6.375" style="3219" customWidth="1"/>
    <col min="13575" max="13575" width="5.75" style="3219" customWidth="1"/>
    <col min="13576" max="13576" width="8" style="3219" customWidth="1"/>
    <col min="13577" max="13577" width="11.125" style="3219" customWidth="1"/>
    <col min="13578" max="13578" width="10.875" style="3219" customWidth="1"/>
    <col min="13579" max="13579" width="7.75" style="3219" customWidth="1"/>
    <col min="13580" max="13580" width="5.625" style="3219" customWidth="1"/>
    <col min="13581" max="13581" width="7.5" style="3219" customWidth="1"/>
    <col min="13582" max="13582" width="10.875" style="3219" customWidth="1"/>
    <col min="13583" max="13583" width="6.375" style="3219" customWidth="1"/>
    <col min="13584" max="13584" width="8" style="3219" customWidth="1"/>
    <col min="13585" max="13585" width="8.25" style="3219" customWidth="1"/>
    <col min="13586" max="13586" width="7.5" style="3219" customWidth="1"/>
    <col min="13587" max="13587" width="9" style="3219" hidden="1" customWidth="1"/>
    <col min="13588" max="13588" width="20.25" style="3219" customWidth="1"/>
    <col min="13589" max="13589" width="9.375" style="3219" customWidth="1"/>
    <col min="13590" max="13825" width="9" style="3219"/>
    <col min="13826" max="13826" width="2.5" style="3219" customWidth="1"/>
    <col min="13827" max="13827" width="4" style="3219" customWidth="1"/>
    <col min="13828" max="13828" width="16.25" style="3219" customWidth="1"/>
    <col min="13829" max="13829" width="8.25" style="3219" customWidth="1"/>
    <col min="13830" max="13830" width="6.375" style="3219" customWidth="1"/>
    <col min="13831" max="13831" width="5.75" style="3219" customWidth="1"/>
    <col min="13832" max="13832" width="8" style="3219" customWidth="1"/>
    <col min="13833" max="13833" width="11.125" style="3219" customWidth="1"/>
    <col min="13834" max="13834" width="10.875" style="3219" customWidth="1"/>
    <col min="13835" max="13835" width="7.75" style="3219" customWidth="1"/>
    <col min="13836" max="13836" width="5.625" style="3219" customWidth="1"/>
    <col min="13837" max="13837" width="7.5" style="3219" customWidth="1"/>
    <col min="13838" max="13838" width="10.875" style="3219" customWidth="1"/>
    <col min="13839" max="13839" width="6.375" style="3219" customWidth="1"/>
    <col min="13840" max="13840" width="8" style="3219" customWidth="1"/>
    <col min="13841" max="13841" width="8.25" style="3219" customWidth="1"/>
    <col min="13842" max="13842" width="7.5" style="3219" customWidth="1"/>
    <col min="13843" max="13843" width="9" style="3219" hidden="1" customWidth="1"/>
    <col min="13844" max="13844" width="20.25" style="3219" customWidth="1"/>
    <col min="13845" max="13845" width="9.375" style="3219" customWidth="1"/>
    <col min="13846" max="14081" width="9" style="3219"/>
    <col min="14082" max="14082" width="2.5" style="3219" customWidth="1"/>
    <col min="14083" max="14083" width="4" style="3219" customWidth="1"/>
    <col min="14084" max="14084" width="16.25" style="3219" customWidth="1"/>
    <col min="14085" max="14085" width="8.25" style="3219" customWidth="1"/>
    <col min="14086" max="14086" width="6.375" style="3219" customWidth="1"/>
    <col min="14087" max="14087" width="5.75" style="3219" customWidth="1"/>
    <col min="14088" max="14088" width="8" style="3219" customWidth="1"/>
    <col min="14089" max="14089" width="11.125" style="3219" customWidth="1"/>
    <col min="14090" max="14090" width="10.875" style="3219" customWidth="1"/>
    <col min="14091" max="14091" width="7.75" style="3219" customWidth="1"/>
    <col min="14092" max="14092" width="5.625" style="3219" customWidth="1"/>
    <col min="14093" max="14093" width="7.5" style="3219" customWidth="1"/>
    <col min="14094" max="14094" width="10.875" style="3219" customWidth="1"/>
    <col min="14095" max="14095" width="6.375" style="3219" customWidth="1"/>
    <col min="14096" max="14096" width="8" style="3219" customWidth="1"/>
    <col min="14097" max="14097" width="8.25" style="3219" customWidth="1"/>
    <col min="14098" max="14098" width="7.5" style="3219" customWidth="1"/>
    <col min="14099" max="14099" width="9" style="3219" hidden="1" customWidth="1"/>
    <col min="14100" max="14100" width="20.25" style="3219" customWidth="1"/>
    <col min="14101" max="14101" width="9.375" style="3219" customWidth="1"/>
    <col min="14102" max="14337" width="9" style="3219"/>
    <col min="14338" max="14338" width="2.5" style="3219" customWidth="1"/>
    <col min="14339" max="14339" width="4" style="3219" customWidth="1"/>
    <col min="14340" max="14340" width="16.25" style="3219" customWidth="1"/>
    <col min="14341" max="14341" width="8.25" style="3219" customWidth="1"/>
    <col min="14342" max="14342" width="6.375" style="3219" customWidth="1"/>
    <col min="14343" max="14343" width="5.75" style="3219" customWidth="1"/>
    <col min="14344" max="14344" width="8" style="3219" customWidth="1"/>
    <col min="14345" max="14345" width="11.125" style="3219" customWidth="1"/>
    <col min="14346" max="14346" width="10.875" style="3219" customWidth="1"/>
    <col min="14347" max="14347" width="7.75" style="3219" customWidth="1"/>
    <col min="14348" max="14348" width="5.625" style="3219" customWidth="1"/>
    <col min="14349" max="14349" width="7.5" style="3219" customWidth="1"/>
    <col min="14350" max="14350" width="10.875" style="3219" customWidth="1"/>
    <col min="14351" max="14351" width="6.375" style="3219" customWidth="1"/>
    <col min="14352" max="14352" width="8" style="3219" customWidth="1"/>
    <col min="14353" max="14353" width="8.25" style="3219" customWidth="1"/>
    <col min="14354" max="14354" width="7.5" style="3219" customWidth="1"/>
    <col min="14355" max="14355" width="9" style="3219" hidden="1" customWidth="1"/>
    <col min="14356" max="14356" width="20.25" style="3219" customWidth="1"/>
    <col min="14357" max="14357" width="9.375" style="3219" customWidth="1"/>
    <col min="14358" max="14593" width="9" style="3219"/>
    <col min="14594" max="14594" width="2.5" style="3219" customWidth="1"/>
    <col min="14595" max="14595" width="4" style="3219" customWidth="1"/>
    <col min="14596" max="14596" width="16.25" style="3219" customWidth="1"/>
    <col min="14597" max="14597" width="8.25" style="3219" customWidth="1"/>
    <col min="14598" max="14598" width="6.375" style="3219" customWidth="1"/>
    <col min="14599" max="14599" width="5.75" style="3219" customWidth="1"/>
    <col min="14600" max="14600" width="8" style="3219" customWidth="1"/>
    <col min="14601" max="14601" width="11.125" style="3219" customWidth="1"/>
    <col min="14602" max="14602" width="10.875" style="3219" customWidth="1"/>
    <col min="14603" max="14603" width="7.75" style="3219" customWidth="1"/>
    <col min="14604" max="14604" width="5.625" style="3219" customWidth="1"/>
    <col min="14605" max="14605" width="7.5" style="3219" customWidth="1"/>
    <col min="14606" max="14606" width="10.875" style="3219" customWidth="1"/>
    <col min="14607" max="14607" width="6.375" style="3219" customWidth="1"/>
    <col min="14608" max="14608" width="8" style="3219" customWidth="1"/>
    <col min="14609" max="14609" width="8.25" style="3219" customWidth="1"/>
    <col min="14610" max="14610" width="7.5" style="3219" customWidth="1"/>
    <col min="14611" max="14611" width="9" style="3219" hidden="1" customWidth="1"/>
    <col min="14612" max="14612" width="20.25" style="3219" customWidth="1"/>
    <col min="14613" max="14613" width="9.375" style="3219" customWidth="1"/>
    <col min="14614" max="14849" width="9" style="3219"/>
    <col min="14850" max="14850" width="2.5" style="3219" customWidth="1"/>
    <col min="14851" max="14851" width="4" style="3219" customWidth="1"/>
    <col min="14852" max="14852" width="16.25" style="3219" customWidth="1"/>
    <col min="14853" max="14853" width="8.25" style="3219" customWidth="1"/>
    <col min="14854" max="14854" width="6.375" style="3219" customWidth="1"/>
    <col min="14855" max="14855" width="5.75" style="3219" customWidth="1"/>
    <col min="14856" max="14856" width="8" style="3219" customWidth="1"/>
    <col min="14857" max="14857" width="11.125" style="3219" customWidth="1"/>
    <col min="14858" max="14858" width="10.875" style="3219" customWidth="1"/>
    <col min="14859" max="14859" width="7.75" style="3219" customWidth="1"/>
    <col min="14860" max="14860" width="5.625" style="3219" customWidth="1"/>
    <col min="14861" max="14861" width="7.5" style="3219" customWidth="1"/>
    <col min="14862" max="14862" width="10.875" style="3219" customWidth="1"/>
    <col min="14863" max="14863" width="6.375" style="3219" customWidth="1"/>
    <col min="14864" max="14864" width="8" style="3219" customWidth="1"/>
    <col min="14865" max="14865" width="8.25" style="3219" customWidth="1"/>
    <col min="14866" max="14866" width="7.5" style="3219" customWidth="1"/>
    <col min="14867" max="14867" width="9" style="3219" hidden="1" customWidth="1"/>
    <col min="14868" max="14868" width="20.25" style="3219" customWidth="1"/>
    <col min="14869" max="14869" width="9.375" style="3219" customWidth="1"/>
    <col min="14870" max="15105" width="9" style="3219"/>
    <col min="15106" max="15106" width="2.5" style="3219" customWidth="1"/>
    <col min="15107" max="15107" width="4" style="3219" customWidth="1"/>
    <col min="15108" max="15108" width="16.25" style="3219" customWidth="1"/>
    <col min="15109" max="15109" width="8.25" style="3219" customWidth="1"/>
    <col min="15110" max="15110" width="6.375" style="3219" customWidth="1"/>
    <col min="15111" max="15111" width="5.75" style="3219" customWidth="1"/>
    <col min="15112" max="15112" width="8" style="3219" customWidth="1"/>
    <col min="15113" max="15113" width="11.125" style="3219" customWidth="1"/>
    <col min="15114" max="15114" width="10.875" style="3219" customWidth="1"/>
    <col min="15115" max="15115" width="7.75" style="3219" customWidth="1"/>
    <col min="15116" max="15116" width="5.625" style="3219" customWidth="1"/>
    <col min="15117" max="15117" width="7.5" style="3219" customWidth="1"/>
    <col min="15118" max="15118" width="10.875" style="3219" customWidth="1"/>
    <col min="15119" max="15119" width="6.375" style="3219" customWidth="1"/>
    <col min="15120" max="15120" width="8" style="3219" customWidth="1"/>
    <col min="15121" max="15121" width="8.25" style="3219" customWidth="1"/>
    <col min="15122" max="15122" width="7.5" style="3219" customWidth="1"/>
    <col min="15123" max="15123" width="9" style="3219" hidden="1" customWidth="1"/>
    <col min="15124" max="15124" width="20.25" style="3219" customWidth="1"/>
    <col min="15125" max="15125" width="9.375" style="3219" customWidth="1"/>
    <col min="15126" max="15361" width="9" style="3219"/>
    <col min="15362" max="15362" width="2.5" style="3219" customWidth="1"/>
    <col min="15363" max="15363" width="4" style="3219" customWidth="1"/>
    <col min="15364" max="15364" width="16.25" style="3219" customWidth="1"/>
    <col min="15365" max="15365" width="8.25" style="3219" customWidth="1"/>
    <col min="15366" max="15366" width="6.375" style="3219" customWidth="1"/>
    <col min="15367" max="15367" width="5.75" style="3219" customWidth="1"/>
    <col min="15368" max="15368" width="8" style="3219" customWidth="1"/>
    <col min="15369" max="15369" width="11.125" style="3219" customWidth="1"/>
    <col min="15370" max="15370" width="10.875" style="3219" customWidth="1"/>
    <col min="15371" max="15371" width="7.75" style="3219" customWidth="1"/>
    <col min="15372" max="15372" width="5.625" style="3219" customWidth="1"/>
    <col min="15373" max="15373" width="7.5" style="3219" customWidth="1"/>
    <col min="15374" max="15374" width="10.875" style="3219" customWidth="1"/>
    <col min="15375" max="15375" width="6.375" style="3219" customWidth="1"/>
    <col min="15376" max="15376" width="8" style="3219" customWidth="1"/>
    <col min="15377" max="15377" width="8.25" style="3219" customWidth="1"/>
    <col min="15378" max="15378" width="7.5" style="3219" customWidth="1"/>
    <col min="15379" max="15379" width="9" style="3219" hidden="1" customWidth="1"/>
    <col min="15380" max="15380" width="20.25" style="3219" customWidth="1"/>
    <col min="15381" max="15381" width="9.375" style="3219" customWidth="1"/>
    <col min="15382" max="15617" width="9" style="3219"/>
    <col min="15618" max="15618" width="2.5" style="3219" customWidth="1"/>
    <col min="15619" max="15619" width="4" style="3219" customWidth="1"/>
    <col min="15620" max="15620" width="16.25" style="3219" customWidth="1"/>
    <col min="15621" max="15621" width="8.25" style="3219" customWidth="1"/>
    <col min="15622" max="15622" width="6.375" style="3219" customWidth="1"/>
    <col min="15623" max="15623" width="5.75" style="3219" customWidth="1"/>
    <col min="15624" max="15624" width="8" style="3219" customWidth="1"/>
    <col min="15625" max="15625" width="11.125" style="3219" customWidth="1"/>
    <col min="15626" max="15626" width="10.875" style="3219" customWidth="1"/>
    <col min="15627" max="15627" width="7.75" style="3219" customWidth="1"/>
    <col min="15628" max="15628" width="5.625" style="3219" customWidth="1"/>
    <col min="15629" max="15629" width="7.5" style="3219" customWidth="1"/>
    <col min="15630" max="15630" width="10.875" style="3219" customWidth="1"/>
    <col min="15631" max="15631" width="6.375" style="3219" customWidth="1"/>
    <col min="15632" max="15632" width="8" style="3219" customWidth="1"/>
    <col min="15633" max="15633" width="8.25" style="3219" customWidth="1"/>
    <col min="15634" max="15634" width="7.5" style="3219" customWidth="1"/>
    <col min="15635" max="15635" width="9" style="3219" hidden="1" customWidth="1"/>
    <col min="15636" max="15636" width="20.25" style="3219" customWidth="1"/>
    <col min="15637" max="15637" width="9.375" style="3219" customWidth="1"/>
    <col min="15638" max="15873" width="9" style="3219"/>
    <col min="15874" max="15874" width="2.5" style="3219" customWidth="1"/>
    <col min="15875" max="15875" width="4" style="3219" customWidth="1"/>
    <col min="15876" max="15876" width="16.25" style="3219" customWidth="1"/>
    <col min="15877" max="15877" width="8.25" style="3219" customWidth="1"/>
    <col min="15878" max="15878" width="6.375" style="3219" customWidth="1"/>
    <col min="15879" max="15879" width="5.75" style="3219" customWidth="1"/>
    <col min="15880" max="15880" width="8" style="3219" customWidth="1"/>
    <col min="15881" max="15881" width="11.125" style="3219" customWidth="1"/>
    <col min="15882" max="15882" width="10.875" style="3219" customWidth="1"/>
    <col min="15883" max="15883" width="7.75" style="3219" customWidth="1"/>
    <col min="15884" max="15884" width="5.625" style="3219" customWidth="1"/>
    <col min="15885" max="15885" width="7.5" style="3219" customWidth="1"/>
    <col min="15886" max="15886" width="10.875" style="3219" customWidth="1"/>
    <col min="15887" max="15887" width="6.375" style="3219" customWidth="1"/>
    <col min="15888" max="15888" width="8" style="3219" customWidth="1"/>
    <col min="15889" max="15889" width="8.25" style="3219" customWidth="1"/>
    <col min="15890" max="15890" width="7.5" style="3219" customWidth="1"/>
    <col min="15891" max="15891" width="9" style="3219" hidden="1" customWidth="1"/>
    <col min="15892" max="15892" width="20.25" style="3219" customWidth="1"/>
    <col min="15893" max="15893" width="9.375" style="3219" customWidth="1"/>
    <col min="15894" max="16129" width="9" style="3219"/>
    <col min="16130" max="16130" width="2.5" style="3219" customWidth="1"/>
    <col min="16131" max="16131" width="4" style="3219" customWidth="1"/>
    <col min="16132" max="16132" width="16.25" style="3219" customWidth="1"/>
    <col min="16133" max="16133" width="8.25" style="3219" customWidth="1"/>
    <col min="16134" max="16134" width="6.375" style="3219" customWidth="1"/>
    <col min="16135" max="16135" width="5.75" style="3219" customWidth="1"/>
    <col min="16136" max="16136" width="8" style="3219" customWidth="1"/>
    <col min="16137" max="16137" width="11.125" style="3219" customWidth="1"/>
    <col min="16138" max="16138" width="10.875" style="3219" customWidth="1"/>
    <col min="16139" max="16139" width="7.75" style="3219" customWidth="1"/>
    <col min="16140" max="16140" width="5.625" style="3219" customWidth="1"/>
    <col min="16141" max="16141" width="7.5" style="3219" customWidth="1"/>
    <col min="16142" max="16142" width="10.875" style="3219" customWidth="1"/>
    <col min="16143" max="16143" width="6.375" style="3219" customWidth="1"/>
    <col min="16144" max="16144" width="8" style="3219" customWidth="1"/>
    <col min="16145" max="16145" width="8.25" style="3219" customWidth="1"/>
    <col min="16146" max="16146" width="7.5" style="3219" customWidth="1"/>
    <col min="16147" max="16147" width="9" style="3219" hidden="1" customWidth="1"/>
    <col min="16148" max="16148" width="20.25" style="3219" customWidth="1"/>
    <col min="16149" max="16149" width="9.375" style="3219" customWidth="1"/>
    <col min="16150" max="16384" width="9" style="3219"/>
  </cols>
  <sheetData>
    <row r="2" spans="2:21" ht="22.5" customHeight="1" thickBot="1">
      <c r="B2" s="3418" t="s">
        <v>3412</v>
      </c>
      <c r="C2" s="3418"/>
      <c r="D2" s="3418"/>
      <c r="E2" s="3418"/>
      <c r="F2" s="3418"/>
      <c r="G2" s="3418"/>
      <c r="H2" s="3418"/>
      <c r="I2" s="3418"/>
      <c r="J2" s="3418"/>
      <c r="K2" s="3418"/>
      <c r="L2" s="3418"/>
      <c r="M2" s="3418"/>
      <c r="N2" s="3418"/>
      <c r="O2" s="3418"/>
      <c r="P2" s="3418"/>
      <c r="Q2" s="3418"/>
    </row>
    <row r="3" spans="2:21" ht="15" customHeight="1">
      <c r="B3" s="3220" t="s">
        <v>3413</v>
      </c>
      <c r="C3" s="3221"/>
      <c r="D3" s="3419">
        <f>'[7]当期规划指标表 '!D3</f>
        <v>67358.31</v>
      </c>
      <c r="E3" s="3419"/>
      <c r="F3" s="3222" t="s">
        <v>3414</v>
      </c>
      <c r="G3" s="3420" t="s">
        <v>3415</v>
      </c>
      <c r="H3" s="3420"/>
      <c r="I3" s="3420"/>
      <c r="J3" s="3420"/>
      <c r="K3" s="3223">
        <f>'[7]当期规划指标表 '!K3</f>
        <v>67358.31</v>
      </c>
      <c r="L3" s="3421" t="s">
        <v>3414</v>
      </c>
      <c r="M3" s="3422"/>
      <c r="N3" s="3224" t="s">
        <v>3416</v>
      </c>
      <c r="O3" s="3223">
        <f>'[7]当期规划指标表 '!O3</f>
        <v>174300.5</v>
      </c>
      <c r="P3" s="3421" t="s">
        <v>3414</v>
      </c>
      <c r="Q3" s="3423"/>
      <c r="R3" s="3225"/>
    </row>
    <row r="4" spans="2:21" ht="15" customHeight="1">
      <c r="B4" s="3226" t="s">
        <v>3417</v>
      </c>
      <c r="C4" s="3227"/>
      <c r="D4" s="3413">
        <f>'[7]当期规划指标表 '!D4</f>
        <v>49562.06</v>
      </c>
      <c r="E4" s="3413"/>
      <c r="F4" s="3228" t="s">
        <v>3414</v>
      </c>
      <c r="G4" s="3414" t="s">
        <v>3418</v>
      </c>
      <c r="H4" s="3414"/>
      <c r="I4" s="3414"/>
      <c r="J4" s="3414"/>
      <c r="K4" s="3415">
        <f>'[7]当期规划指标表 '!K4</f>
        <v>0.73579726094671916</v>
      </c>
      <c r="L4" s="3415"/>
      <c r="M4" s="3415"/>
      <c r="N4" s="3229" t="s">
        <v>3419</v>
      </c>
      <c r="O4" s="3416">
        <f>'[7]当期规划指标表 '!O4</f>
        <v>0.4</v>
      </c>
      <c r="P4" s="3416"/>
      <c r="Q4" s="3417"/>
    </row>
    <row r="5" spans="2:21" ht="15" customHeight="1">
      <c r="B5" s="3226" t="s">
        <v>3420</v>
      </c>
      <c r="C5" s="3227"/>
      <c r="D5" s="3413">
        <f>'[7]当期规划指标表 '!D5</f>
        <v>129115.5</v>
      </c>
      <c r="E5" s="3413"/>
      <c r="F5" s="3228" t="s">
        <v>3414</v>
      </c>
      <c r="G5" s="3414" t="s">
        <v>3421</v>
      </c>
      <c r="H5" s="3414"/>
      <c r="I5" s="3414"/>
      <c r="J5" s="3414"/>
      <c r="K5" s="3424">
        <f>'[7]当期规划指标表 '!K5</f>
        <v>1.9168458947381548</v>
      </c>
      <c r="L5" s="3424"/>
      <c r="M5" s="3424"/>
      <c r="N5" s="3229" t="s">
        <v>3422</v>
      </c>
      <c r="O5" s="3425">
        <f>'[7]当期规划指标表 '!O5</f>
        <v>1400</v>
      </c>
      <c r="P5" s="3426"/>
      <c r="Q5" s="3230" t="s">
        <v>3423</v>
      </c>
    </row>
    <row r="6" spans="2:21" s="3231" customFormat="1" ht="15" customHeight="1">
      <c r="B6" s="3226" t="s">
        <v>3424</v>
      </c>
      <c r="C6" s="3227"/>
      <c r="D6" s="3427" t="s">
        <v>3425</v>
      </c>
      <c r="E6" s="3427"/>
      <c r="F6" s="3427" t="s">
        <v>3426</v>
      </c>
      <c r="G6" s="3427"/>
      <c r="H6" s="3427"/>
      <c r="I6" s="3427"/>
      <c r="J6" s="3427"/>
      <c r="K6" s="3427" t="s">
        <v>3427</v>
      </c>
      <c r="L6" s="3427"/>
      <c r="M6" s="3426">
        <f>'[7]当期规划指标表 '!M6</f>
        <v>2</v>
      </c>
      <c r="N6" s="3426"/>
      <c r="O6" s="3229" t="s">
        <v>3428</v>
      </c>
      <c r="P6" s="3229">
        <f>'[7]当期规划指标表 '!P6</f>
        <v>774.13464549317814</v>
      </c>
      <c r="Q6" s="3229" t="s">
        <v>3429</v>
      </c>
    </row>
    <row r="7" spans="2:21" s="3231" customFormat="1" ht="15" customHeight="1">
      <c r="B7" s="3428">
        <f>'[7]当期规划指标表 '!B7</f>
        <v>1800</v>
      </c>
      <c r="C7" s="3429"/>
      <c r="D7" s="3426">
        <f>'[7]当期规划指标表 '!D7</f>
        <v>1800</v>
      </c>
      <c r="E7" s="3426"/>
      <c r="F7" s="3426">
        <f>'[7]当期规划指标表 '!F7</f>
        <v>0</v>
      </c>
      <c r="G7" s="3426"/>
      <c r="H7" s="3426"/>
      <c r="I7" s="3426"/>
      <c r="J7" s="3426"/>
      <c r="K7" s="3427" t="s">
        <v>3430</v>
      </c>
      <c r="L7" s="3427"/>
      <c r="M7" s="3425">
        <f>'[7]当期规划指标表 '!M7</f>
        <v>844</v>
      </c>
      <c r="N7" s="3426"/>
      <c r="O7" s="3229" t="s">
        <v>3431</v>
      </c>
      <c r="P7" s="3229">
        <f>'[7]当期规划指标表 '!P7</f>
        <v>0.91722114394926324</v>
      </c>
      <c r="Q7" s="3232">
        <f>'[7]当期规划指标表 '!R6</f>
        <v>774.13464549317814</v>
      </c>
      <c r="T7" s="3233"/>
    </row>
    <row r="8" spans="2:21" s="3231" customFormat="1" ht="15" customHeight="1">
      <c r="B8" s="3234" t="s">
        <v>3432</v>
      </c>
      <c r="C8" s="3229"/>
      <c r="D8" s="3229" t="s">
        <v>3433</v>
      </c>
      <c r="E8" s="3229" t="s">
        <v>3434</v>
      </c>
      <c r="F8" s="3229"/>
      <c r="G8" s="3437" t="s">
        <v>3435</v>
      </c>
      <c r="H8" s="3438"/>
      <c r="I8" s="3437" t="s">
        <v>3436</v>
      </c>
      <c r="J8" s="3438"/>
      <c r="K8" s="3229" t="s">
        <v>3437</v>
      </c>
      <c r="L8" s="3229" t="s">
        <v>3438</v>
      </c>
      <c r="M8" s="3229" t="s">
        <v>3439</v>
      </c>
      <c r="N8" s="3229"/>
      <c r="O8" s="3229" t="s">
        <v>3440</v>
      </c>
      <c r="P8" s="3229">
        <f>'[7]当期规划指标表 '!P8</f>
        <v>0</v>
      </c>
      <c r="Q8" s="3235"/>
      <c r="R8" s="3236"/>
      <c r="S8" s="3430"/>
      <c r="T8" s="3430"/>
    </row>
    <row r="9" spans="2:21" s="3231" customFormat="1" ht="15" customHeight="1" thickBot="1">
      <c r="B9" s="3431">
        <f>'[7]当期规划指标表 '!B9</f>
        <v>15996.25</v>
      </c>
      <c r="C9" s="3432"/>
      <c r="D9" s="3237">
        <f>'[7]当期规划指标表 '!D9</f>
        <v>11197.375</v>
      </c>
      <c r="E9" s="3433"/>
      <c r="F9" s="3433"/>
      <c r="G9" s="3434">
        <f>'[7]当期规划指标表 '!G9</f>
        <v>4798.875</v>
      </c>
      <c r="H9" s="3435"/>
      <c r="I9" s="3434"/>
      <c r="J9" s="3435"/>
      <c r="K9" s="3238"/>
      <c r="L9" s="3239">
        <v>200</v>
      </c>
      <c r="M9" s="3436"/>
      <c r="N9" s="3436"/>
      <c r="O9" s="3436"/>
      <c r="P9" s="3436"/>
      <c r="Q9" s="3240"/>
      <c r="R9" s="3241"/>
      <c r="S9" s="3242"/>
    </row>
    <row r="10" spans="2:21" ht="15" customHeight="1" thickBot="1">
      <c r="B10" s="3439"/>
      <c r="C10" s="3440"/>
      <c r="D10" s="3440"/>
      <c r="E10" s="3440"/>
      <c r="F10" s="3440"/>
      <c r="G10" s="3440"/>
      <c r="H10" s="3440"/>
      <c r="I10" s="3440"/>
      <c r="J10" s="3440"/>
      <c r="K10" s="3440"/>
      <c r="L10" s="3440"/>
      <c r="M10" s="3440"/>
      <c r="N10" s="3440"/>
      <c r="O10" s="3440"/>
      <c r="P10" s="3440"/>
      <c r="Q10" s="3441"/>
      <c r="R10" s="3231"/>
    </row>
    <row r="11" spans="2:21" ht="15" customHeight="1">
      <c r="B11" s="3442" t="s">
        <v>3441</v>
      </c>
      <c r="C11" s="3443"/>
      <c r="D11" s="3243" t="s">
        <v>3442</v>
      </c>
      <c r="E11" s="3243" t="s">
        <v>3443</v>
      </c>
      <c r="F11" s="3243" t="s">
        <v>3444</v>
      </c>
      <c r="G11" s="3243" t="s">
        <v>3417</v>
      </c>
      <c r="H11" s="3243" t="s">
        <v>3445</v>
      </c>
      <c r="I11" s="3243" t="s">
        <v>3446</v>
      </c>
      <c r="J11" s="3243" t="s">
        <v>2942</v>
      </c>
      <c r="K11" s="3243" t="s">
        <v>3447</v>
      </c>
      <c r="L11" s="3243" t="s">
        <v>3448</v>
      </c>
      <c r="M11" s="3243" t="s">
        <v>3449</v>
      </c>
      <c r="N11" s="3243" t="s">
        <v>3450</v>
      </c>
      <c r="O11" s="3243" t="s">
        <v>3451</v>
      </c>
      <c r="P11" s="3243" t="s">
        <v>3452</v>
      </c>
      <c r="Q11" s="3243" t="s">
        <v>3453</v>
      </c>
      <c r="R11" s="3243" t="s">
        <v>3454</v>
      </c>
      <c r="S11" s="3244" t="s">
        <v>3455</v>
      </c>
      <c r="T11" s="3444" t="s">
        <v>3456</v>
      </c>
      <c r="U11" s="3444"/>
    </row>
    <row r="12" spans="2:21" ht="12">
      <c r="B12" s="3445" t="s">
        <v>3457</v>
      </c>
      <c r="C12" s="3245" t="s">
        <v>3458</v>
      </c>
      <c r="D12" s="3246">
        <f>'[7]当期规划指标表 '!D12</f>
        <v>16653.91</v>
      </c>
      <c r="E12" s="3246">
        <f>'[7]当期规划指标表 '!E12</f>
        <v>2</v>
      </c>
      <c r="F12" s="3246">
        <f>'[7]当期规划指标表 '!F12</f>
        <v>0</v>
      </c>
      <c r="G12" s="3246">
        <f>'[7]当期规划指标表 '!G12</f>
        <v>3938.5</v>
      </c>
      <c r="H12" s="3246">
        <f>'[7]当期规划指标表 '!H12</f>
        <v>11954</v>
      </c>
      <c r="I12" s="3246">
        <f>'[7]当期规划指标表 '!I12</f>
        <v>0</v>
      </c>
      <c r="J12" s="3246">
        <f>H12+I12</f>
        <v>11954</v>
      </c>
      <c r="K12" s="3247">
        <f>'[7]当期规划指标表 '!K12</f>
        <v>11954</v>
      </c>
      <c r="L12" s="3247">
        <f>'[7]当期规划指标表 '!L12</f>
        <v>0</v>
      </c>
      <c r="M12" s="3248">
        <f>'[7]当期规划指标表 '!M12</f>
        <v>7.0222433700188866E-2</v>
      </c>
      <c r="N12" s="3247">
        <f>'[7]当期规划指标表 '!N12</f>
        <v>0</v>
      </c>
      <c r="O12" s="3247">
        <f>'[7]当期规划指标表 '!O12</f>
        <v>0</v>
      </c>
      <c r="P12" s="3247">
        <f>'[7]当期规划指标表 '!P12</f>
        <v>0</v>
      </c>
      <c r="Q12" s="3247">
        <f>'[7]当期规划指标表 '!Q12</f>
        <v>0</v>
      </c>
      <c r="R12" s="3247">
        <f>'[7]当期规划指标表 '!R12</f>
        <v>0</v>
      </c>
      <c r="S12" s="3247">
        <f>'[7]当期规划指标表 '!S12</f>
        <v>0</v>
      </c>
      <c r="T12" s="3446"/>
      <c r="U12" s="3447"/>
    </row>
    <row r="13" spans="2:21" ht="12">
      <c r="B13" s="3445"/>
      <c r="C13" s="3245" t="s">
        <v>3459</v>
      </c>
      <c r="D13" s="3246">
        <f>'[7]当期规划指标表 '!D13</f>
        <v>0</v>
      </c>
      <c r="E13" s="3246">
        <f>'[7]当期规划指标表 '!E13</f>
        <v>2</v>
      </c>
      <c r="F13" s="3246">
        <f>'[7]当期规划指标表 '!F13</f>
        <v>0</v>
      </c>
      <c r="G13" s="3246">
        <f>'[7]当期规划指标表 '!G13</f>
        <v>0</v>
      </c>
      <c r="H13" s="3246">
        <f>'[7]当期规划指标表 '!H13</f>
        <v>0</v>
      </c>
      <c r="I13" s="3246">
        <f>'[7]当期规划指标表 '!I13</f>
        <v>0</v>
      </c>
      <c r="J13" s="3249">
        <f t="shared" ref="J13:J18" si="0">H13+I13</f>
        <v>0</v>
      </c>
      <c r="K13" s="3247">
        <f>'[7]当期规划指标表 '!K13</f>
        <v>0</v>
      </c>
      <c r="L13" s="3247">
        <f>'[7]当期规划指标表 '!L13</f>
        <v>0</v>
      </c>
      <c r="M13" s="3248">
        <f>'[7]当期规划指标表 '!M13</f>
        <v>0</v>
      </c>
      <c r="N13" s="3247">
        <f>'[7]当期规划指标表 '!N13</f>
        <v>0</v>
      </c>
      <c r="O13" s="3247">
        <f>'[7]当期规划指标表 '!O13</f>
        <v>0</v>
      </c>
      <c r="P13" s="3247">
        <f>'[7]当期规划指标表 '!P13</f>
        <v>0</v>
      </c>
      <c r="Q13" s="3247">
        <f>'[7]当期规划指标表 '!Q13</f>
        <v>0</v>
      </c>
      <c r="R13" s="3247">
        <f>'[7]当期规划指标表 '!R13</f>
        <v>0</v>
      </c>
      <c r="S13" s="3247">
        <f>'[7]当期规划指标表 '!S13</f>
        <v>0</v>
      </c>
      <c r="T13" s="3448" t="s">
        <v>3460</v>
      </c>
      <c r="U13" s="3448"/>
    </row>
    <row r="14" spans="2:21" ht="12">
      <c r="B14" s="3445"/>
      <c r="C14" s="3245" t="s">
        <v>3461</v>
      </c>
      <c r="D14" s="3246">
        <f>'[7]当期规划指标表 '!D14</f>
        <v>0</v>
      </c>
      <c r="E14" s="3246">
        <f>'[7]当期规划指标表 '!E14</f>
        <v>2</v>
      </c>
      <c r="F14" s="3246">
        <f>'[7]当期规划指标表 '!F14</f>
        <v>0</v>
      </c>
      <c r="G14" s="3246">
        <f>'[7]当期规划指标表 '!G14</f>
        <v>0</v>
      </c>
      <c r="H14" s="3246">
        <f>'[7]当期规划指标表 '!H14</f>
        <v>0</v>
      </c>
      <c r="I14" s="3246">
        <f>'[7]当期规划指标表 '!I14</f>
        <v>0</v>
      </c>
      <c r="J14" s="3249">
        <f t="shared" si="0"/>
        <v>0</v>
      </c>
      <c r="K14" s="3247">
        <f>'[7]当期规划指标表 '!K14</f>
        <v>0</v>
      </c>
      <c r="L14" s="3247">
        <f>'[7]当期规划指标表 '!L14</f>
        <v>0</v>
      </c>
      <c r="M14" s="3248">
        <f>'[7]当期规划指标表 '!M14</f>
        <v>0</v>
      </c>
      <c r="N14" s="3247">
        <f>'[7]当期规划指标表 '!N14</f>
        <v>0</v>
      </c>
      <c r="O14" s="3247">
        <f>'[7]当期规划指标表 '!O14</f>
        <v>0</v>
      </c>
      <c r="P14" s="3247">
        <f>'[7]当期规划指标表 '!P14</f>
        <v>0</v>
      </c>
      <c r="Q14" s="3247">
        <f>'[7]当期规划指标表 '!Q14</f>
        <v>0</v>
      </c>
      <c r="R14" s="3247">
        <f>'[7]当期规划指标表 '!R14</f>
        <v>0</v>
      </c>
      <c r="S14" s="3247">
        <f>'[7]当期规划指标表 '!S14</f>
        <v>0</v>
      </c>
      <c r="T14" s="3448" t="s">
        <v>3462</v>
      </c>
      <c r="U14" s="3448"/>
    </row>
    <row r="15" spans="2:21" ht="24">
      <c r="B15" s="3445"/>
      <c r="C15" s="3245" t="s">
        <v>3463</v>
      </c>
      <c r="D15" s="3246">
        <f>'[7]当期规划指标表 '!D15</f>
        <v>0</v>
      </c>
      <c r="E15" s="3246">
        <f>'[7]当期规划指标表 '!E15</f>
        <v>2</v>
      </c>
      <c r="F15" s="3246">
        <f>'[7]当期规划指标表 '!F15</f>
        <v>0</v>
      </c>
      <c r="G15" s="3246">
        <f>'[7]当期规划指标表 '!G15</f>
        <v>0</v>
      </c>
      <c r="H15" s="3246">
        <f>'[7]当期规划指标表 '!H15</f>
        <v>0</v>
      </c>
      <c r="I15" s="3246">
        <f>'[7]当期规划指标表 '!I15</f>
        <v>0</v>
      </c>
      <c r="J15" s="3249">
        <f t="shared" si="0"/>
        <v>0</v>
      </c>
      <c r="K15" s="3247">
        <f>'[7]当期规划指标表 '!K15</f>
        <v>0</v>
      </c>
      <c r="L15" s="3247">
        <f>'[7]当期规划指标表 '!L15</f>
        <v>0</v>
      </c>
      <c r="M15" s="3248">
        <f>'[7]当期规划指标表 '!M15</f>
        <v>0</v>
      </c>
      <c r="N15" s="3247">
        <f>'[7]当期规划指标表 '!N15</f>
        <v>0</v>
      </c>
      <c r="O15" s="3247">
        <f>'[7]当期规划指标表 '!O15</f>
        <v>0</v>
      </c>
      <c r="P15" s="3247">
        <f>'[7]当期规划指标表 '!P15</f>
        <v>0</v>
      </c>
      <c r="Q15" s="3247">
        <f>'[7]当期规划指标表 '!Q15</f>
        <v>0</v>
      </c>
      <c r="R15" s="3247">
        <f>'[7]当期规划指标表 '!R15</f>
        <v>0</v>
      </c>
      <c r="S15" s="3247">
        <f>'[7]当期规划指标表 '!S15</f>
        <v>0</v>
      </c>
      <c r="T15" s="3250" t="s">
        <v>3464</v>
      </c>
      <c r="U15" s="3449" t="s">
        <v>3465</v>
      </c>
    </row>
    <row r="16" spans="2:21" ht="24">
      <c r="B16" s="3445"/>
      <c r="C16" s="3245" t="s">
        <v>3466</v>
      </c>
      <c r="D16" s="3246">
        <f>'[7]当期规划指标表 '!D16</f>
        <v>27706.12</v>
      </c>
      <c r="E16" s="3246">
        <f>'[7]当期规划指标表 '!E16</f>
        <v>2</v>
      </c>
      <c r="F16" s="3246">
        <f>'[7]当期规划指标表 '!F16</f>
        <v>0</v>
      </c>
      <c r="G16" s="3246">
        <f>'[7]当期规划指标表 '!G16</f>
        <v>5714.1</v>
      </c>
      <c r="H16" s="3246">
        <f>'[7]当期规划指标表 '!H16</f>
        <v>46731.7</v>
      </c>
      <c r="I16" s="3246">
        <f>'[7]当期规划指标表 '!I16</f>
        <v>4229.3760000000002</v>
      </c>
      <c r="J16" s="3249">
        <f t="shared" si="0"/>
        <v>50961.076000000001</v>
      </c>
      <c r="K16" s="3247">
        <f>'[7]当期规划指标表 '!K16</f>
        <v>50961.076000000001</v>
      </c>
      <c r="L16" s="3247">
        <f>'[7]当期规划指标表 '!L16</f>
        <v>0</v>
      </c>
      <c r="M16" s="3248">
        <f>'[7]当期规划指标表 '!M16</f>
        <v>0.29936513139537274</v>
      </c>
      <c r="N16" s="3247">
        <f>'[7]当期规划指标表 '!N16</f>
        <v>0</v>
      </c>
      <c r="O16" s="3247">
        <f>'[7]当期规划指标表 '!O16</f>
        <v>0</v>
      </c>
      <c r="P16" s="3247">
        <f>'[7]当期规划指标表 '!P16</f>
        <v>0</v>
      </c>
      <c r="Q16" s="3247">
        <f>'[7]当期规划指标表 '!Q16</f>
        <v>0</v>
      </c>
      <c r="R16" s="3247">
        <f>'[7]当期规划指标表 '!R16</f>
        <v>0</v>
      </c>
      <c r="S16" s="3247">
        <f>'[7]当期规划指标表 '!S16</f>
        <v>0</v>
      </c>
      <c r="T16" s="3250" t="s">
        <v>3467</v>
      </c>
      <c r="U16" s="3449"/>
    </row>
    <row r="17" spans="2:22" ht="24">
      <c r="B17" s="3445"/>
      <c r="C17" s="3245" t="s">
        <v>2979</v>
      </c>
      <c r="D17" s="3246">
        <f>'[7]当期规划指标表 '!D17</f>
        <v>0</v>
      </c>
      <c r="E17" s="3246">
        <f>'[7]当期规划指标表 '!E17</f>
        <v>2</v>
      </c>
      <c r="F17" s="3246">
        <f>'[7]当期规划指标表 '!F17</f>
        <v>0</v>
      </c>
      <c r="G17" s="3246">
        <f>'[7]当期规划指标表 '!G17</f>
        <v>0</v>
      </c>
      <c r="H17" s="3246">
        <f>'[7]当期规划指标表 '!H17</f>
        <v>0</v>
      </c>
      <c r="I17" s="3246">
        <f>'[7]当期规划指标表 '!I17</f>
        <v>0</v>
      </c>
      <c r="J17" s="3249">
        <f t="shared" si="0"/>
        <v>0</v>
      </c>
      <c r="K17" s="3247">
        <f>'[7]当期规划指标表 '!K17</f>
        <v>0</v>
      </c>
      <c r="L17" s="3247">
        <f>'[7]当期规划指标表 '!L17</f>
        <v>0</v>
      </c>
      <c r="M17" s="3248">
        <f>'[7]当期规划指标表 '!M17</f>
        <v>0</v>
      </c>
      <c r="N17" s="3247">
        <f>'[7]当期规划指标表 '!N17</f>
        <v>0</v>
      </c>
      <c r="O17" s="3247">
        <f>'[7]当期规划指标表 '!O17</f>
        <v>0</v>
      </c>
      <c r="P17" s="3247">
        <f>'[7]当期规划指标表 '!P17</f>
        <v>0</v>
      </c>
      <c r="Q17" s="3247">
        <f>'[7]当期规划指标表 '!Q17</f>
        <v>0</v>
      </c>
      <c r="R17" s="3247">
        <f>'[7]当期规划指标表 '!R17</f>
        <v>0</v>
      </c>
      <c r="S17" s="3247">
        <f>'[7]当期规划指标表 '!S17</f>
        <v>0</v>
      </c>
      <c r="T17" s="3250" t="s">
        <v>3468</v>
      </c>
      <c r="U17" s="3449"/>
    </row>
    <row r="18" spans="2:22" ht="24">
      <c r="B18" s="3445"/>
      <c r="C18" s="3245" t="s">
        <v>3469</v>
      </c>
      <c r="D18" s="3246">
        <f>'[7]当期规划指标表 '!D18</f>
        <v>22998.279999999995</v>
      </c>
      <c r="E18" s="3246">
        <f>'[7]当期规划指标表 '!E18</f>
        <v>2</v>
      </c>
      <c r="F18" s="3246">
        <f>'[7]当期规划指标表 '!F18</f>
        <v>0</v>
      </c>
      <c r="G18" s="3246">
        <f>'[7]当期规划指标表 '!G18</f>
        <v>3925.84</v>
      </c>
      <c r="H18" s="3246">
        <f>'[7]当期规划指标表 '!H18</f>
        <v>66359.8</v>
      </c>
      <c r="I18" s="3246">
        <f>'[7]当期规划指标表 '!I18</f>
        <v>6344.0640000000003</v>
      </c>
      <c r="J18" s="3249">
        <f t="shared" si="0"/>
        <v>72703.864000000001</v>
      </c>
      <c r="K18" s="3247">
        <f>'[7]当期规划指标表 '!K18</f>
        <v>72703.864000000001</v>
      </c>
      <c r="L18" s="3247">
        <f>'[7]当期规划指标表 '!L18</f>
        <v>0</v>
      </c>
      <c r="M18" s="3248">
        <f>'[7]当期规划指标表 '!M18</f>
        <v>0.42709070348733041</v>
      </c>
      <c r="N18" s="3247">
        <f>'[7]当期规划指标表 '!N18</f>
        <v>0</v>
      </c>
      <c r="O18" s="3247">
        <f>'[7]当期规划指标表 '!O18</f>
        <v>0</v>
      </c>
      <c r="P18" s="3247">
        <f>'[7]当期规划指标表 '!P18</f>
        <v>0</v>
      </c>
      <c r="Q18" s="3247">
        <f>'[7]当期规划指标表 '!Q18</f>
        <v>0</v>
      </c>
      <c r="R18" s="3247">
        <f>'[7]当期规划指标表 '!R18</f>
        <v>0</v>
      </c>
      <c r="S18" s="3247">
        <f>'[7]当期规划指标表 '!S18</f>
        <v>0</v>
      </c>
      <c r="T18" s="3250" t="s">
        <v>3470</v>
      </c>
      <c r="U18" s="3449"/>
    </row>
    <row r="19" spans="2:22" ht="24">
      <c r="B19" s="3445"/>
      <c r="C19" s="3245" t="s">
        <v>3471</v>
      </c>
      <c r="D19" s="3246">
        <f>'[7]当期规划指标表 '!D19</f>
        <v>0</v>
      </c>
      <c r="E19" s="3246">
        <f>'[7]当期规划指标表 '!E19</f>
        <v>2</v>
      </c>
      <c r="F19" s="3246">
        <f>'[7]当期规划指标表 '!F19</f>
        <v>0</v>
      </c>
      <c r="G19" s="3246">
        <f>'[7]当期规划指标表 '!G19</f>
        <v>0</v>
      </c>
      <c r="H19" s="3246">
        <f>'[7]当期规划指标表 '!H19</f>
        <v>0</v>
      </c>
      <c r="I19" s="3246">
        <f>'[7]当期规划指标表 '!I19</f>
        <v>0</v>
      </c>
      <c r="J19" s="3251"/>
      <c r="K19" s="3247">
        <f>'[7]当期规划指标表 '!K19</f>
        <v>0</v>
      </c>
      <c r="L19" s="3247">
        <f>'[7]当期规划指标表 '!L19</f>
        <v>0</v>
      </c>
      <c r="M19" s="3248">
        <f>'[7]当期规划指标表 '!M19</f>
        <v>0</v>
      </c>
      <c r="N19" s="3247">
        <f>'[7]当期规划指标表 '!N19</f>
        <v>0</v>
      </c>
      <c r="O19" s="3247">
        <f>'[7]当期规划指标表 '!O19</f>
        <v>0</v>
      </c>
      <c r="P19" s="3247">
        <f>'[7]当期规划指标表 '!P19</f>
        <v>0</v>
      </c>
      <c r="Q19" s="3247">
        <f>'[7]当期规划指标表 '!Q19</f>
        <v>0</v>
      </c>
      <c r="R19" s="3247">
        <f>'[7]当期规划指标表 '!R19</f>
        <v>0</v>
      </c>
      <c r="S19" s="3247">
        <f>'[7]当期规划指标表 '!S19</f>
        <v>0</v>
      </c>
      <c r="T19" s="3250" t="s">
        <v>3472</v>
      </c>
      <c r="U19" s="3449"/>
    </row>
    <row r="20" spans="2:22" ht="24">
      <c r="B20" s="3445"/>
      <c r="C20" s="3245" t="s">
        <v>3473</v>
      </c>
      <c r="D20" s="3246">
        <f>'[7]当期规划指标表 '!D20</f>
        <v>0</v>
      </c>
      <c r="E20" s="3246">
        <f>'[7]当期规划指标表 '!E20</f>
        <v>2</v>
      </c>
      <c r="F20" s="3246">
        <f>'[7]当期规划指标表 '!F20</f>
        <v>0</v>
      </c>
      <c r="G20" s="3246">
        <f>'[7]当期规划指标表 '!G20</f>
        <v>0</v>
      </c>
      <c r="H20" s="3246">
        <f>'[7]当期规划指标表 '!H20</f>
        <v>0</v>
      </c>
      <c r="I20" s="3246">
        <f>'[7]当期规划指标表 '!I20</f>
        <v>0</v>
      </c>
      <c r="J20" s="3251"/>
      <c r="K20" s="3247">
        <f>'[7]当期规划指标表 '!K20</f>
        <v>0</v>
      </c>
      <c r="L20" s="3247">
        <f>'[7]当期规划指标表 '!L20</f>
        <v>0</v>
      </c>
      <c r="M20" s="3248">
        <f>'[7]当期规划指标表 '!M20</f>
        <v>0</v>
      </c>
      <c r="N20" s="3247">
        <f>'[7]当期规划指标表 '!N20</f>
        <v>0</v>
      </c>
      <c r="O20" s="3247">
        <f>'[7]当期规划指标表 '!O20</f>
        <v>0</v>
      </c>
      <c r="P20" s="3247">
        <f>'[7]当期规划指标表 '!P20</f>
        <v>0</v>
      </c>
      <c r="Q20" s="3247">
        <f>'[7]当期规划指标表 '!Q20</f>
        <v>0</v>
      </c>
      <c r="R20" s="3247">
        <f>'[7]当期规划指标表 '!R20</f>
        <v>0</v>
      </c>
      <c r="S20" s="3247">
        <f>'[7]当期规划指标表 '!S20</f>
        <v>0</v>
      </c>
      <c r="T20" s="3250" t="s">
        <v>3474</v>
      </c>
      <c r="U20" s="3449"/>
    </row>
    <row r="21" spans="2:22" ht="24">
      <c r="B21" s="3445"/>
      <c r="C21" s="3245" t="s">
        <v>3475</v>
      </c>
      <c r="D21" s="3246">
        <f>'[7]当期规划指标表 '!D21</f>
        <v>0</v>
      </c>
      <c r="E21" s="3246">
        <f>'[7]当期规划指标表 '!E21</f>
        <v>0</v>
      </c>
      <c r="F21" s="3246">
        <f>'[7]当期规划指标表 '!F21</f>
        <v>0</v>
      </c>
      <c r="G21" s="3246">
        <f>'[7]当期规划指标表 '!G21</f>
        <v>0</v>
      </c>
      <c r="H21" s="3246">
        <f>'[7]当期规划指标表 '!H21</f>
        <v>0</v>
      </c>
      <c r="I21" s="3246">
        <f>'[7]当期规划指标表 '!I21</f>
        <v>0</v>
      </c>
      <c r="J21" s="3251"/>
      <c r="K21" s="3247">
        <f>'[7]当期规划指标表 '!K21</f>
        <v>0</v>
      </c>
      <c r="L21" s="3247">
        <f>'[7]当期规划指标表 '!L21</f>
        <v>0</v>
      </c>
      <c r="M21" s="3248">
        <f>'[7]当期规划指标表 '!M21</f>
        <v>0</v>
      </c>
      <c r="N21" s="3247">
        <f>'[7]当期规划指标表 '!N21</f>
        <v>0</v>
      </c>
      <c r="O21" s="3247">
        <f>'[7]当期规划指标表 '!O21</f>
        <v>0</v>
      </c>
      <c r="P21" s="3247">
        <f>'[7]当期规划指标表 '!P21</f>
        <v>0</v>
      </c>
      <c r="Q21" s="3247">
        <f>'[7]当期规划指标表 '!Q21</f>
        <v>0</v>
      </c>
      <c r="R21" s="3247">
        <f>'[7]当期规划指标表 '!R21</f>
        <v>0</v>
      </c>
      <c r="S21" s="3247">
        <f>'[7]当期规划指标表 '!S21</f>
        <v>0</v>
      </c>
      <c r="T21" s="3250" t="s">
        <v>3476</v>
      </c>
      <c r="U21" s="3449"/>
    </row>
    <row r="22" spans="2:22" ht="15" customHeight="1">
      <c r="B22" s="3445"/>
      <c r="C22" s="3252" t="s">
        <v>27</v>
      </c>
      <c r="D22" s="3253">
        <f t="shared" ref="D22:S22" si="1">SUM(D12:D21)</f>
        <v>67358.31</v>
      </c>
      <c r="E22" s="3254">
        <f>'[7]当期规划指标表 '!E22</f>
        <v>2</v>
      </c>
      <c r="F22" s="3253">
        <f t="shared" si="1"/>
        <v>0</v>
      </c>
      <c r="G22" s="3253">
        <f t="shared" si="1"/>
        <v>13578.44</v>
      </c>
      <c r="H22" s="3255">
        <f t="shared" si="1"/>
        <v>125045.5</v>
      </c>
      <c r="I22" s="3255">
        <f t="shared" si="1"/>
        <v>10573.44</v>
      </c>
      <c r="J22" s="3253">
        <f t="shared" si="1"/>
        <v>135618.94</v>
      </c>
      <c r="K22" s="3253">
        <f t="shared" si="1"/>
        <v>135618.94</v>
      </c>
      <c r="L22" s="3253">
        <f t="shared" si="1"/>
        <v>0</v>
      </c>
      <c r="M22" s="3256">
        <f t="shared" si="1"/>
        <v>0.79667826858289204</v>
      </c>
      <c r="N22" s="3253"/>
      <c r="O22" s="3253">
        <f t="shared" si="1"/>
        <v>0</v>
      </c>
      <c r="P22" s="3253">
        <f t="shared" si="1"/>
        <v>0</v>
      </c>
      <c r="Q22" s="3253"/>
      <c r="R22" s="3253"/>
      <c r="S22" s="3253">
        <f t="shared" si="1"/>
        <v>0</v>
      </c>
      <c r="T22" s="3257"/>
      <c r="U22" s="3257"/>
    </row>
    <row r="23" spans="2:22" ht="12">
      <c r="B23" s="3445" t="s">
        <v>3477</v>
      </c>
      <c r="C23" s="3245" t="s">
        <v>3478</v>
      </c>
      <c r="D23" s="3246">
        <f>'[7]当期规划指标表 '!D23</f>
        <v>0</v>
      </c>
      <c r="E23" s="3246">
        <f>'[7]当期规划指标表 '!E23</f>
        <v>0</v>
      </c>
      <c r="F23" s="3246">
        <f>'[7]当期规划指标表 '!F23</f>
        <v>0</v>
      </c>
      <c r="G23" s="3246">
        <f>'[7]当期规划指标表 '!G23</f>
        <v>0</v>
      </c>
      <c r="H23" s="3246">
        <f>'[7]当期规划指标表 '!H23</f>
        <v>0</v>
      </c>
      <c r="I23" s="3246">
        <f>'[7]当期规划指标表 '!I23</f>
        <v>0</v>
      </c>
      <c r="J23" s="3258">
        <f>H23+I23</f>
        <v>0</v>
      </c>
      <c r="K23" s="3258">
        <f>'[7]当期规划指标表 '!K23</f>
        <v>0</v>
      </c>
      <c r="L23" s="3258">
        <f>'[7]当期规划指标表 '!L23</f>
        <v>0</v>
      </c>
      <c r="M23" s="3248">
        <f>K23/$K$47</f>
        <v>0</v>
      </c>
      <c r="N23" s="3259"/>
      <c r="O23" s="3259"/>
      <c r="P23" s="3259"/>
      <c r="Q23" s="3260"/>
      <c r="R23" s="3261"/>
      <c r="S23" s="3235"/>
      <c r="T23" s="3257"/>
      <c r="U23" s="3257"/>
    </row>
    <row r="24" spans="2:22" ht="12">
      <c r="B24" s="3445"/>
      <c r="C24" s="3245" t="s">
        <v>3479</v>
      </c>
      <c r="D24" s="3246">
        <f>'[7]当期规划指标表 '!D24</f>
        <v>0</v>
      </c>
      <c r="E24" s="3246">
        <f>'[7]当期规划指标表 '!E24</f>
        <v>0</v>
      </c>
      <c r="F24" s="3246">
        <f>'[7]当期规划指标表 '!F24</f>
        <v>0</v>
      </c>
      <c r="G24" s="3246">
        <f>'[7]当期规划指标表 '!G24</f>
        <v>0</v>
      </c>
      <c r="H24" s="3246">
        <f>'[7]当期规划指标表 '!H24</f>
        <v>0</v>
      </c>
      <c r="I24" s="3246">
        <f>'[7]当期规划指标表 '!I24</f>
        <v>0</v>
      </c>
      <c r="J24" s="3258">
        <f t="shared" ref="J24:J29" si="2">H24+I24</f>
        <v>0</v>
      </c>
      <c r="K24" s="3258">
        <f>'[7]当期规划指标表 '!K24</f>
        <v>0</v>
      </c>
      <c r="L24" s="3258">
        <f>'[7]当期规划指标表 '!L24</f>
        <v>0</v>
      </c>
      <c r="M24" s="3248">
        <f>K24/$K$47</f>
        <v>0</v>
      </c>
      <c r="N24" s="3259"/>
      <c r="O24" s="3259"/>
      <c r="P24" s="3259"/>
      <c r="Q24" s="3260"/>
      <c r="R24" s="3261"/>
      <c r="S24" s="3235"/>
      <c r="T24" s="3257"/>
      <c r="U24" s="3257"/>
    </row>
    <row r="25" spans="2:22" ht="12">
      <c r="B25" s="3445"/>
      <c r="C25" s="3245" t="s">
        <v>3480</v>
      </c>
      <c r="D25" s="3246">
        <f>'[7]当期规划指标表 '!D25</f>
        <v>0</v>
      </c>
      <c r="E25" s="3246">
        <f>'[7]当期规划指标表 '!E25</f>
        <v>0</v>
      </c>
      <c r="F25" s="3246">
        <f>'[7]当期规划指标表 '!F25</f>
        <v>0</v>
      </c>
      <c r="G25" s="3246">
        <f>'[7]当期规划指标表 '!G25</f>
        <v>0</v>
      </c>
      <c r="H25" s="3246">
        <f>'[7]当期规划指标表 '!H25</f>
        <v>0</v>
      </c>
      <c r="I25" s="3246">
        <f>'[7]当期规划指标表 '!I25</f>
        <v>0</v>
      </c>
      <c r="J25" s="3258">
        <f t="shared" si="2"/>
        <v>0</v>
      </c>
      <c r="K25" s="3258">
        <f>'[7]当期规划指标表 '!K25</f>
        <v>0</v>
      </c>
      <c r="L25" s="3258">
        <f>'[7]当期规划指标表 '!L25</f>
        <v>0</v>
      </c>
      <c r="M25" s="3248">
        <f>K25/$K$47</f>
        <v>0</v>
      </c>
      <c r="N25" s="3259"/>
      <c r="O25" s="3259"/>
      <c r="P25" s="3259"/>
      <c r="Q25" s="3262"/>
      <c r="R25" s="3263"/>
      <c r="S25" s="3235"/>
      <c r="T25" s="3448" t="s">
        <v>3481</v>
      </c>
      <c r="U25" s="3448"/>
    </row>
    <row r="26" spans="2:22" ht="12">
      <c r="B26" s="3445"/>
      <c r="C26" s="3245" t="s">
        <v>3482</v>
      </c>
      <c r="D26" s="3246">
        <f>'[7]当期规划指标表 '!D26</f>
        <v>0</v>
      </c>
      <c r="E26" s="3246">
        <f>'[7]当期规划指标表 '!E26</f>
        <v>0</v>
      </c>
      <c r="F26" s="3246">
        <f>'[7]当期规划指标表 '!F26</f>
        <v>0</v>
      </c>
      <c r="G26" s="3246">
        <f>'[7]当期规划指标表 '!G26</f>
        <v>0</v>
      </c>
      <c r="H26" s="3246">
        <f>'[7]当期规划指标表 '!H26</f>
        <v>0</v>
      </c>
      <c r="I26" s="3246">
        <f>'[7]当期规划指标表 '!I26</f>
        <v>0</v>
      </c>
      <c r="J26" s="3258">
        <f t="shared" si="2"/>
        <v>0</v>
      </c>
      <c r="K26" s="3258">
        <f>'[7]当期规划指标表 '!K26</f>
        <v>0</v>
      </c>
      <c r="L26" s="3258">
        <f>'[7]当期规划指标表 '!L26</f>
        <v>0</v>
      </c>
      <c r="M26" s="3248">
        <f>K26/$K$47</f>
        <v>0</v>
      </c>
      <c r="N26" s="3259"/>
      <c r="O26" s="3259"/>
      <c r="P26" s="3259"/>
      <c r="Q26" s="3259"/>
      <c r="R26" s="3263"/>
      <c r="S26" s="3235"/>
      <c r="T26" s="3448" t="s">
        <v>3483</v>
      </c>
      <c r="U26" s="3448"/>
    </row>
    <row r="27" spans="2:22" ht="15" customHeight="1" thickBot="1">
      <c r="B27" s="3450"/>
      <c r="C27" s="3264" t="s">
        <v>27</v>
      </c>
      <c r="D27" s="3265">
        <f t="shared" ref="D27:M27" si="3">SUM(D23:D26)</f>
        <v>0</v>
      </c>
      <c r="E27" s="3266"/>
      <c r="F27" s="3265">
        <f t="shared" si="3"/>
        <v>0</v>
      </c>
      <c r="G27" s="3265">
        <f t="shared" si="3"/>
        <v>0</v>
      </c>
      <c r="H27" s="3267">
        <f t="shared" si="3"/>
        <v>0</v>
      </c>
      <c r="I27" s="3267">
        <f t="shared" si="3"/>
        <v>0</v>
      </c>
      <c r="J27" s="3265">
        <f t="shared" si="3"/>
        <v>0</v>
      </c>
      <c r="K27" s="3265">
        <f t="shared" si="3"/>
        <v>0</v>
      </c>
      <c r="L27" s="3265">
        <f t="shared" si="3"/>
        <v>0</v>
      </c>
      <c r="M27" s="3268">
        <f t="shared" si="3"/>
        <v>0</v>
      </c>
      <c r="N27" s="3269"/>
      <c r="O27" s="3269"/>
      <c r="P27" s="3269"/>
      <c r="Q27" s="3269"/>
      <c r="R27" s="3270"/>
      <c r="S27" s="3271"/>
      <c r="T27" s="3272"/>
      <c r="U27" s="3272"/>
    </row>
    <row r="28" spans="2:22" ht="15" customHeight="1">
      <c r="B28" s="3451" t="s">
        <v>3484</v>
      </c>
      <c r="C28" s="3273" t="s">
        <v>3485</v>
      </c>
      <c r="D28" s="3274"/>
      <c r="E28" s="3262"/>
      <c r="F28" s="3258"/>
      <c r="G28" s="3258"/>
      <c r="H28" s="3258"/>
      <c r="I28" s="3258"/>
      <c r="J28" s="3258"/>
      <c r="K28" s="3274"/>
      <c r="L28" s="3274"/>
      <c r="M28" s="3452" t="s">
        <v>3486</v>
      </c>
      <c r="N28" s="3453" t="s">
        <v>3487</v>
      </c>
      <c r="O28" s="3453"/>
      <c r="P28" s="3453"/>
      <c r="Q28" s="3453"/>
      <c r="R28" s="3454"/>
      <c r="S28" s="3275"/>
      <c r="T28" s="3275"/>
      <c r="U28" s="3275"/>
      <c r="V28" s="3275"/>
    </row>
    <row r="29" spans="2:22" ht="15" customHeight="1">
      <c r="B29" s="3451"/>
      <c r="C29" s="3276" t="s">
        <v>3488</v>
      </c>
      <c r="D29" s="3274">
        <v>578.55999999999995</v>
      </c>
      <c r="E29" s="3262"/>
      <c r="F29" s="3258"/>
      <c r="G29" s="3258">
        <f>D29</f>
        <v>578.55999999999995</v>
      </c>
      <c r="H29" s="3258">
        <v>1730</v>
      </c>
      <c r="I29" s="3258"/>
      <c r="J29" s="3258">
        <f t="shared" si="2"/>
        <v>1730</v>
      </c>
      <c r="K29" s="3274"/>
      <c r="L29" s="3274"/>
      <c r="M29" s="3452"/>
      <c r="N29" s="3453" t="s">
        <v>3487</v>
      </c>
      <c r="O29" s="3453"/>
      <c r="P29" s="3453"/>
      <c r="Q29" s="3453"/>
      <c r="R29" s="3454"/>
      <c r="S29" s="3455"/>
      <c r="T29" s="3455"/>
      <c r="U29" s="3455"/>
      <c r="V29" s="3455"/>
    </row>
    <row r="30" spans="2:22" ht="15" customHeight="1">
      <c r="B30" s="3451"/>
      <c r="C30" s="3276" t="s">
        <v>3489</v>
      </c>
      <c r="D30" s="3274"/>
      <c r="E30" s="3262"/>
      <c r="F30" s="3258"/>
      <c r="G30" s="3258"/>
      <c r="H30" s="3258"/>
      <c r="I30" s="3258"/>
      <c r="J30" s="3258"/>
      <c r="K30" s="3274"/>
      <c r="L30" s="3274"/>
      <c r="M30" s="3452"/>
      <c r="N30" s="3453" t="s">
        <v>3487</v>
      </c>
      <c r="O30" s="3453"/>
      <c r="P30" s="3453"/>
      <c r="Q30" s="3453"/>
      <c r="R30" s="3454"/>
      <c r="S30" s="3455"/>
      <c r="T30" s="3455"/>
      <c r="U30" s="3455"/>
      <c r="V30" s="3455"/>
    </row>
    <row r="31" spans="2:22" ht="15" customHeight="1">
      <c r="B31" s="3451"/>
      <c r="C31" s="3276" t="s">
        <v>3490</v>
      </c>
      <c r="D31" s="3274"/>
      <c r="E31" s="3262"/>
      <c r="F31" s="3258"/>
      <c r="G31" s="3258"/>
      <c r="H31" s="3258"/>
      <c r="I31" s="3258"/>
      <c r="J31" s="3258"/>
      <c r="K31" s="3274"/>
      <c r="L31" s="3274"/>
      <c r="M31" s="3452"/>
      <c r="N31" s="3453" t="s">
        <v>3491</v>
      </c>
      <c r="O31" s="3453"/>
      <c r="P31" s="3453"/>
      <c r="Q31" s="3453"/>
      <c r="R31" s="3454"/>
      <c r="S31" s="3459"/>
      <c r="T31" s="3459"/>
      <c r="U31" s="3459"/>
      <c r="V31" s="3459"/>
    </row>
    <row r="32" spans="2:22" ht="15" customHeight="1">
      <c r="B32" s="3451"/>
      <c r="C32" s="3276" t="s">
        <v>3492</v>
      </c>
      <c r="D32" s="3274"/>
      <c r="E32" s="3262"/>
      <c r="F32" s="3258"/>
      <c r="G32" s="3258"/>
      <c r="H32" s="3258"/>
      <c r="I32" s="3258"/>
      <c r="J32" s="3258"/>
      <c r="K32" s="3274"/>
      <c r="L32" s="3274"/>
      <c r="M32" s="3452"/>
      <c r="N32" s="3453" t="s">
        <v>3491</v>
      </c>
      <c r="O32" s="3453"/>
      <c r="P32" s="3453"/>
      <c r="Q32" s="3453"/>
      <c r="R32" s="3454"/>
      <c r="S32" s="3277"/>
      <c r="T32" s="3277"/>
      <c r="U32" s="3277"/>
      <c r="V32" s="3277"/>
    </row>
    <row r="33" spans="2:22" ht="15" customHeight="1">
      <c r="B33" s="3451"/>
      <c r="C33" s="3273" t="s">
        <v>3493</v>
      </c>
      <c r="D33" s="3274">
        <v>795.18</v>
      </c>
      <c r="E33" s="3262"/>
      <c r="F33" s="3258"/>
      <c r="G33" s="3258">
        <f>D33</f>
        <v>795.18</v>
      </c>
      <c r="H33" s="3258">
        <v>2340</v>
      </c>
      <c r="I33" s="3258"/>
      <c r="J33" s="3258">
        <f>H33+I33</f>
        <v>2340</v>
      </c>
      <c r="K33" s="3274"/>
      <c r="L33" s="3274"/>
      <c r="M33" s="3452"/>
      <c r="N33" s="3453" t="s">
        <v>3487</v>
      </c>
      <c r="O33" s="3453"/>
      <c r="P33" s="3453"/>
      <c r="Q33" s="3453"/>
      <c r="R33" s="3454"/>
      <c r="S33" s="3459"/>
      <c r="T33" s="3459"/>
      <c r="U33" s="3459"/>
      <c r="V33" s="3459"/>
    </row>
    <row r="34" spans="2:22" ht="15" customHeight="1">
      <c r="B34" s="3451"/>
      <c r="C34" s="3273" t="s">
        <v>3494</v>
      </c>
      <c r="D34" s="3274"/>
      <c r="E34" s="3262"/>
      <c r="F34" s="3258"/>
      <c r="G34" s="3258"/>
      <c r="H34" s="3258"/>
      <c r="I34" s="3258"/>
      <c r="J34" s="3258"/>
      <c r="K34" s="3274"/>
      <c r="L34" s="3274"/>
      <c r="M34" s="3452"/>
      <c r="N34" s="3453" t="s">
        <v>3487</v>
      </c>
      <c r="O34" s="3453"/>
      <c r="P34" s="3453"/>
      <c r="Q34" s="3453"/>
      <c r="R34" s="3454"/>
      <c r="S34" s="3459"/>
      <c r="T34" s="3459"/>
      <c r="U34" s="3459"/>
      <c r="V34" s="3459"/>
    </row>
    <row r="35" spans="2:22" ht="15" customHeight="1">
      <c r="B35" s="3451"/>
      <c r="C35" s="3278" t="s">
        <v>3495</v>
      </c>
      <c r="D35" s="3274"/>
      <c r="E35" s="3262"/>
      <c r="F35" s="3258"/>
      <c r="G35" s="3258"/>
      <c r="H35" s="3258"/>
      <c r="I35" s="3258"/>
      <c r="J35" s="3258"/>
      <c r="K35" s="3274"/>
      <c r="L35" s="3274"/>
      <c r="M35" s="3452"/>
      <c r="N35" s="3453" t="s">
        <v>3491</v>
      </c>
      <c r="O35" s="3453"/>
      <c r="P35" s="3453"/>
      <c r="Q35" s="3453"/>
      <c r="R35" s="3454"/>
      <c r="S35" s="3459"/>
      <c r="T35" s="3459"/>
      <c r="U35" s="3459"/>
      <c r="V35" s="3459"/>
    </row>
    <row r="36" spans="2:22" ht="15" customHeight="1">
      <c r="B36" s="3451"/>
      <c r="C36" s="3278" t="s">
        <v>3496</v>
      </c>
      <c r="D36" s="3274"/>
      <c r="E36" s="3262"/>
      <c r="F36" s="3258"/>
      <c r="G36" s="3258"/>
      <c r="H36" s="3258"/>
      <c r="I36" s="3258"/>
      <c r="J36" s="3258"/>
      <c r="K36" s="3274"/>
      <c r="L36" s="3274"/>
      <c r="M36" s="3452"/>
      <c r="N36" s="3453" t="s">
        <v>3491</v>
      </c>
      <c r="O36" s="3453"/>
      <c r="P36" s="3453"/>
      <c r="Q36" s="3453"/>
      <c r="R36" s="3454"/>
      <c r="S36" s="3459"/>
      <c r="T36" s="3459"/>
      <c r="U36" s="3459"/>
      <c r="V36" s="3459"/>
    </row>
    <row r="37" spans="2:22" ht="15" customHeight="1">
      <c r="B37" s="3451"/>
      <c r="C37" s="3279" t="s">
        <v>3497</v>
      </c>
      <c r="D37" s="3274"/>
      <c r="E37" s="3262"/>
      <c r="F37" s="3258"/>
      <c r="G37" s="3258"/>
      <c r="H37" s="3258"/>
      <c r="I37" s="3258"/>
      <c r="J37" s="3258"/>
      <c r="K37" s="3274"/>
      <c r="L37" s="3274"/>
      <c r="M37" s="3452"/>
      <c r="N37" s="3456"/>
      <c r="O37" s="3457"/>
      <c r="P37" s="3457"/>
      <c r="Q37" s="3457"/>
      <c r="R37" s="3458"/>
      <c r="S37" s="3277"/>
      <c r="T37" s="3277"/>
      <c r="U37" s="3277"/>
      <c r="V37" s="3277"/>
    </row>
    <row r="38" spans="2:22" ht="15" customHeight="1">
      <c r="B38" s="3451"/>
      <c r="C38" s="3279" t="s">
        <v>3498</v>
      </c>
      <c r="D38" s="3274"/>
      <c r="E38" s="3262"/>
      <c r="F38" s="3258"/>
      <c r="G38" s="3258"/>
      <c r="H38" s="3258"/>
      <c r="I38" s="3258"/>
      <c r="J38" s="3258"/>
      <c r="K38" s="3274"/>
      <c r="L38" s="3274"/>
      <c r="M38" s="3452"/>
      <c r="N38" s="3456"/>
      <c r="O38" s="3457"/>
      <c r="P38" s="3457"/>
      <c r="Q38" s="3457"/>
      <c r="R38" s="3458"/>
      <c r="S38" s="3277"/>
      <c r="T38" s="3277"/>
      <c r="U38" s="3277"/>
      <c r="V38" s="3277"/>
    </row>
    <row r="39" spans="2:22" ht="15" customHeight="1">
      <c r="B39" s="3451"/>
      <c r="C39" s="3252" t="s">
        <v>27</v>
      </c>
      <c r="D39" s="3253">
        <f>SUM(D28:D36)</f>
        <v>1373.7399999999998</v>
      </c>
      <c r="E39" s="3254"/>
      <c r="F39" s="3253">
        <f t="shared" ref="F39:L39" si="4">SUM(F28:F36)</f>
        <v>0</v>
      </c>
      <c r="G39" s="3253">
        <f t="shared" si="4"/>
        <v>1373.7399999999998</v>
      </c>
      <c r="H39" s="3255">
        <f t="shared" si="4"/>
        <v>4070</v>
      </c>
      <c r="I39" s="3255">
        <f t="shared" si="4"/>
        <v>0</v>
      </c>
      <c r="J39" s="3255">
        <f t="shared" si="4"/>
        <v>4070</v>
      </c>
      <c r="K39" s="3253">
        <f t="shared" si="4"/>
        <v>0</v>
      </c>
      <c r="L39" s="3253">
        <f t="shared" si="4"/>
        <v>0</v>
      </c>
      <c r="M39" s="3452"/>
      <c r="N39" s="3460"/>
      <c r="O39" s="3460"/>
      <c r="P39" s="3460"/>
      <c r="Q39" s="3460"/>
      <c r="R39" s="3461"/>
      <c r="S39" s="3459"/>
      <c r="T39" s="3459"/>
      <c r="U39" s="3459"/>
      <c r="V39" s="3459"/>
    </row>
    <row r="40" spans="2:22" ht="22.5">
      <c r="B40" s="3451" t="s">
        <v>3499</v>
      </c>
      <c r="C40" s="3280"/>
      <c r="D40" s="3280"/>
      <c r="E40" s="3281" t="s">
        <v>3500</v>
      </c>
      <c r="F40" s="3281" t="s">
        <v>3501</v>
      </c>
      <c r="G40" s="3282"/>
      <c r="H40" s="3282"/>
      <c r="I40" s="3282"/>
      <c r="J40" s="3282" t="s">
        <v>2942</v>
      </c>
      <c r="K40" s="3282" t="s">
        <v>3447</v>
      </c>
      <c r="L40" s="3282" t="s">
        <v>3448</v>
      </c>
      <c r="M40" s="3452"/>
      <c r="N40" s="3453" t="s">
        <v>3487</v>
      </c>
      <c r="O40" s="3453"/>
      <c r="P40" s="3453"/>
      <c r="Q40" s="3453"/>
      <c r="R40" s="3454"/>
      <c r="S40" s="3462"/>
      <c r="T40" s="3462"/>
      <c r="U40" s="3462"/>
      <c r="V40" s="3462"/>
    </row>
    <row r="41" spans="2:22" ht="15" customHeight="1">
      <c r="B41" s="3451"/>
      <c r="C41" s="3283" t="s">
        <v>3502</v>
      </c>
      <c r="D41" s="3284"/>
      <c r="E41" s="3285"/>
      <c r="F41" s="3284"/>
      <c r="G41" s="3286"/>
      <c r="H41" s="3286"/>
      <c r="I41" s="3286"/>
      <c r="J41" s="3284"/>
      <c r="K41" s="3284"/>
      <c r="L41" s="3258"/>
      <c r="M41" s="3452"/>
      <c r="N41" s="3453" t="s">
        <v>3487</v>
      </c>
      <c r="O41" s="3453"/>
      <c r="P41" s="3453"/>
      <c r="Q41" s="3453"/>
      <c r="R41" s="3454"/>
      <c r="S41" s="3459"/>
      <c r="T41" s="3459"/>
      <c r="U41" s="3459"/>
      <c r="V41" s="3459"/>
    </row>
    <row r="42" spans="2:22" ht="15" customHeight="1">
      <c r="B42" s="3451"/>
      <c r="C42" s="3283" t="s">
        <v>3503</v>
      </c>
      <c r="D42" s="3284"/>
      <c r="E42" s="3285"/>
      <c r="F42" s="3284"/>
      <c r="G42" s="3286"/>
      <c r="H42" s="3286"/>
      <c r="I42" s="3286">
        <v>13550</v>
      </c>
      <c r="J42" s="3284">
        <f t="shared" ref="J42:J45" si="5">I42</f>
        <v>13550</v>
      </c>
      <c r="K42" s="3284"/>
      <c r="L42" s="3258"/>
      <c r="M42" s="3452"/>
      <c r="N42" s="3456"/>
      <c r="O42" s="3457"/>
      <c r="P42" s="3457"/>
      <c r="Q42" s="3457"/>
      <c r="R42" s="3458"/>
      <c r="S42" s="3277"/>
      <c r="T42" s="3277"/>
      <c r="U42" s="3277"/>
      <c r="V42" s="3277"/>
    </row>
    <row r="43" spans="2:22" ht="15" customHeight="1">
      <c r="B43" s="3451"/>
      <c r="C43" s="3283" t="s">
        <v>35</v>
      </c>
      <c r="D43" s="3284"/>
      <c r="E43" s="3285">
        <v>1199</v>
      </c>
      <c r="F43" s="3285"/>
      <c r="G43" s="3285"/>
      <c r="H43" s="3285"/>
      <c r="I43" s="3285"/>
      <c r="J43" s="3285">
        <f>J44+J45</f>
        <v>28450</v>
      </c>
      <c r="K43" s="3285">
        <f>K44</f>
        <v>28450</v>
      </c>
      <c r="L43" s="3284"/>
      <c r="M43" s="3452"/>
      <c r="N43" s="3453" t="s">
        <v>3487</v>
      </c>
      <c r="O43" s="3453"/>
      <c r="P43" s="3453"/>
      <c r="Q43" s="3453"/>
      <c r="R43" s="3454"/>
      <c r="S43" s="3459"/>
      <c r="T43" s="3459"/>
      <c r="U43" s="3459"/>
      <c r="V43" s="3459"/>
    </row>
    <row r="44" spans="2:22" ht="15" customHeight="1">
      <c r="B44" s="3451"/>
      <c r="C44" s="3287" t="s">
        <v>3504</v>
      </c>
      <c r="D44" s="3284"/>
      <c r="E44" s="3260">
        <v>658</v>
      </c>
      <c r="F44" s="3258">
        <v>23.728000000000002</v>
      </c>
      <c r="G44" s="3262">
        <f>I44</f>
        <v>15605</v>
      </c>
      <c r="H44" s="3262"/>
      <c r="I44" s="3262">
        <v>15605</v>
      </c>
      <c r="J44" s="3258">
        <f t="shared" si="5"/>
        <v>15605</v>
      </c>
      <c r="K44" s="3465">
        <f>J44+J45</f>
        <v>28450</v>
      </c>
      <c r="L44" s="3258"/>
      <c r="M44" s="3452"/>
      <c r="N44" s="3453" t="s">
        <v>3487</v>
      </c>
      <c r="O44" s="3453"/>
      <c r="P44" s="3453"/>
      <c r="Q44" s="3453"/>
      <c r="R44" s="3454"/>
      <c r="S44" s="3459"/>
      <c r="T44" s="3459"/>
      <c r="U44" s="3459"/>
      <c r="V44" s="3459"/>
    </row>
    <row r="45" spans="2:22" ht="15" customHeight="1">
      <c r="B45" s="3451"/>
      <c r="C45" s="3287" t="s">
        <v>3505</v>
      </c>
      <c r="D45" s="3284"/>
      <c r="E45" s="3260">
        <v>541</v>
      </c>
      <c r="F45" s="3258">
        <v>23.728000000000002</v>
      </c>
      <c r="G45" s="3262">
        <f>I45</f>
        <v>12845</v>
      </c>
      <c r="H45" s="3262"/>
      <c r="I45" s="3262">
        <v>12845</v>
      </c>
      <c r="J45" s="3258">
        <f t="shared" si="5"/>
        <v>12845</v>
      </c>
      <c r="K45" s="3466"/>
      <c r="L45" s="3258"/>
      <c r="M45" s="3452"/>
      <c r="N45" s="3453" t="s">
        <v>3487</v>
      </c>
      <c r="O45" s="3453"/>
      <c r="P45" s="3453"/>
      <c r="Q45" s="3453"/>
      <c r="R45" s="3454"/>
      <c r="S45" s="3462"/>
      <c r="T45" s="3462"/>
      <c r="U45" s="3462"/>
      <c r="V45" s="3462"/>
    </row>
    <row r="46" spans="2:22" ht="15" customHeight="1">
      <c r="B46" s="3451"/>
      <c r="C46" s="3288" t="s">
        <v>27</v>
      </c>
      <c r="D46" s="3289"/>
      <c r="E46" s="3290">
        <f>E41+E43</f>
        <v>1199</v>
      </c>
      <c r="F46" s="3290"/>
      <c r="G46" s="3290"/>
      <c r="H46" s="3290"/>
      <c r="I46" s="3290"/>
      <c r="J46" s="3290">
        <f>J43+J42</f>
        <v>42000</v>
      </c>
      <c r="K46" s="3291">
        <f>K43</f>
        <v>28450</v>
      </c>
      <c r="L46" s="3290"/>
      <c r="M46" s="3256">
        <f>(K46+L46)/(K47+L47)</f>
        <v>0.17340271717486563</v>
      </c>
      <c r="N46" s="3460"/>
      <c r="O46" s="3460"/>
      <c r="P46" s="3460"/>
      <c r="Q46" s="3460"/>
      <c r="R46" s="3461"/>
    </row>
    <row r="47" spans="2:22" ht="15" customHeight="1" thickBot="1">
      <c r="B47" s="3292" t="s">
        <v>24</v>
      </c>
      <c r="C47" s="3293"/>
      <c r="D47" s="3294">
        <f>D22++D27+D39+D46</f>
        <v>68732.05</v>
      </c>
      <c r="E47" s="3294"/>
      <c r="F47" s="3294">
        <f t="shared" ref="F47:L47" si="6">F22++F27+F39+F46</f>
        <v>0</v>
      </c>
      <c r="G47" s="3294">
        <f t="shared" si="6"/>
        <v>14952.18</v>
      </c>
      <c r="H47" s="3295">
        <f t="shared" si="6"/>
        <v>129115.5</v>
      </c>
      <c r="I47" s="3295">
        <f t="shared" si="6"/>
        <v>10573.44</v>
      </c>
      <c r="J47" s="3294">
        <f t="shared" si="6"/>
        <v>181688.94</v>
      </c>
      <c r="K47" s="3294">
        <f t="shared" si="6"/>
        <v>164068.94</v>
      </c>
      <c r="L47" s="3294">
        <f t="shared" si="6"/>
        <v>0</v>
      </c>
      <c r="M47" s="3296">
        <f>M46+M27+M22</f>
        <v>0.9700809857577577</v>
      </c>
      <c r="N47" s="3463"/>
      <c r="O47" s="3463"/>
      <c r="P47" s="3463"/>
      <c r="Q47" s="3463"/>
      <c r="R47" s="3464"/>
    </row>
    <row r="48" spans="2:22">
      <c r="K48" s="3297"/>
    </row>
    <row r="49" spans="4:12">
      <c r="D49" s="3225"/>
      <c r="F49" s="3225"/>
      <c r="G49" s="3225"/>
      <c r="H49" s="3225"/>
      <c r="I49" s="3225"/>
      <c r="J49" s="3225"/>
      <c r="K49" s="3225"/>
      <c r="L49" s="3225"/>
    </row>
    <row r="51" spans="4:12">
      <c r="D51" s="3225"/>
    </row>
  </sheetData>
  <sheetProtection algorithmName="SHA-512" hashValue="wOWFi9iApMpZ3IXlsRV/KsOcW8sfgQPubppHw99PT7gjqX7ED8P0zPXy/+TN3d4pb90jy0O+0AAVBydRxWL1Dw==" saltValue="LbCwzlT5uJdI4StffuD9Vg==" spinCount="100000" sheet="1" objects="1" scenarios="1" formatCells="0" formatColumns="0" formatRows="0" insertHyperlinks="0" sort="0" autoFilter="0" pivotTables="0"/>
  <protectedRanges>
    <protectedRange sqref="I8 B22:V22 B11:G11 J11:V11 B2:H10 K2:V10 I2:J7 I9:J10 N12:V21 B27:V40 N23:V26 B47:V47 B41:B46 M41:V46 B12:L21 B23:L26" name="区域1" securityDescriptor=""/>
    <protectedRange sqref="H11:I11" name="区域1_2" securityDescriptor=""/>
    <protectedRange sqref="M12:M21 M23:M26" name="区域1_3" securityDescriptor=""/>
    <protectedRange sqref="C41:L41 C43:L46" name="区域1_5" securityDescriptor=""/>
    <protectedRange sqref="C42:L42" name="区域1_1" securityDescriptor=""/>
    <protectedRange sqref="D28:H37" name="区域1_4" securityDescriptor=""/>
    <protectedRange sqref="J28" name="区域1_6" securityDescriptor=""/>
    <protectedRange sqref="S56" name="区域1_7" securityDescriptor=""/>
    <protectedRange sqref="AB85" name="区域1_8" securityDescriptor=""/>
    <protectedRange sqref="AK115" name="区域1_9" securityDescriptor=""/>
    <protectedRange sqref="AT146" name="区域1_10" securityDescriptor=""/>
    <protectedRange sqref="BC178" name="区域1_11" securityDescriptor=""/>
    <protectedRange sqref="BL211" name="区域1_12" securityDescriptor=""/>
    <protectedRange sqref="BU245" name="区域1_13" securityDescriptor=""/>
    <protectedRange sqref="CD280" name="区域1_14" securityDescriptor=""/>
    <protectedRange sqref="CM316" name="区域1_15" securityDescriptor=""/>
    <protectedRange sqref="CV353" name="区域1_16" securityDescriptor=""/>
    <protectedRange sqref="D41:K46" name="区域1_17" securityDescriptor=""/>
    <protectedRange sqref="D28:L38" name="区域1_18" securityDescriptor=""/>
    <protectedRange sqref="D41:K45" name="区域1_19" securityDescriptor=""/>
  </protectedRanges>
  <mergeCells count="79">
    <mergeCell ref="N47:R47"/>
    <mergeCell ref="K44:K45"/>
    <mergeCell ref="N44:R44"/>
    <mergeCell ref="S44:V44"/>
    <mergeCell ref="N45:R45"/>
    <mergeCell ref="S45:V45"/>
    <mergeCell ref="N46:R46"/>
    <mergeCell ref="N37:R37"/>
    <mergeCell ref="N39:R39"/>
    <mergeCell ref="S39:V39"/>
    <mergeCell ref="B40:B46"/>
    <mergeCell ref="N40:R40"/>
    <mergeCell ref="S40:V40"/>
    <mergeCell ref="N41:R41"/>
    <mergeCell ref="S41:V41"/>
    <mergeCell ref="N42:R42"/>
    <mergeCell ref="N43:R43"/>
    <mergeCell ref="S43:V43"/>
    <mergeCell ref="N34:R34"/>
    <mergeCell ref="S34:V34"/>
    <mergeCell ref="N35:R35"/>
    <mergeCell ref="S35:V35"/>
    <mergeCell ref="N36:R36"/>
    <mergeCell ref="S36:V36"/>
    <mergeCell ref="B23:B27"/>
    <mergeCell ref="T25:U25"/>
    <mergeCell ref="T26:U26"/>
    <mergeCell ref="B28:B39"/>
    <mergeCell ref="M28:M45"/>
    <mergeCell ref="N28:R28"/>
    <mergeCell ref="N29:R29"/>
    <mergeCell ref="S29:V29"/>
    <mergeCell ref="N30:R30"/>
    <mergeCell ref="S30:V30"/>
    <mergeCell ref="N38:R38"/>
    <mergeCell ref="N31:R31"/>
    <mergeCell ref="S31:V31"/>
    <mergeCell ref="N32:R32"/>
    <mergeCell ref="N33:R33"/>
    <mergeCell ref="S33:V33"/>
    <mergeCell ref="B10:Q10"/>
    <mergeCell ref="B11:C11"/>
    <mergeCell ref="T11:U11"/>
    <mergeCell ref="B12:B22"/>
    <mergeCell ref="T12:U12"/>
    <mergeCell ref="T13:U13"/>
    <mergeCell ref="T14:U14"/>
    <mergeCell ref="U15:U21"/>
    <mergeCell ref="S8:T8"/>
    <mergeCell ref="B9:C9"/>
    <mergeCell ref="E9:F9"/>
    <mergeCell ref="G9:H9"/>
    <mergeCell ref="I9:J9"/>
    <mergeCell ref="M9:N9"/>
    <mergeCell ref="O9:P9"/>
    <mergeCell ref="G8:H8"/>
    <mergeCell ref="I8:J8"/>
    <mergeCell ref="B7:C7"/>
    <mergeCell ref="D7:E7"/>
    <mergeCell ref="F7:J7"/>
    <mergeCell ref="K7:L7"/>
    <mergeCell ref="M7:N7"/>
    <mergeCell ref="D5:E5"/>
    <mergeCell ref="G5:J5"/>
    <mergeCell ref="K5:M5"/>
    <mergeCell ref="O5:P5"/>
    <mergeCell ref="D6:E6"/>
    <mergeCell ref="F6:J6"/>
    <mergeCell ref="K6:L6"/>
    <mergeCell ref="M6:N6"/>
    <mergeCell ref="D4:E4"/>
    <mergeCell ref="G4:J4"/>
    <mergeCell ref="K4:M4"/>
    <mergeCell ref="O4:Q4"/>
    <mergeCell ref="B2:Q2"/>
    <mergeCell ref="D3:E3"/>
    <mergeCell ref="G3:J3"/>
    <mergeCell ref="L3:M3"/>
    <mergeCell ref="P3:Q3"/>
  </mergeCells>
  <phoneticPr fontId="233" type="noConversion"/>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B2:WWA67"/>
  <sheetViews>
    <sheetView workbookViewId="0">
      <selection activeCell="K5" sqref="K5:M5"/>
    </sheetView>
  </sheetViews>
  <sheetFormatPr defaultColWidth="9" defaultRowHeight="11.25"/>
  <cols>
    <col min="1" max="1" width="2.5" style="3219" customWidth="1"/>
    <col min="2" max="2" width="4" style="3219" customWidth="1"/>
    <col min="3" max="3" width="16.25" style="3219" customWidth="1"/>
    <col min="4" max="4" width="12.375" style="3219" customWidth="1"/>
    <col min="5" max="5" width="7.75" style="3219" customWidth="1"/>
    <col min="6" max="6" width="6.25" style="3219" customWidth="1"/>
    <col min="7" max="7" width="11.625" style="3219" customWidth="1"/>
    <col min="8" max="9" width="10.5" style="3219" customWidth="1"/>
    <col min="10" max="10" width="11.125" style="3219" customWidth="1"/>
    <col min="11" max="11" width="10.875" style="3219" customWidth="1"/>
    <col min="12" max="12" width="11.125" style="3219" customWidth="1"/>
    <col min="13" max="13" width="7.625" style="3219" customWidth="1"/>
    <col min="14" max="14" width="9.125" style="3219" customWidth="1"/>
    <col min="15" max="15" width="10.875" style="3219" customWidth="1"/>
    <col min="16" max="16" width="6.875" style="3219" customWidth="1"/>
    <col min="17" max="17" width="8" style="3219" customWidth="1"/>
    <col min="18" max="18" width="8.5" style="3219" customWidth="1"/>
    <col min="19" max="19" width="11.5" style="3219" customWidth="1"/>
    <col min="20" max="20" width="17.625" style="3219" customWidth="1"/>
    <col min="21" max="21" width="9.5" style="3219" customWidth="1"/>
    <col min="22" max="257" width="9" style="3219"/>
    <col min="258" max="258" width="2.5" style="3219" customWidth="1"/>
    <col min="259" max="259" width="4" style="3219" customWidth="1"/>
    <col min="260" max="260" width="16.25" style="3219" customWidth="1"/>
    <col min="261" max="261" width="8.25" style="3219" customWidth="1"/>
    <col min="262" max="262" width="6.375" style="3219" customWidth="1"/>
    <col min="263" max="263" width="5.75" style="3219" customWidth="1"/>
    <col min="264" max="264" width="8" style="3219" customWidth="1"/>
    <col min="265" max="265" width="11.125" style="3219" customWidth="1"/>
    <col min="266" max="266" width="10.875" style="3219" customWidth="1"/>
    <col min="267" max="267" width="7.75" style="3219" customWidth="1"/>
    <col min="268" max="268" width="5.625" style="3219" customWidth="1"/>
    <col min="269" max="269" width="7.5" style="3219" customWidth="1"/>
    <col min="270" max="270" width="10.875" style="3219" customWidth="1"/>
    <col min="271" max="271" width="6.375" style="3219" customWidth="1"/>
    <col min="272" max="272" width="8" style="3219" customWidth="1"/>
    <col min="273" max="273" width="8.25" style="3219" customWidth="1"/>
    <col min="274" max="274" width="7.5" style="3219" customWidth="1"/>
    <col min="275" max="275" width="9" style="3219" hidden="1" customWidth="1"/>
    <col min="276" max="276" width="20.25" style="3219" customWidth="1"/>
    <col min="277" max="277" width="9.375" style="3219" customWidth="1"/>
    <col min="278" max="513" width="9" style="3219"/>
    <col min="514" max="514" width="2.5" style="3219" customWidth="1"/>
    <col min="515" max="515" width="4" style="3219" customWidth="1"/>
    <col min="516" max="516" width="16.25" style="3219" customWidth="1"/>
    <col min="517" max="517" width="8.25" style="3219" customWidth="1"/>
    <col min="518" max="518" width="6.375" style="3219" customWidth="1"/>
    <col min="519" max="519" width="5.75" style="3219" customWidth="1"/>
    <col min="520" max="520" width="8" style="3219" customWidth="1"/>
    <col min="521" max="521" width="11.125" style="3219" customWidth="1"/>
    <col min="522" max="522" width="10.875" style="3219" customWidth="1"/>
    <col min="523" max="523" width="7.75" style="3219" customWidth="1"/>
    <col min="524" max="524" width="5.625" style="3219" customWidth="1"/>
    <col min="525" max="525" width="7.5" style="3219" customWidth="1"/>
    <col min="526" max="526" width="10.875" style="3219" customWidth="1"/>
    <col min="527" max="527" width="6.375" style="3219" customWidth="1"/>
    <col min="528" max="528" width="8" style="3219" customWidth="1"/>
    <col min="529" max="529" width="8.25" style="3219" customWidth="1"/>
    <col min="530" max="530" width="7.5" style="3219" customWidth="1"/>
    <col min="531" max="531" width="9" style="3219" hidden="1" customWidth="1"/>
    <col min="532" max="532" width="20.25" style="3219" customWidth="1"/>
    <col min="533" max="533" width="9.375" style="3219" customWidth="1"/>
    <col min="534" max="769" width="9" style="3219"/>
    <col min="770" max="770" width="2.5" style="3219" customWidth="1"/>
    <col min="771" max="771" width="4" style="3219" customWidth="1"/>
    <col min="772" max="772" width="16.25" style="3219" customWidth="1"/>
    <col min="773" max="773" width="8.25" style="3219" customWidth="1"/>
    <col min="774" max="774" width="6.375" style="3219" customWidth="1"/>
    <col min="775" max="775" width="5.75" style="3219" customWidth="1"/>
    <col min="776" max="776" width="8" style="3219" customWidth="1"/>
    <col min="777" max="777" width="11.125" style="3219" customWidth="1"/>
    <col min="778" max="778" width="10.875" style="3219" customWidth="1"/>
    <col min="779" max="779" width="7.75" style="3219" customWidth="1"/>
    <col min="780" max="780" width="5.625" style="3219" customWidth="1"/>
    <col min="781" max="781" width="7.5" style="3219" customWidth="1"/>
    <col min="782" max="782" width="10.875" style="3219" customWidth="1"/>
    <col min="783" max="783" width="6.375" style="3219" customWidth="1"/>
    <col min="784" max="784" width="8" style="3219" customWidth="1"/>
    <col min="785" max="785" width="8.25" style="3219" customWidth="1"/>
    <col min="786" max="786" width="7.5" style="3219" customWidth="1"/>
    <col min="787" max="787" width="9" style="3219" hidden="1" customWidth="1"/>
    <col min="788" max="788" width="20.25" style="3219" customWidth="1"/>
    <col min="789" max="789" width="9.375" style="3219" customWidth="1"/>
    <col min="790" max="1025" width="9" style="3219"/>
    <col min="1026" max="1026" width="2.5" style="3219" customWidth="1"/>
    <col min="1027" max="1027" width="4" style="3219" customWidth="1"/>
    <col min="1028" max="1028" width="16.25" style="3219" customWidth="1"/>
    <col min="1029" max="1029" width="8.25" style="3219" customWidth="1"/>
    <col min="1030" max="1030" width="6.375" style="3219" customWidth="1"/>
    <col min="1031" max="1031" width="5.75" style="3219" customWidth="1"/>
    <col min="1032" max="1032" width="8" style="3219" customWidth="1"/>
    <col min="1033" max="1033" width="11.125" style="3219" customWidth="1"/>
    <col min="1034" max="1034" width="10.875" style="3219" customWidth="1"/>
    <col min="1035" max="1035" width="7.75" style="3219" customWidth="1"/>
    <col min="1036" max="1036" width="5.625" style="3219" customWidth="1"/>
    <col min="1037" max="1037" width="7.5" style="3219" customWidth="1"/>
    <col min="1038" max="1038" width="10.875" style="3219" customWidth="1"/>
    <col min="1039" max="1039" width="6.375" style="3219" customWidth="1"/>
    <col min="1040" max="1040" width="8" style="3219" customWidth="1"/>
    <col min="1041" max="1041" width="8.25" style="3219" customWidth="1"/>
    <col min="1042" max="1042" width="7.5" style="3219" customWidth="1"/>
    <col min="1043" max="1043" width="9" style="3219" hidden="1" customWidth="1"/>
    <col min="1044" max="1044" width="20.25" style="3219" customWidth="1"/>
    <col min="1045" max="1045" width="9.375" style="3219" customWidth="1"/>
    <col min="1046" max="1281" width="9" style="3219"/>
    <col min="1282" max="1282" width="2.5" style="3219" customWidth="1"/>
    <col min="1283" max="1283" width="4" style="3219" customWidth="1"/>
    <col min="1284" max="1284" width="16.25" style="3219" customWidth="1"/>
    <col min="1285" max="1285" width="8.25" style="3219" customWidth="1"/>
    <col min="1286" max="1286" width="6.375" style="3219" customWidth="1"/>
    <col min="1287" max="1287" width="5.75" style="3219" customWidth="1"/>
    <col min="1288" max="1288" width="8" style="3219" customWidth="1"/>
    <col min="1289" max="1289" width="11.125" style="3219" customWidth="1"/>
    <col min="1290" max="1290" width="10.875" style="3219" customWidth="1"/>
    <col min="1291" max="1291" width="7.75" style="3219" customWidth="1"/>
    <col min="1292" max="1292" width="5.625" style="3219" customWidth="1"/>
    <col min="1293" max="1293" width="7.5" style="3219" customWidth="1"/>
    <col min="1294" max="1294" width="10.875" style="3219" customWidth="1"/>
    <col min="1295" max="1295" width="6.375" style="3219" customWidth="1"/>
    <col min="1296" max="1296" width="8" style="3219" customWidth="1"/>
    <col min="1297" max="1297" width="8.25" style="3219" customWidth="1"/>
    <col min="1298" max="1298" width="7.5" style="3219" customWidth="1"/>
    <col min="1299" max="1299" width="9" style="3219" hidden="1" customWidth="1"/>
    <col min="1300" max="1300" width="20.25" style="3219" customWidth="1"/>
    <col min="1301" max="1301" width="9.375" style="3219" customWidth="1"/>
    <col min="1302" max="1537" width="9" style="3219"/>
    <col min="1538" max="1538" width="2.5" style="3219" customWidth="1"/>
    <col min="1539" max="1539" width="4" style="3219" customWidth="1"/>
    <col min="1540" max="1540" width="16.25" style="3219" customWidth="1"/>
    <col min="1541" max="1541" width="8.25" style="3219" customWidth="1"/>
    <col min="1542" max="1542" width="6.375" style="3219" customWidth="1"/>
    <col min="1543" max="1543" width="5.75" style="3219" customWidth="1"/>
    <col min="1544" max="1544" width="8" style="3219" customWidth="1"/>
    <col min="1545" max="1545" width="11.125" style="3219" customWidth="1"/>
    <col min="1546" max="1546" width="10.875" style="3219" customWidth="1"/>
    <col min="1547" max="1547" width="7.75" style="3219" customWidth="1"/>
    <col min="1548" max="1548" width="5.625" style="3219" customWidth="1"/>
    <col min="1549" max="1549" width="7.5" style="3219" customWidth="1"/>
    <col min="1550" max="1550" width="10.875" style="3219" customWidth="1"/>
    <col min="1551" max="1551" width="6.375" style="3219" customWidth="1"/>
    <col min="1552" max="1552" width="8" style="3219" customWidth="1"/>
    <col min="1553" max="1553" width="8.25" style="3219" customWidth="1"/>
    <col min="1554" max="1554" width="7.5" style="3219" customWidth="1"/>
    <col min="1555" max="1555" width="9" style="3219" hidden="1" customWidth="1"/>
    <col min="1556" max="1556" width="20.25" style="3219" customWidth="1"/>
    <col min="1557" max="1557" width="9.375" style="3219" customWidth="1"/>
    <col min="1558" max="1793" width="9" style="3219"/>
    <col min="1794" max="1794" width="2.5" style="3219" customWidth="1"/>
    <col min="1795" max="1795" width="4" style="3219" customWidth="1"/>
    <col min="1796" max="1796" width="16.25" style="3219" customWidth="1"/>
    <col min="1797" max="1797" width="8.25" style="3219" customWidth="1"/>
    <col min="1798" max="1798" width="6.375" style="3219" customWidth="1"/>
    <col min="1799" max="1799" width="5.75" style="3219" customWidth="1"/>
    <col min="1800" max="1800" width="8" style="3219" customWidth="1"/>
    <col min="1801" max="1801" width="11.125" style="3219" customWidth="1"/>
    <col min="1802" max="1802" width="10.875" style="3219" customWidth="1"/>
    <col min="1803" max="1803" width="7.75" style="3219" customWidth="1"/>
    <col min="1804" max="1804" width="5.625" style="3219" customWidth="1"/>
    <col min="1805" max="1805" width="7.5" style="3219" customWidth="1"/>
    <col min="1806" max="1806" width="10.875" style="3219" customWidth="1"/>
    <col min="1807" max="1807" width="6.375" style="3219" customWidth="1"/>
    <col min="1808" max="1808" width="8" style="3219" customWidth="1"/>
    <col min="1809" max="1809" width="8.25" style="3219" customWidth="1"/>
    <col min="1810" max="1810" width="7.5" style="3219" customWidth="1"/>
    <col min="1811" max="1811" width="9" style="3219" hidden="1" customWidth="1"/>
    <col min="1812" max="1812" width="20.25" style="3219" customWidth="1"/>
    <col min="1813" max="1813" width="9.375" style="3219" customWidth="1"/>
    <col min="1814" max="2049" width="9" style="3219"/>
    <col min="2050" max="2050" width="2.5" style="3219" customWidth="1"/>
    <col min="2051" max="2051" width="4" style="3219" customWidth="1"/>
    <col min="2052" max="2052" width="16.25" style="3219" customWidth="1"/>
    <col min="2053" max="2053" width="8.25" style="3219" customWidth="1"/>
    <col min="2054" max="2054" width="6.375" style="3219" customWidth="1"/>
    <col min="2055" max="2055" width="5.75" style="3219" customWidth="1"/>
    <col min="2056" max="2056" width="8" style="3219" customWidth="1"/>
    <col min="2057" max="2057" width="11.125" style="3219" customWidth="1"/>
    <col min="2058" max="2058" width="10.875" style="3219" customWidth="1"/>
    <col min="2059" max="2059" width="7.75" style="3219" customWidth="1"/>
    <col min="2060" max="2060" width="5.625" style="3219" customWidth="1"/>
    <col min="2061" max="2061" width="7.5" style="3219" customWidth="1"/>
    <col min="2062" max="2062" width="10.875" style="3219" customWidth="1"/>
    <col min="2063" max="2063" width="6.375" style="3219" customWidth="1"/>
    <col min="2064" max="2064" width="8" style="3219" customWidth="1"/>
    <col min="2065" max="2065" width="8.25" style="3219" customWidth="1"/>
    <col min="2066" max="2066" width="7.5" style="3219" customWidth="1"/>
    <col min="2067" max="2067" width="9" style="3219" hidden="1" customWidth="1"/>
    <col min="2068" max="2068" width="20.25" style="3219" customWidth="1"/>
    <col min="2069" max="2069" width="9.375" style="3219" customWidth="1"/>
    <col min="2070" max="2305" width="9" style="3219"/>
    <col min="2306" max="2306" width="2.5" style="3219" customWidth="1"/>
    <col min="2307" max="2307" width="4" style="3219" customWidth="1"/>
    <col min="2308" max="2308" width="16.25" style="3219" customWidth="1"/>
    <col min="2309" max="2309" width="8.25" style="3219" customWidth="1"/>
    <col min="2310" max="2310" width="6.375" style="3219" customWidth="1"/>
    <col min="2311" max="2311" width="5.75" style="3219" customWidth="1"/>
    <col min="2312" max="2312" width="8" style="3219" customWidth="1"/>
    <col min="2313" max="2313" width="11.125" style="3219" customWidth="1"/>
    <col min="2314" max="2314" width="10.875" style="3219" customWidth="1"/>
    <col min="2315" max="2315" width="7.75" style="3219" customWidth="1"/>
    <col min="2316" max="2316" width="5.625" style="3219" customWidth="1"/>
    <col min="2317" max="2317" width="7.5" style="3219" customWidth="1"/>
    <col min="2318" max="2318" width="10.875" style="3219" customWidth="1"/>
    <col min="2319" max="2319" width="6.375" style="3219" customWidth="1"/>
    <col min="2320" max="2320" width="8" style="3219" customWidth="1"/>
    <col min="2321" max="2321" width="8.25" style="3219" customWidth="1"/>
    <col min="2322" max="2322" width="7.5" style="3219" customWidth="1"/>
    <col min="2323" max="2323" width="9" style="3219" hidden="1" customWidth="1"/>
    <col min="2324" max="2324" width="20.25" style="3219" customWidth="1"/>
    <col min="2325" max="2325" width="9.375" style="3219" customWidth="1"/>
    <col min="2326" max="2561" width="9" style="3219"/>
    <col min="2562" max="2562" width="2.5" style="3219" customWidth="1"/>
    <col min="2563" max="2563" width="4" style="3219" customWidth="1"/>
    <col min="2564" max="2564" width="16.25" style="3219" customWidth="1"/>
    <col min="2565" max="2565" width="8.25" style="3219" customWidth="1"/>
    <col min="2566" max="2566" width="6.375" style="3219" customWidth="1"/>
    <col min="2567" max="2567" width="5.75" style="3219" customWidth="1"/>
    <col min="2568" max="2568" width="8" style="3219" customWidth="1"/>
    <col min="2569" max="2569" width="11.125" style="3219" customWidth="1"/>
    <col min="2570" max="2570" width="10.875" style="3219" customWidth="1"/>
    <col min="2571" max="2571" width="7.75" style="3219" customWidth="1"/>
    <col min="2572" max="2572" width="5.625" style="3219" customWidth="1"/>
    <col min="2573" max="2573" width="7.5" style="3219" customWidth="1"/>
    <col min="2574" max="2574" width="10.875" style="3219" customWidth="1"/>
    <col min="2575" max="2575" width="6.375" style="3219" customWidth="1"/>
    <col min="2576" max="2576" width="8" style="3219" customWidth="1"/>
    <col min="2577" max="2577" width="8.25" style="3219" customWidth="1"/>
    <col min="2578" max="2578" width="7.5" style="3219" customWidth="1"/>
    <col min="2579" max="2579" width="9" style="3219" hidden="1" customWidth="1"/>
    <col min="2580" max="2580" width="20.25" style="3219" customWidth="1"/>
    <col min="2581" max="2581" width="9.375" style="3219" customWidth="1"/>
    <col min="2582" max="2817" width="9" style="3219"/>
    <col min="2818" max="2818" width="2.5" style="3219" customWidth="1"/>
    <col min="2819" max="2819" width="4" style="3219" customWidth="1"/>
    <col min="2820" max="2820" width="16.25" style="3219" customWidth="1"/>
    <col min="2821" max="2821" width="8.25" style="3219" customWidth="1"/>
    <col min="2822" max="2822" width="6.375" style="3219" customWidth="1"/>
    <col min="2823" max="2823" width="5.75" style="3219" customWidth="1"/>
    <col min="2824" max="2824" width="8" style="3219" customWidth="1"/>
    <col min="2825" max="2825" width="11.125" style="3219" customWidth="1"/>
    <col min="2826" max="2826" width="10.875" style="3219" customWidth="1"/>
    <col min="2827" max="2827" width="7.75" style="3219" customWidth="1"/>
    <col min="2828" max="2828" width="5.625" style="3219" customWidth="1"/>
    <col min="2829" max="2829" width="7.5" style="3219" customWidth="1"/>
    <col min="2830" max="2830" width="10.875" style="3219" customWidth="1"/>
    <col min="2831" max="2831" width="6.375" style="3219" customWidth="1"/>
    <col min="2832" max="2832" width="8" style="3219" customWidth="1"/>
    <col min="2833" max="2833" width="8.25" style="3219" customWidth="1"/>
    <col min="2834" max="2834" width="7.5" style="3219" customWidth="1"/>
    <col min="2835" max="2835" width="9" style="3219" hidden="1" customWidth="1"/>
    <col min="2836" max="2836" width="20.25" style="3219" customWidth="1"/>
    <col min="2837" max="2837" width="9.375" style="3219" customWidth="1"/>
    <col min="2838" max="3073" width="9" style="3219"/>
    <col min="3074" max="3074" width="2.5" style="3219" customWidth="1"/>
    <col min="3075" max="3075" width="4" style="3219" customWidth="1"/>
    <col min="3076" max="3076" width="16.25" style="3219" customWidth="1"/>
    <col min="3077" max="3077" width="8.25" style="3219" customWidth="1"/>
    <col min="3078" max="3078" width="6.375" style="3219" customWidth="1"/>
    <col min="3079" max="3079" width="5.75" style="3219" customWidth="1"/>
    <col min="3080" max="3080" width="8" style="3219" customWidth="1"/>
    <col min="3081" max="3081" width="11.125" style="3219" customWidth="1"/>
    <col min="3082" max="3082" width="10.875" style="3219" customWidth="1"/>
    <col min="3083" max="3083" width="7.75" style="3219" customWidth="1"/>
    <col min="3084" max="3084" width="5.625" style="3219" customWidth="1"/>
    <col min="3085" max="3085" width="7.5" style="3219" customWidth="1"/>
    <col min="3086" max="3086" width="10.875" style="3219" customWidth="1"/>
    <col min="3087" max="3087" width="6.375" style="3219" customWidth="1"/>
    <col min="3088" max="3088" width="8" style="3219" customWidth="1"/>
    <col min="3089" max="3089" width="8.25" style="3219" customWidth="1"/>
    <col min="3090" max="3090" width="7.5" style="3219" customWidth="1"/>
    <col min="3091" max="3091" width="9" style="3219" hidden="1" customWidth="1"/>
    <col min="3092" max="3092" width="20.25" style="3219" customWidth="1"/>
    <col min="3093" max="3093" width="9.375" style="3219" customWidth="1"/>
    <col min="3094" max="3329" width="9" style="3219"/>
    <col min="3330" max="3330" width="2.5" style="3219" customWidth="1"/>
    <col min="3331" max="3331" width="4" style="3219" customWidth="1"/>
    <col min="3332" max="3332" width="16.25" style="3219" customWidth="1"/>
    <col min="3333" max="3333" width="8.25" style="3219" customWidth="1"/>
    <col min="3334" max="3334" width="6.375" style="3219" customWidth="1"/>
    <col min="3335" max="3335" width="5.75" style="3219" customWidth="1"/>
    <col min="3336" max="3336" width="8" style="3219" customWidth="1"/>
    <col min="3337" max="3337" width="11.125" style="3219" customWidth="1"/>
    <col min="3338" max="3338" width="10.875" style="3219" customWidth="1"/>
    <col min="3339" max="3339" width="7.75" style="3219" customWidth="1"/>
    <col min="3340" max="3340" width="5.625" style="3219" customWidth="1"/>
    <col min="3341" max="3341" width="7.5" style="3219" customWidth="1"/>
    <col min="3342" max="3342" width="10.875" style="3219" customWidth="1"/>
    <col min="3343" max="3343" width="6.375" style="3219" customWidth="1"/>
    <col min="3344" max="3344" width="8" style="3219" customWidth="1"/>
    <col min="3345" max="3345" width="8.25" style="3219" customWidth="1"/>
    <col min="3346" max="3346" width="7.5" style="3219" customWidth="1"/>
    <col min="3347" max="3347" width="9" style="3219" hidden="1" customWidth="1"/>
    <col min="3348" max="3348" width="20.25" style="3219" customWidth="1"/>
    <col min="3349" max="3349" width="9.375" style="3219" customWidth="1"/>
    <col min="3350" max="3585" width="9" style="3219"/>
    <col min="3586" max="3586" width="2.5" style="3219" customWidth="1"/>
    <col min="3587" max="3587" width="4" style="3219" customWidth="1"/>
    <col min="3588" max="3588" width="16.25" style="3219" customWidth="1"/>
    <col min="3589" max="3589" width="8.25" style="3219" customWidth="1"/>
    <col min="3590" max="3590" width="6.375" style="3219" customWidth="1"/>
    <col min="3591" max="3591" width="5.75" style="3219" customWidth="1"/>
    <col min="3592" max="3592" width="8" style="3219" customWidth="1"/>
    <col min="3593" max="3593" width="11.125" style="3219" customWidth="1"/>
    <col min="3594" max="3594" width="10.875" style="3219" customWidth="1"/>
    <col min="3595" max="3595" width="7.75" style="3219" customWidth="1"/>
    <col min="3596" max="3596" width="5.625" style="3219" customWidth="1"/>
    <col min="3597" max="3597" width="7.5" style="3219" customWidth="1"/>
    <col min="3598" max="3598" width="10.875" style="3219" customWidth="1"/>
    <col min="3599" max="3599" width="6.375" style="3219" customWidth="1"/>
    <col min="3600" max="3600" width="8" style="3219" customWidth="1"/>
    <col min="3601" max="3601" width="8.25" style="3219" customWidth="1"/>
    <col min="3602" max="3602" width="7.5" style="3219" customWidth="1"/>
    <col min="3603" max="3603" width="9" style="3219" hidden="1" customWidth="1"/>
    <col min="3604" max="3604" width="20.25" style="3219" customWidth="1"/>
    <col min="3605" max="3605" width="9.375" style="3219" customWidth="1"/>
    <col min="3606" max="3841" width="9" style="3219"/>
    <col min="3842" max="3842" width="2.5" style="3219" customWidth="1"/>
    <col min="3843" max="3843" width="4" style="3219" customWidth="1"/>
    <col min="3844" max="3844" width="16.25" style="3219" customWidth="1"/>
    <col min="3845" max="3845" width="8.25" style="3219" customWidth="1"/>
    <col min="3846" max="3846" width="6.375" style="3219" customWidth="1"/>
    <col min="3847" max="3847" width="5.75" style="3219" customWidth="1"/>
    <col min="3848" max="3848" width="8" style="3219" customWidth="1"/>
    <col min="3849" max="3849" width="11.125" style="3219" customWidth="1"/>
    <col min="3850" max="3850" width="10.875" style="3219" customWidth="1"/>
    <col min="3851" max="3851" width="7.75" style="3219" customWidth="1"/>
    <col min="3852" max="3852" width="5.625" style="3219" customWidth="1"/>
    <col min="3853" max="3853" width="7.5" style="3219" customWidth="1"/>
    <col min="3854" max="3854" width="10.875" style="3219" customWidth="1"/>
    <col min="3855" max="3855" width="6.375" style="3219" customWidth="1"/>
    <col min="3856" max="3856" width="8" style="3219" customWidth="1"/>
    <col min="3857" max="3857" width="8.25" style="3219" customWidth="1"/>
    <col min="3858" max="3858" width="7.5" style="3219" customWidth="1"/>
    <col min="3859" max="3859" width="9" style="3219" hidden="1" customWidth="1"/>
    <col min="3860" max="3860" width="20.25" style="3219" customWidth="1"/>
    <col min="3861" max="3861" width="9.375" style="3219" customWidth="1"/>
    <col min="3862" max="4097" width="9" style="3219"/>
    <col min="4098" max="4098" width="2.5" style="3219" customWidth="1"/>
    <col min="4099" max="4099" width="4" style="3219" customWidth="1"/>
    <col min="4100" max="4100" width="16.25" style="3219" customWidth="1"/>
    <col min="4101" max="4101" width="8.25" style="3219" customWidth="1"/>
    <col min="4102" max="4102" width="6.375" style="3219" customWidth="1"/>
    <col min="4103" max="4103" width="5.75" style="3219" customWidth="1"/>
    <col min="4104" max="4104" width="8" style="3219" customWidth="1"/>
    <col min="4105" max="4105" width="11.125" style="3219" customWidth="1"/>
    <col min="4106" max="4106" width="10.875" style="3219" customWidth="1"/>
    <col min="4107" max="4107" width="7.75" style="3219" customWidth="1"/>
    <col min="4108" max="4108" width="5.625" style="3219" customWidth="1"/>
    <col min="4109" max="4109" width="7.5" style="3219" customWidth="1"/>
    <col min="4110" max="4110" width="10.875" style="3219" customWidth="1"/>
    <col min="4111" max="4111" width="6.375" style="3219" customWidth="1"/>
    <col min="4112" max="4112" width="8" style="3219" customWidth="1"/>
    <col min="4113" max="4113" width="8.25" style="3219" customWidth="1"/>
    <col min="4114" max="4114" width="7.5" style="3219" customWidth="1"/>
    <col min="4115" max="4115" width="9" style="3219" hidden="1" customWidth="1"/>
    <col min="4116" max="4116" width="20.25" style="3219" customWidth="1"/>
    <col min="4117" max="4117" width="9.375" style="3219" customWidth="1"/>
    <col min="4118" max="4353" width="9" style="3219"/>
    <col min="4354" max="4354" width="2.5" style="3219" customWidth="1"/>
    <col min="4355" max="4355" width="4" style="3219" customWidth="1"/>
    <col min="4356" max="4356" width="16.25" style="3219" customWidth="1"/>
    <col min="4357" max="4357" width="8.25" style="3219" customWidth="1"/>
    <col min="4358" max="4358" width="6.375" style="3219" customWidth="1"/>
    <col min="4359" max="4359" width="5.75" style="3219" customWidth="1"/>
    <col min="4360" max="4360" width="8" style="3219" customWidth="1"/>
    <col min="4361" max="4361" width="11.125" style="3219" customWidth="1"/>
    <col min="4362" max="4362" width="10.875" style="3219" customWidth="1"/>
    <col min="4363" max="4363" width="7.75" style="3219" customWidth="1"/>
    <col min="4364" max="4364" width="5.625" style="3219" customWidth="1"/>
    <col min="4365" max="4365" width="7.5" style="3219" customWidth="1"/>
    <col min="4366" max="4366" width="10.875" style="3219" customWidth="1"/>
    <col min="4367" max="4367" width="6.375" style="3219" customWidth="1"/>
    <col min="4368" max="4368" width="8" style="3219" customWidth="1"/>
    <col min="4369" max="4369" width="8.25" style="3219" customWidth="1"/>
    <col min="4370" max="4370" width="7.5" style="3219" customWidth="1"/>
    <col min="4371" max="4371" width="9" style="3219" hidden="1" customWidth="1"/>
    <col min="4372" max="4372" width="20.25" style="3219" customWidth="1"/>
    <col min="4373" max="4373" width="9.375" style="3219" customWidth="1"/>
    <col min="4374" max="4609" width="9" style="3219"/>
    <col min="4610" max="4610" width="2.5" style="3219" customWidth="1"/>
    <col min="4611" max="4611" width="4" style="3219" customWidth="1"/>
    <col min="4612" max="4612" width="16.25" style="3219" customWidth="1"/>
    <col min="4613" max="4613" width="8.25" style="3219" customWidth="1"/>
    <col min="4614" max="4614" width="6.375" style="3219" customWidth="1"/>
    <col min="4615" max="4615" width="5.75" style="3219" customWidth="1"/>
    <col min="4616" max="4616" width="8" style="3219" customWidth="1"/>
    <col min="4617" max="4617" width="11.125" style="3219" customWidth="1"/>
    <col min="4618" max="4618" width="10.875" style="3219" customWidth="1"/>
    <col min="4619" max="4619" width="7.75" style="3219" customWidth="1"/>
    <col min="4620" max="4620" width="5.625" style="3219" customWidth="1"/>
    <col min="4621" max="4621" width="7.5" style="3219" customWidth="1"/>
    <col min="4622" max="4622" width="10.875" style="3219" customWidth="1"/>
    <col min="4623" max="4623" width="6.375" style="3219" customWidth="1"/>
    <col min="4624" max="4624" width="8" style="3219" customWidth="1"/>
    <col min="4625" max="4625" width="8.25" style="3219" customWidth="1"/>
    <col min="4626" max="4626" width="7.5" style="3219" customWidth="1"/>
    <col min="4627" max="4627" width="9" style="3219" hidden="1" customWidth="1"/>
    <col min="4628" max="4628" width="20.25" style="3219" customWidth="1"/>
    <col min="4629" max="4629" width="9.375" style="3219" customWidth="1"/>
    <col min="4630" max="4865" width="9" style="3219"/>
    <col min="4866" max="4866" width="2.5" style="3219" customWidth="1"/>
    <col min="4867" max="4867" width="4" style="3219" customWidth="1"/>
    <col min="4868" max="4868" width="16.25" style="3219" customWidth="1"/>
    <col min="4869" max="4869" width="8.25" style="3219" customWidth="1"/>
    <col min="4870" max="4870" width="6.375" style="3219" customWidth="1"/>
    <col min="4871" max="4871" width="5.75" style="3219" customWidth="1"/>
    <col min="4872" max="4872" width="8" style="3219" customWidth="1"/>
    <col min="4873" max="4873" width="11.125" style="3219" customWidth="1"/>
    <col min="4874" max="4874" width="10.875" style="3219" customWidth="1"/>
    <col min="4875" max="4875" width="7.75" style="3219" customWidth="1"/>
    <col min="4876" max="4876" width="5.625" style="3219" customWidth="1"/>
    <col min="4877" max="4877" width="7.5" style="3219" customWidth="1"/>
    <col min="4878" max="4878" width="10.875" style="3219" customWidth="1"/>
    <col min="4879" max="4879" width="6.375" style="3219" customWidth="1"/>
    <col min="4880" max="4880" width="8" style="3219" customWidth="1"/>
    <col min="4881" max="4881" width="8.25" style="3219" customWidth="1"/>
    <col min="4882" max="4882" width="7.5" style="3219" customWidth="1"/>
    <col min="4883" max="4883" width="9" style="3219" hidden="1" customWidth="1"/>
    <col min="4884" max="4884" width="20.25" style="3219" customWidth="1"/>
    <col min="4885" max="4885" width="9.375" style="3219" customWidth="1"/>
    <col min="4886" max="5121" width="9" style="3219"/>
    <col min="5122" max="5122" width="2.5" style="3219" customWidth="1"/>
    <col min="5123" max="5123" width="4" style="3219" customWidth="1"/>
    <col min="5124" max="5124" width="16.25" style="3219" customWidth="1"/>
    <col min="5125" max="5125" width="8.25" style="3219" customWidth="1"/>
    <col min="5126" max="5126" width="6.375" style="3219" customWidth="1"/>
    <col min="5127" max="5127" width="5.75" style="3219" customWidth="1"/>
    <col min="5128" max="5128" width="8" style="3219" customWidth="1"/>
    <col min="5129" max="5129" width="11.125" style="3219" customWidth="1"/>
    <col min="5130" max="5130" width="10.875" style="3219" customWidth="1"/>
    <col min="5131" max="5131" width="7.75" style="3219" customWidth="1"/>
    <col min="5132" max="5132" width="5.625" style="3219" customWidth="1"/>
    <col min="5133" max="5133" width="7.5" style="3219" customWidth="1"/>
    <col min="5134" max="5134" width="10.875" style="3219" customWidth="1"/>
    <col min="5135" max="5135" width="6.375" style="3219" customWidth="1"/>
    <col min="5136" max="5136" width="8" style="3219" customWidth="1"/>
    <col min="5137" max="5137" width="8.25" style="3219" customWidth="1"/>
    <col min="5138" max="5138" width="7.5" style="3219" customWidth="1"/>
    <col min="5139" max="5139" width="9" style="3219" hidden="1" customWidth="1"/>
    <col min="5140" max="5140" width="20.25" style="3219" customWidth="1"/>
    <col min="5141" max="5141" width="9.375" style="3219" customWidth="1"/>
    <col min="5142" max="5377" width="9" style="3219"/>
    <col min="5378" max="5378" width="2.5" style="3219" customWidth="1"/>
    <col min="5379" max="5379" width="4" style="3219" customWidth="1"/>
    <col min="5380" max="5380" width="16.25" style="3219" customWidth="1"/>
    <col min="5381" max="5381" width="8.25" style="3219" customWidth="1"/>
    <col min="5382" max="5382" width="6.375" style="3219" customWidth="1"/>
    <col min="5383" max="5383" width="5.75" style="3219" customWidth="1"/>
    <col min="5384" max="5384" width="8" style="3219" customWidth="1"/>
    <col min="5385" max="5385" width="11.125" style="3219" customWidth="1"/>
    <col min="5386" max="5386" width="10.875" style="3219" customWidth="1"/>
    <col min="5387" max="5387" width="7.75" style="3219" customWidth="1"/>
    <col min="5388" max="5388" width="5.625" style="3219" customWidth="1"/>
    <col min="5389" max="5389" width="7.5" style="3219" customWidth="1"/>
    <col min="5390" max="5390" width="10.875" style="3219" customWidth="1"/>
    <col min="5391" max="5391" width="6.375" style="3219" customWidth="1"/>
    <col min="5392" max="5392" width="8" style="3219" customWidth="1"/>
    <col min="5393" max="5393" width="8.25" style="3219" customWidth="1"/>
    <col min="5394" max="5394" width="7.5" style="3219" customWidth="1"/>
    <col min="5395" max="5395" width="9" style="3219" hidden="1" customWidth="1"/>
    <col min="5396" max="5396" width="20.25" style="3219" customWidth="1"/>
    <col min="5397" max="5397" width="9.375" style="3219" customWidth="1"/>
    <col min="5398" max="5633" width="9" style="3219"/>
    <col min="5634" max="5634" width="2.5" style="3219" customWidth="1"/>
    <col min="5635" max="5635" width="4" style="3219" customWidth="1"/>
    <col min="5636" max="5636" width="16.25" style="3219" customWidth="1"/>
    <col min="5637" max="5637" width="8.25" style="3219" customWidth="1"/>
    <col min="5638" max="5638" width="6.375" style="3219" customWidth="1"/>
    <col min="5639" max="5639" width="5.75" style="3219" customWidth="1"/>
    <col min="5640" max="5640" width="8" style="3219" customWidth="1"/>
    <col min="5641" max="5641" width="11.125" style="3219" customWidth="1"/>
    <col min="5642" max="5642" width="10.875" style="3219" customWidth="1"/>
    <col min="5643" max="5643" width="7.75" style="3219" customWidth="1"/>
    <col min="5644" max="5644" width="5.625" style="3219" customWidth="1"/>
    <col min="5645" max="5645" width="7.5" style="3219" customWidth="1"/>
    <col min="5646" max="5646" width="10.875" style="3219" customWidth="1"/>
    <col min="5647" max="5647" width="6.375" style="3219" customWidth="1"/>
    <col min="5648" max="5648" width="8" style="3219" customWidth="1"/>
    <col min="5649" max="5649" width="8.25" style="3219" customWidth="1"/>
    <col min="5650" max="5650" width="7.5" style="3219" customWidth="1"/>
    <col min="5651" max="5651" width="9" style="3219" hidden="1" customWidth="1"/>
    <col min="5652" max="5652" width="20.25" style="3219" customWidth="1"/>
    <col min="5653" max="5653" width="9.375" style="3219" customWidth="1"/>
    <col min="5654" max="5889" width="9" style="3219"/>
    <col min="5890" max="5890" width="2.5" style="3219" customWidth="1"/>
    <col min="5891" max="5891" width="4" style="3219" customWidth="1"/>
    <col min="5892" max="5892" width="16.25" style="3219" customWidth="1"/>
    <col min="5893" max="5893" width="8.25" style="3219" customWidth="1"/>
    <col min="5894" max="5894" width="6.375" style="3219" customWidth="1"/>
    <col min="5895" max="5895" width="5.75" style="3219" customWidth="1"/>
    <col min="5896" max="5896" width="8" style="3219" customWidth="1"/>
    <col min="5897" max="5897" width="11.125" style="3219" customWidth="1"/>
    <col min="5898" max="5898" width="10.875" style="3219" customWidth="1"/>
    <col min="5899" max="5899" width="7.75" style="3219" customWidth="1"/>
    <col min="5900" max="5900" width="5.625" style="3219" customWidth="1"/>
    <col min="5901" max="5901" width="7.5" style="3219" customWidth="1"/>
    <col min="5902" max="5902" width="10.875" style="3219" customWidth="1"/>
    <col min="5903" max="5903" width="6.375" style="3219" customWidth="1"/>
    <col min="5904" max="5904" width="8" style="3219" customWidth="1"/>
    <col min="5905" max="5905" width="8.25" style="3219" customWidth="1"/>
    <col min="5906" max="5906" width="7.5" style="3219" customWidth="1"/>
    <col min="5907" max="5907" width="9" style="3219" hidden="1" customWidth="1"/>
    <col min="5908" max="5908" width="20.25" style="3219" customWidth="1"/>
    <col min="5909" max="5909" width="9.375" style="3219" customWidth="1"/>
    <col min="5910" max="6145" width="9" style="3219"/>
    <col min="6146" max="6146" width="2.5" style="3219" customWidth="1"/>
    <col min="6147" max="6147" width="4" style="3219" customWidth="1"/>
    <col min="6148" max="6148" width="16.25" style="3219" customWidth="1"/>
    <col min="6149" max="6149" width="8.25" style="3219" customWidth="1"/>
    <col min="6150" max="6150" width="6.375" style="3219" customWidth="1"/>
    <col min="6151" max="6151" width="5.75" style="3219" customWidth="1"/>
    <col min="6152" max="6152" width="8" style="3219" customWidth="1"/>
    <col min="6153" max="6153" width="11.125" style="3219" customWidth="1"/>
    <col min="6154" max="6154" width="10.875" style="3219" customWidth="1"/>
    <col min="6155" max="6155" width="7.75" style="3219" customWidth="1"/>
    <col min="6156" max="6156" width="5.625" style="3219" customWidth="1"/>
    <col min="6157" max="6157" width="7.5" style="3219" customWidth="1"/>
    <col min="6158" max="6158" width="10.875" style="3219" customWidth="1"/>
    <col min="6159" max="6159" width="6.375" style="3219" customWidth="1"/>
    <col min="6160" max="6160" width="8" style="3219" customWidth="1"/>
    <col min="6161" max="6161" width="8.25" style="3219" customWidth="1"/>
    <col min="6162" max="6162" width="7.5" style="3219" customWidth="1"/>
    <col min="6163" max="6163" width="9" style="3219" hidden="1" customWidth="1"/>
    <col min="6164" max="6164" width="20.25" style="3219" customWidth="1"/>
    <col min="6165" max="6165" width="9.375" style="3219" customWidth="1"/>
    <col min="6166" max="6401" width="9" style="3219"/>
    <col min="6402" max="6402" width="2.5" style="3219" customWidth="1"/>
    <col min="6403" max="6403" width="4" style="3219" customWidth="1"/>
    <col min="6404" max="6404" width="16.25" style="3219" customWidth="1"/>
    <col min="6405" max="6405" width="8.25" style="3219" customWidth="1"/>
    <col min="6406" max="6406" width="6.375" style="3219" customWidth="1"/>
    <col min="6407" max="6407" width="5.75" style="3219" customWidth="1"/>
    <col min="6408" max="6408" width="8" style="3219" customWidth="1"/>
    <col min="6409" max="6409" width="11.125" style="3219" customWidth="1"/>
    <col min="6410" max="6410" width="10.875" style="3219" customWidth="1"/>
    <col min="6411" max="6411" width="7.75" style="3219" customWidth="1"/>
    <col min="6412" max="6412" width="5.625" style="3219" customWidth="1"/>
    <col min="6413" max="6413" width="7.5" style="3219" customWidth="1"/>
    <col min="6414" max="6414" width="10.875" style="3219" customWidth="1"/>
    <col min="6415" max="6415" width="6.375" style="3219" customWidth="1"/>
    <col min="6416" max="6416" width="8" style="3219" customWidth="1"/>
    <col min="6417" max="6417" width="8.25" style="3219" customWidth="1"/>
    <col min="6418" max="6418" width="7.5" style="3219" customWidth="1"/>
    <col min="6419" max="6419" width="9" style="3219" hidden="1" customWidth="1"/>
    <col min="6420" max="6420" width="20.25" style="3219" customWidth="1"/>
    <col min="6421" max="6421" width="9.375" style="3219" customWidth="1"/>
    <col min="6422" max="6657" width="9" style="3219"/>
    <col min="6658" max="6658" width="2.5" style="3219" customWidth="1"/>
    <col min="6659" max="6659" width="4" style="3219" customWidth="1"/>
    <col min="6660" max="6660" width="16.25" style="3219" customWidth="1"/>
    <col min="6661" max="6661" width="8.25" style="3219" customWidth="1"/>
    <col min="6662" max="6662" width="6.375" style="3219" customWidth="1"/>
    <col min="6663" max="6663" width="5.75" style="3219" customWidth="1"/>
    <col min="6664" max="6664" width="8" style="3219" customWidth="1"/>
    <col min="6665" max="6665" width="11.125" style="3219" customWidth="1"/>
    <col min="6666" max="6666" width="10.875" style="3219" customWidth="1"/>
    <col min="6667" max="6667" width="7.75" style="3219" customWidth="1"/>
    <col min="6668" max="6668" width="5.625" style="3219" customWidth="1"/>
    <col min="6669" max="6669" width="7.5" style="3219" customWidth="1"/>
    <col min="6670" max="6670" width="10.875" style="3219" customWidth="1"/>
    <col min="6671" max="6671" width="6.375" style="3219" customWidth="1"/>
    <col min="6672" max="6672" width="8" style="3219" customWidth="1"/>
    <col min="6673" max="6673" width="8.25" style="3219" customWidth="1"/>
    <col min="6674" max="6674" width="7.5" style="3219" customWidth="1"/>
    <col min="6675" max="6675" width="9" style="3219" hidden="1" customWidth="1"/>
    <col min="6676" max="6676" width="20.25" style="3219" customWidth="1"/>
    <col min="6677" max="6677" width="9.375" style="3219" customWidth="1"/>
    <col min="6678" max="6913" width="9" style="3219"/>
    <col min="6914" max="6914" width="2.5" style="3219" customWidth="1"/>
    <col min="6915" max="6915" width="4" style="3219" customWidth="1"/>
    <col min="6916" max="6916" width="16.25" style="3219" customWidth="1"/>
    <col min="6917" max="6917" width="8.25" style="3219" customWidth="1"/>
    <col min="6918" max="6918" width="6.375" style="3219" customWidth="1"/>
    <col min="6919" max="6919" width="5.75" style="3219" customWidth="1"/>
    <col min="6920" max="6920" width="8" style="3219" customWidth="1"/>
    <col min="6921" max="6921" width="11.125" style="3219" customWidth="1"/>
    <col min="6922" max="6922" width="10.875" style="3219" customWidth="1"/>
    <col min="6923" max="6923" width="7.75" style="3219" customWidth="1"/>
    <col min="6924" max="6924" width="5.625" style="3219" customWidth="1"/>
    <col min="6925" max="6925" width="7.5" style="3219" customWidth="1"/>
    <col min="6926" max="6926" width="10.875" style="3219" customWidth="1"/>
    <col min="6927" max="6927" width="6.375" style="3219" customWidth="1"/>
    <col min="6928" max="6928" width="8" style="3219" customWidth="1"/>
    <col min="6929" max="6929" width="8.25" style="3219" customWidth="1"/>
    <col min="6930" max="6930" width="7.5" style="3219" customWidth="1"/>
    <col min="6931" max="6931" width="9" style="3219" hidden="1" customWidth="1"/>
    <col min="6932" max="6932" width="20.25" style="3219" customWidth="1"/>
    <col min="6933" max="6933" width="9.375" style="3219" customWidth="1"/>
    <col min="6934" max="7169" width="9" style="3219"/>
    <col min="7170" max="7170" width="2.5" style="3219" customWidth="1"/>
    <col min="7171" max="7171" width="4" style="3219" customWidth="1"/>
    <col min="7172" max="7172" width="16.25" style="3219" customWidth="1"/>
    <col min="7173" max="7173" width="8.25" style="3219" customWidth="1"/>
    <col min="7174" max="7174" width="6.375" style="3219" customWidth="1"/>
    <col min="7175" max="7175" width="5.75" style="3219" customWidth="1"/>
    <col min="7176" max="7176" width="8" style="3219" customWidth="1"/>
    <col min="7177" max="7177" width="11.125" style="3219" customWidth="1"/>
    <col min="7178" max="7178" width="10.875" style="3219" customWidth="1"/>
    <col min="7179" max="7179" width="7.75" style="3219" customWidth="1"/>
    <col min="7180" max="7180" width="5.625" style="3219" customWidth="1"/>
    <col min="7181" max="7181" width="7.5" style="3219" customWidth="1"/>
    <col min="7182" max="7182" width="10.875" style="3219" customWidth="1"/>
    <col min="7183" max="7183" width="6.375" style="3219" customWidth="1"/>
    <col min="7184" max="7184" width="8" style="3219" customWidth="1"/>
    <col min="7185" max="7185" width="8.25" style="3219" customWidth="1"/>
    <col min="7186" max="7186" width="7.5" style="3219" customWidth="1"/>
    <col min="7187" max="7187" width="9" style="3219" hidden="1" customWidth="1"/>
    <col min="7188" max="7188" width="20.25" style="3219" customWidth="1"/>
    <col min="7189" max="7189" width="9.375" style="3219" customWidth="1"/>
    <col min="7190" max="7425" width="9" style="3219"/>
    <col min="7426" max="7426" width="2.5" style="3219" customWidth="1"/>
    <col min="7427" max="7427" width="4" style="3219" customWidth="1"/>
    <col min="7428" max="7428" width="16.25" style="3219" customWidth="1"/>
    <col min="7429" max="7429" width="8.25" style="3219" customWidth="1"/>
    <col min="7430" max="7430" width="6.375" style="3219" customWidth="1"/>
    <col min="7431" max="7431" width="5.75" style="3219" customWidth="1"/>
    <col min="7432" max="7432" width="8" style="3219" customWidth="1"/>
    <col min="7433" max="7433" width="11.125" style="3219" customWidth="1"/>
    <col min="7434" max="7434" width="10.875" style="3219" customWidth="1"/>
    <col min="7435" max="7435" width="7.75" style="3219" customWidth="1"/>
    <col min="7436" max="7436" width="5.625" style="3219" customWidth="1"/>
    <col min="7437" max="7437" width="7.5" style="3219" customWidth="1"/>
    <col min="7438" max="7438" width="10.875" style="3219" customWidth="1"/>
    <col min="7439" max="7439" width="6.375" style="3219" customWidth="1"/>
    <col min="7440" max="7440" width="8" style="3219" customWidth="1"/>
    <col min="7441" max="7441" width="8.25" style="3219" customWidth="1"/>
    <col min="7442" max="7442" width="7.5" style="3219" customWidth="1"/>
    <col min="7443" max="7443" width="9" style="3219" hidden="1" customWidth="1"/>
    <col min="7444" max="7444" width="20.25" style="3219" customWidth="1"/>
    <col min="7445" max="7445" width="9.375" style="3219" customWidth="1"/>
    <col min="7446" max="7681" width="9" style="3219"/>
    <col min="7682" max="7682" width="2.5" style="3219" customWidth="1"/>
    <col min="7683" max="7683" width="4" style="3219" customWidth="1"/>
    <col min="7684" max="7684" width="16.25" style="3219" customWidth="1"/>
    <col min="7685" max="7685" width="8.25" style="3219" customWidth="1"/>
    <col min="7686" max="7686" width="6.375" style="3219" customWidth="1"/>
    <col min="7687" max="7687" width="5.75" style="3219" customWidth="1"/>
    <col min="7688" max="7688" width="8" style="3219" customWidth="1"/>
    <col min="7689" max="7689" width="11.125" style="3219" customWidth="1"/>
    <col min="7690" max="7690" width="10.875" style="3219" customWidth="1"/>
    <col min="7691" max="7691" width="7.75" style="3219" customWidth="1"/>
    <col min="7692" max="7692" width="5.625" style="3219" customWidth="1"/>
    <col min="7693" max="7693" width="7.5" style="3219" customWidth="1"/>
    <col min="7694" max="7694" width="10.875" style="3219" customWidth="1"/>
    <col min="7695" max="7695" width="6.375" style="3219" customWidth="1"/>
    <col min="7696" max="7696" width="8" style="3219" customWidth="1"/>
    <col min="7697" max="7697" width="8.25" style="3219" customWidth="1"/>
    <col min="7698" max="7698" width="7.5" style="3219" customWidth="1"/>
    <col min="7699" max="7699" width="9" style="3219" hidden="1" customWidth="1"/>
    <col min="7700" max="7700" width="20.25" style="3219" customWidth="1"/>
    <col min="7701" max="7701" width="9.375" style="3219" customWidth="1"/>
    <col min="7702" max="7937" width="9" style="3219"/>
    <col min="7938" max="7938" width="2.5" style="3219" customWidth="1"/>
    <col min="7939" max="7939" width="4" style="3219" customWidth="1"/>
    <col min="7940" max="7940" width="16.25" style="3219" customWidth="1"/>
    <col min="7941" max="7941" width="8.25" style="3219" customWidth="1"/>
    <col min="7942" max="7942" width="6.375" style="3219" customWidth="1"/>
    <col min="7943" max="7943" width="5.75" style="3219" customWidth="1"/>
    <col min="7944" max="7944" width="8" style="3219" customWidth="1"/>
    <col min="7945" max="7945" width="11.125" style="3219" customWidth="1"/>
    <col min="7946" max="7946" width="10.875" style="3219" customWidth="1"/>
    <col min="7947" max="7947" width="7.75" style="3219" customWidth="1"/>
    <col min="7948" max="7948" width="5.625" style="3219" customWidth="1"/>
    <col min="7949" max="7949" width="7.5" style="3219" customWidth="1"/>
    <col min="7950" max="7950" width="10.875" style="3219" customWidth="1"/>
    <col min="7951" max="7951" width="6.375" style="3219" customWidth="1"/>
    <col min="7952" max="7952" width="8" style="3219" customWidth="1"/>
    <col min="7953" max="7953" width="8.25" style="3219" customWidth="1"/>
    <col min="7954" max="7954" width="7.5" style="3219" customWidth="1"/>
    <col min="7955" max="7955" width="9" style="3219" hidden="1" customWidth="1"/>
    <col min="7956" max="7956" width="20.25" style="3219" customWidth="1"/>
    <col min="7957" max="7957" width="9.375" style="3219" customWidth="1"/>
    <col min="7958" max="8193" width="9" style="3219"/>
    <col min="8194" max="8194" width="2.5" style="3219" customWidth="1"/>
    <col min="8195" max="8195" width="4" style="3219" customWidth="1"/>
    <col min="8196" max="8196" width="16.25" style="3219" customWidth="1"/>
    <col min="8197" max="8197" width="8.25" style="3219" customWidth="1"/>
    <col min="8198" max="8198" width="6.375" style="3219" customWidth="1"/>
    <col min="8199" max="8199" width="5.75" style="3219" customWidth="1"/>
    <col min="8200" max="8200" width="8" style="3219" customWidth="1"/>
    <col min="8201" max="8201" width="11.125" style="3219" customWidth="1"/>
    <col min="8202" max="8202" width="10.875" style="3219" customWidth="1"/>
    <col min="8203" max="8203" width="7.75" style="3219" customWidth="1"/>
    <col min="8204" max="8204" width="5.625" style="3219" customWidth="1"/>
    <col min="8205" max="8205" width="7.5" style="3219" customWidth="1"/>
    <col min="8206" max="8206" width="10.875" style="3219" customWidth="1"/>
    <col min="8207" max="8207" width="6.375" style="3219" customWidth="1"/>
    <col min="8208" max="8208" width="8" style="3219" customWidth="1"/>
    <col min="8209" max="8209" width="8.25" style="3219" customWidth="1"/>
    <col min="8210" max="8210" width="7.5" style="3219" customWidth="1"/>
    <col min="8211" max="8211" width="9" style="3219" hidden="1" customWidth="1"/>
    <col min="8212" max="8212" width="20.25" style="3219" customWidth="1"/>
    <col min="8213" max="8213" width="9.375" style="3219" customWidth="1"/>
    <col min="8214" max="8449" width="9" style="3219"/>
    <col min="8450" max="8450" width="2.5" style="3219" customWidth="1"/>
    <col min="8451" max="8451" width="4" style="3219" customWidth="1"/>
    <col min="8452" max="8452" width="16.25" style="3219" customWidth="1"/>
    <col min="8453" max="8453" width="8.25" style="3219" customWidth="1"/>
    <col min="8454" max="8454" width="6.375" style="3219" customWidth="1"/>
    <col min="8455" max="8455" width="5.75" style="3219" customWidth="1"/>
    <col min="8456" max="8456" width="8" style="3219" customWidth="1"/>
    <col min="8457" max="8457" width="11.125" style="3219" customWidth="1"/>
    <col min="8458" max="8458" width="10.875" style="3219" customWidth="1"/>
    <col min="8459" max="8459" width="7.75" style="3219" customWidth="1"/>
    <col min="8460" max="8460" width="5.625" style="3219" customWidth="1"/>
    <col min="8461" max="8461" width="7.5" style="3219" customWidth="1"/>
    <col min="8462" max="8462" width="10.875" style="3219" customWidth="1"/>
    <col min="8463" max="8463" width="6.375" style="3219" customWidth="1"/>
    <col min="8464" max="8464" width="8" style="3219" customWidth="1"/>
    <col min="8465" max="8465" width="8.25" style="3219" customWidth="1"/>
    <col min="8466" max="8466" width="7.5" style="3219" customWidth="1"/>
    <col min="8467" max="8467" width="9" style="3219" hidden="1" customWidth="1"/>
    <col min="8468" max="8468" width="20.25" style="3219" customWidth="1"/>
    <col min="8469" max="8469" width="9.375" style="3219" customWidth="1"/>
    <col min="8470" max="8705" width="9" style="3219"/>
    <col min="8706" max="8706" width="2.5" style="3219" customWidth="1"/>
    <col min="8707" max="8707" width="4" style="3219" customWidth="1"/>
    <col min="8708" max="8708" width="16.25" style="3219" customWidth="1"/>
    <col min="8709" max="8709" width="8.25" style="3219" customWidth="1"/>
    <col min="8710" max="8710" width="6.375" style="3219" customWidth="1"/>
    <col min="8711" max="8711" width="5.75" style="3219" customWidth="1"/>
    <col min="8712" max="8712" width="8" style="3219" customWidth="1"/>
    <col min="8713" max="8713" width="11.125" style="3219" customWidth="1"/>
    <col min="8714" max="8714" width="10.875" style="3219" customWidth="1"/>
    <col min="8715" max="8715" width="7.75" style="3219" customWidth="1"/>
    <col min="8716" max="8716" width="5.625" style="3219" customWidth="1"/>
    <col min="8717" max="8717" width="7.5" style="3219" customWidth="1"/>
    <col min="8718" max="8718" width="10.875" style="3219" customWidth="1"/>
    <col min="8719" max="8719" width="6.375" style="3219" customWidth="1"/>
    <col min="8720" max="8720" width="8" style="3219" customWidth="1"/>
    <col min="8721" max="8721" width="8.25" style="3219" customWidth="1"/>
    <col min="8722" max="8722" width="7.5" style="3219" customWidth="1"/>
    <col min="8723" max="8723" width="9" style="3219" hidden="1" customWidth="1"/>
    <col min="8724" max="8724" width="20.25" style="3219" customWidth="1"/>
    <col min="8725" max="8725" width="9.375" style="3219" customWidth="1"/>
    <col min="8726" max="8961" width="9" style="3219"/>
    <col min="8962" max="8962" width="2.5" style="3219" customWidth="1"/>
    <col min="8963" max="8963" width="4" style="3219" customWidth="1"/>
    <col min="8964" max="8964" width="16.25" style="3219" customWidth="1"/>
    <col min="8965" max="8965" width="8.25" style="3219" customWidth="1"/>
    <col min="8966" max="8966" width="6.375" style="3219" customWidth="1"/>
    <col min="8967" max="8967" width="5.75" style="3219" customWidth="1"/>
    <col min="8968" max="8968" width="8" style="3219" customWidth="1"/>
    <col min="8969" max="8969" width="11.125" style="3219" customWidth="1"/>
    <col min="8970" max="8970" width="10.875" style="3219" customWidth="1"/>
    <col min="8971" max="8971" width="7.75" style="3219" customWidth="1"/>
    <col min="8972" max="8972" width="5.625" style="3219" customWidth="1"/>
    <col min="8973" max="8973" width="7.5" style="3219" customWidth="1"/>
    <col min="8974" max="8974" width="10.875" style="3219" customWidth="1"/>
    <col min="8975" max="8975" width="6.375" style="3219" customWidth="1"/>
    <col min="8976" max="8976" width="8" style="3219" customWidth="1"/>
    <col min="8977" max="8977" width="8.25" style="3219" customWidth="1"/>
    <col min="8978" max="8978" width="7.5" style="3219" customWidth="1"/>
    <col min="8979" max="8979" width="9" style="3219" hidden="1" customWidth="1"/>
    <col min="8980" max="8980" width="20.25" style="3219" customWidth="1"/>
    <col min="8981" max="8981" width="9.375" style="3219" customWidth="1"/>
    <col min="8982" max="9217" width="9" style="3219"/>
    <col min="9218" max="9218" width="2.5" style="3219" customWidth="1"/>
    <col min="9219" max="9219" width="4" style="3219" customWidth="1"/>
    <col min="9220" max="9220" width="16.25" style="3219" customWidth="1"/>
    <col min="9221" max="9221" width="8.25" style="3219" customWidth="1"/>
    <col min="9222" max="9222" width="6.375" style="3219" customWidth="1"/>
    <col min="9223" max="9223" width="5.75" style="3219" customWidth="1"/>
    <col min="9224" max="9224" width="8" style="3219" customWidth="1"/>
    <col min="9225" max="9225" width="11.125" style="3219" customWidth="1"/>
    <col min="9226" max="9226" width="10.875" style="3219" customWidth="1"/>
    <col min="9227" max="9227" width="7.75" style="3219" customWidth="1"/>
    <col min="9228" max="9228" width="5.625" style="3219" customWidth="1"/>
    <col min="9229" max="9229" width="7.5" style="3219" customWidth="1"/>
    <col min="9230" max="9230" width="10.875" style="3219" customWidth="1"/>
    <col min="9231" max="9231" width="6.375" style="3219" customWidth="1"/>
    <col min="9232" max="9232" width="8" style="3219" customWidth="1"/>
    <col min="9233" max="9233" width="8.25" style="3219" customWidth="1"/>
    <col min="9234" max="9234" width="7.5" style="3219" customWidth="1"/>
    <col min="9235" max="9235" width="9" style="3219" hidden="1" customWidth="1"/>
    <col min="9236" max="9236" width="20.25" style="3219" customWidth="1"/>
    <col min="9237" max="9237" width="9.375" style="3219" customWidth="1"/>
    <col min="9238" max="9473" width="9" style="3219"/>
    <col min="9474" max="9474" width="2.5" style="3219" customWidth="1"/>
    <col min="9475" max="9475" width="4" style="3219" customWidth="1"/>
    <col min="9476" max="9476" width="16.25" style="3219" customWidth="1"/>
    <col min="9477" max="9477" width="8.25" style="3219" customWidth="1"/>
    <col min="9478" max="9478" width="6.375" style="3219" customWidth="1"/>
    <col min="9479" max="9479" width="5.75" style="3219" customWidth="1"/>
    <col min="9480" max="9480" width="8" style="3219" customWidth="1"/>
    <col min="9481" max="9481" width="11.125" style="3219" customWidth="1"/>
    <col min="9482" max="9482" width="10.875" style="3219" customWidth="1"/>
    <col min="9483" max="9483" width="7.75" style="3219" customWidth="1"/>
    <col min="9484" max="9484" width="5.625" style="3219" customWidth="1"/>
    <col min="9485" max="9485" width="7.5" style="3219" customWidth="1"/>
    <col min="9486" max="9486" width="10.875" style="3219" customWidth="1"/>
    <col min="9487" max="9487" width="6.375" style="3219" customWidth="1"/>
    <col min="9488" max="9488" width="8" style="3219" customWidth="1"/>
    <col min="9489" max="9489" width="8.25" style="3219" customWidth="1"/>
    <col min="9490" max="9490" width="7.5" style="3219" customWidth="1"/>
    <col min="9491" max="9491" width="9" style="3219" hidden="1" customWidth="1"/>
    <col min="9492" max="9492" width="20.25" style="3219" customWidth="1"/>
    <col min="9493" max="9493" width="9.375" style="3219" customWidth="1"/>
    <col min="9494" max="9729" width="9" style="3219"/>
    <col min="9730" max="9730" width="2.5" style="3219" customWidth="1"/>
    <col min="9731" max="9731" width="4" style="3219" customWidth="1"/>
    <col min="9732" max="9732" width="16.25" style="3219" customWidth="1"/>
    <col min="9733" max="9733" width="8.25" style="3219" customWidth="1"/>
    <col min="9734" max="9734" width="6.375" style="3219" customWidth="1"/>
    <col min="9735" max="9735" width="5.75" style="3219" customWidth="1"/>
    <col min="9736" max="9736" width="8" style="3219" customWidth="1"/>
    <col min="9737" max="9737" width="11.125" style="3219" customWidth="1"/>
    <col min="9738" max="9738" width="10.875" style="3219" customWidth="1"/>
    <col min="9739" max="9739" width="7.75" style="3219" customWidth="1"/>
    <col min="9740" max="9740" width="5.625" style="3219" customWidth="1"/>
    <col min="9741" max="9741" width="7.5" style="3219" customWidth="1"/>
    <col min="9742" max="9742" width="10.875" style="3219" customWidth="1"/>
    <col min="9743" max="9743" width="6.375" style="3219" customWidth="1"/>
    <col min="9744" max="9744" width="8" style="3219" customWidth="1"/>
    <col min="9745" max="9745" width="8.25" style="3219" customWidth="1"/>
    <col min="9746" max="9746" width="7.5" style="3219" customWidth="1"/>
    <col min="9747" max="9747" width="9" style="3219" hidden="1" customWidth="1"/>
    <col min="9748" max="9748" width="20.25" style="3219" customWidth="1"/>
    <col min="9749" max="9749" width="9.375" style="3219" customWidth="1"/>
    <col min="9750" max="9985" width="9" style="3219"/>
    <col min="9986" max="9986" width="2.5" style="3219" customWidth="1"/>
    <col min="9987" max="9987" width="4" style="3219" customWidth="1"/>
    <col min="9988" max="9988" width="16.25" style="3219" customWidth="1"/>
    <col min="9989" max="9989" width="8.25" style="3219" customWidth="1"/>
    <col min="9990" max="9990" width="6.375" style="3219" customWidth="1"/>
    <col min="9991" max="9991" width="5.75" style="3219" customWidth="1"/>
    <col min="9992" max="9992" width="8" style="3219" customWidth="1"/>
    <col min="9993" max="9993" width="11.125" style="3219" customWidth="1"/>
    <col min="9994" max="9994" width="10.875" style="3219" customWidth="1"/>
    <col min="9995" max="9995" width="7.75" style="3219" customWidth="1"/>
    <col min="9996" max="9996" width="5.625" style="3219" customWidth="1"/>
    <col min="9997" max="9997" width="7.5" style="3219" customWidth="1"/>
    <col min="9998" max="9998" width="10.875" style="3219" customWidth="1"/>
    <col min="9999" max="9999" width="6.375" style="3219" customWidth="1"/>
    <col min="10000" max="10000" width="8" style="3219" customWidth="1"/>
    <col min="10001" max="10001" width="8.25" style="3219" customWidth="1"/>
    <col min="10002" max="10002" width="7.5" style="3219" customWidth="1"/>
    <col min="10003" max="10003" width="9" style="3219" hidden="1" customWidth="1"/>
    <col min="10004" max="10004" width="20.25" style="3219" customWidth="1"/>
    <col min="10005" max="10005" width="9.375" style="3219" customWidth="1"/>
    <col min="10006" max="10241" width="9" style="3219"/>
    <col min="10242" max="10242" width="2.5" style="3219" customWidth="1"/>
    <col min="10243" max="10243" width="4" style="3219" customWidth="1"/>
    <col min="10244" max="10244" width="16.25" style="3219" customWidth="1"/>
    <col min="10245" max="10245" width="8.25" style="3219" customWidth="1"/>
    <col min="10246" max="10246" width="6.375" style="3219" customWidth="1"/>
    <col min="10247" max="10247" width="5.75" style="3219" customWidth="1"/>
    <col min="10248" max="10248" width="8" style="3219" customWidth="1"/>
    <col min="10249" max="10249" width="11.125" style="3219" customWidth="1"/>
    <col min="10250" max="10250" width="10.875" style="3219" customWidth="1"/>
    <col min="10251" max="10251" width="7.75" style="3219" customWidth="1"/>
    <col min="10252" max="10252" width="5.625" style="3219" customWidth="1"/>
    <col min="10253" max="10253" width="7.5" style="3219" customWidth="1"/>
    <col min="10254" max="10254" width="10.875" style="3219" customWidth="1"/>
    <col min="10255" max="10255" width="6.375" style="3219" customWidth="1"/>
    <col min="10256" max="10256" width="8" style="3219" customWidth="1"/>
    <col min="10257" max="10257" width="8.25" style="3219" customWidth="1"/>
    <col min="10258" max="10258" width="7.5" style="3219" customWidth="1"/>
    <col min="10259" max="10259" width="9" style="3219" hidden="1" customWidth="1"/>
    <col min="10260" max="10260" width="20.25" style="3219" customWidth="1"/>
    <col min="10261" max="10261" width="9.375" style="3219" customWidth="1"/>
    <col min="10262" max="10497" width="9" style="3219"/>
    <col min="10498" max="10498" width="2.5" style="3219" customWidth="1"/>
    <col min="10499" max="10499" width="4" style="3219" customWidth="1"/>
    <col min="10500" max="10500" width="16.25" style="3219" customWidth="1"/>
    <col min="10501" max="10501" width="8.25" style="3219" customWidth="1"/>
    <col min="10502" max="10502" width="6.375" style="3219" customWidth="1"/>
    <col min="10503" max="10503" width="5.75" style="3219" customWidth="1"/>
    <col min="10504" max="10504" width="8" style="3219" customWidth="1"/>
    <col min="10505" max="10505" width="11.125" style="3219" customWidth="1"/>
    <col min="10506" max="10506" width="10.875" style="3219" customWidth="1"/>
    <col min="10507" max="10507" width="7.75" style="3219" customWidth="1"/>
    <col min="10508" max="10508" width="5.625" style="3219" customWidth="1"/>
    <col min="10509" max="10509" width="7.5" style="3219" customWidth="1"/>
    <col min="10510" max="10510" width="10.875" style="3219" customWidth="1"/>
    <col min="10511" max="10511" width="6.375" style="3219" customWidth="1"/>
    <col min="10512" max="10512" width="8" style="3219" customWidth="1"/>
    <col min="10513" max="10513" width="8.25" style="3219" customWidth="1"/>
    <col min="10514" max="10514" width="7.5" style="3219" customWidth="1"/>
    <col min="10515" max="10515" width="9" style="3219" hidden="1" customWidth="1"/>
    <col min="10516" max="10516" width="20.25" style="3219" customWidth="1"/>
    <col min="10517" max="10517" width="9.375" style="3219" customWidth="1"/>
    <col min="10518" max="10753" width="9" style="3219"/>
    <col min="10754" max="10754" width="2.5" style="3219" customWidth="1"/>
    <col min="10755" max="10755" width="4" style="3219" customWidth="1"/>
    <col min="10756" max="10756" width="16.25" style="3219" customWidth="1"/>
    <col min="10757" max="10757" width="8.25" style="3219" customWidth="1"/>
    <col min="10758" max="10758" width="6.375" style="3219" customWidth="1"/>
    <col min="10759" max="10759" width="5.75" style="3219" customWidth="1"/>
    <col min="10760" max="10760" width="8" style="3219" customWidth="1"/>
    <col min="10761" max="10761" width="11.125" style="3219" customWidth="1"/>
    <col min="10762" max="10762" width="10.875" style="3219" customWidth="1"/>
    <col min="10763" max="10763" width="7.75" style="3219" customWidth="1"/>
    <col min="10764" max="10764" width="5.625" style="3219" customWidth="1"/>
    <col min="10765" max="10765" width="7.5" style="3219" customWidth="1"/>
    <col min="10766" max="10766" width="10.875" style="3219" customWidth="1"/>
    <col min="10767" max="10767" width="6.375" style="3219" customWidth="1"/>
    <col min="10768" max="10768" width="8" style="3219" customWidth="1"/>
    <col min="10769" max="10769" width="8.25" style="3219" customWidth="1"/>
    <col min="10770" max="10770" width="7.5" style="3219" customWidth="1"/>
    <col min="10771" max="10771" width="9" style="3219" hidden="1" customWidth="1"/>
    <col min="10772" max="10772" width="20.25" style="3219" customWidth="1"/>
    <col min="10773" max="10773" width="9.375" style="3219" customWidth="1"/>
    <col min="10774" max="11009" width="9" style="3219"/>
    <col min="11010" max="11010" width="2.5" style="3219" customWidth="1"/>
    <col min="11011" max="11011" width="4" style="3219" customWidth="1"/>
    <col min="11012" max="11012" width="16.25" style="3219" customWidth="1"/>
    <col min="11013" max="11013" width="8.25" style="3219" customWidth="1"/>
    <col min="11014" max="11014" width="6.375" style="3219" customWidth="1"/>
    <col min="11015" max="11015" width="5.75" style="3219" customWidth="1"/>
    <col min="11016" max="11016" width="8" style="3219" customWidth="1"/>
    <col min="11017" max="11017" width="11.125" style="3219" customWidth="1"/>
    <col min="11018" max="11018" width="10.875" style="3219" customWidth="1"/>
    <col min="11019" max="11019" width="7.75" style="3219" customWidth="1"/>
    <col min="11020" max="11020" width="5.625" style="3219" customWidth="1"/>
    <col min="11021" max="11021" width="7.5" style="3219" customWidth="1"/>
    <col min="11022" max="11022" width="10.875" style="3219" customWidth="1"/>
    <col min="11023" max="11023" width="6.375" style="3219" customWidth="1"/>
    <col min="11024" max="11024" width="8" style="3219" customWidth="1"/>
    <col min="11025" max="11025" width="8.25" style="3219" customWidth="1"/>
    <col min="11026" max="11026" width="7.5" style="3219" customWidth="1"/>
    <col min="11027" max="11027" width="9" style="3219" hidden="1" customWidth="1"/>
    <col min="11028" max="11028" width="20.25" style="3219" customWidth="1"/>
    <col min="11029" max="11029" width="9.375" style="3219" customWidth="1"/>
    <col min="11030" max="11265" width="9" style="3219"/>
    <col min="11266" max="11266" width="2.5" style="3219" customWidth="1"/>
    <col min="11267" max="11267" width="4" style="3219" customWidth="1"/>
    <col min="11268" max="11268" width="16.25" style="3219" customWidth="1"/>
    <col min="11269" max="11269" width="8.25" style="3219" customWidth="1"/>
    <col min="11270" max="11270" width="6.375" style="3219" customWidth="1"/>
    <col min="11271" max="11271" width="5.75" style="3219" customWidth="1"/>
    <col min="11272" max="11272" width="8" style="3219" customWidth="1"/>
    <col min="11273" max="11273" width="11.125" style="3219" customWidth="1"/>
    <col min="11274" max="11274" width="10.875" style="3219" customWidth="1"/>
    <col min="11275" max="11275" width="7.75" style="3219" customWidth="1"/>
    <col min="11276" max="11276" width="5.625" style="3219" customWidth="1"/>
    <col min="11277" max="11277" width="7.5" style="3219" customWidth="1"/>
    <col min="11278" max="11278" width="10.875" style="3219" customWidth="1"/>
    <col min="11279" max="11279" width="6.375" style="3219" customWidth="1"/>
    <col min="11280" max="11280" width="8" style="3219" customWidth="1"/>
    <col min="11281" max="11281" width="8.25" style="3219" customWidth="1"/>
    <col min="11282" max="11282" width="7.5" style="3219" customWidth="1"/>
    <col min="11283" max="11283" width="9" style="3219" hidden="1" customWidth="1"/>
    <col min="11284" max="11284" width="20.25" style="3219" customWidth="1"/>
    <col min="11285" max="11285" width="9.375" style="3219" customWidth="1"/>
    <col min="11286" max="11521" width="9" style="3219"/>
    <col min="11522" max="11522" width="2.5" style="3219" customWidth="1"/>
    <col min="11523" max="11523" width="4" style="3219" customWidth="1"/>
    <col min="11524" max="11524" width="16.25" style="3219" customWidth="1"/>
    <col min="11525" max="11525" width="8.25" style="3219" customWidth="1"/>
    <col min="11526" max="11526" width="6.375" style="3219" customWidth="1"/>
    <col min="11527" max="11527" width="5.75" style="3219" customWidth="1"/>
    <col min="11528" max="11528" width="8" style="3219" customWidth="1"/>
    <col min="11529" max="11529" width="11.125" style="3219" customWidth="1"/>
    <col min="11530" max="11530" width="10.875" style="3219" customWidth="1"/>
    <col min="11531" max="11531" width="7.75" style="3219" customWidth="1"/>
    <col min="11532" max="11532" width="5.625" style="3219" customWidth="1"/>
    <col min="11533" max="11533" width="7.5" style="3219" customWidth="1"/>
    <col min="11534" max="11534" width="10.875" style="3219" customWidth="1"/>
    <col min="11535" max="11535" width="6.375" style="3219" customWidth="1"/>
    <col min="11536" max="11536" width="8" style="3219" customWidth="1"/>
    <col min="11537" max="11537" width="8.25" style="3219" customWidth="1"/>
    <col min="11538" max="11538" width="7.5" style="3219" customWidth="1"/>
    <col min="11539" max="11539" width="9" style="3219" hidden="1" customWidth="1"/>
    <col min="11540" max="11540" width="20.25" style="3219" customWidth="1"/>
    <col min="11541" max="11541" width="9.375" style="3219" customWidth="1"/>
    <col min="11542" max="11777" width="9" style="3219"/>
    <col min="11778" max="11778" width="2.5" style="3219" customWidth="1"/>
    <col min="11779" max="11779" width="4" style="3219" customWidth="1"/>
    <col min="11780" max="11780" width="16.25" style="3219" customWidth="1"/>
    <col min="11781" max="11781" width="8.25" style="3219" customWidth="1"/>
    <col min="11782" max="11782" width="6.375" style="3219" customWidth="1"/>
    <col min="11783" max="11783" width="5.75" style="3219" customWidth="1"/>
    <col min="11784" max="11784" width="8" style="3219" customWidth="1"/>
    <col min="11785" max="11785" width="11.125" style="3219" customWidth="1"/>
    <col min="11786" max="11786" width="10.875" style="3219" customWidth="1"/>
    <col min="11787" max="11787" width="7.75" style="3219" customWidth="1"/>
    <col min="11788" max="11788" width="5.625" style="3219" customWidth="1"/>
    <col min="11789" max="11789" width="7.5" style="3219" customWidth="1"/>
    <col min="11790" max="11790" width="10.875" style="3219" customWidth="1"/>
    <col min="11791" max="11791" width="6.375" style="3219" customWidth="1"/>
    <col min="11792" max="11792" width="8" style="3219" customWidth="1"/>
    <col min="11793" max="11793" width="8.25" style="3219" customWidth="1"/>
    <col min="11794" max="11794" width="7.5" style="3219" customWidth="1"/>
    <col min="11795" max="11795" width="9" style="3219" hidden="1" customWidth="1"/>
    <col min="11796" max="11796" width="20.25" style="3219" customWidth="1"/>
    <col min="11797" max="11797" width="9.375" style="3219" customWidth="1"/>
    <col min="11798" max="12033" width="9" style="3219"/>
    <col min="12034" max="12034" width="2.5" style="3219" customWidth="1"/>
    <col min="12035" max="12035" width="4" style="3219" customWidth="1"/>
    <col min="12036" max="12036" width="16.25" style="3219" customWidth="1"/>
    <col min="12037" max="12037" width="8.25" style="3219" customWidth="1"/>
    <col min="12038" max="12038" width="6.375" style="3219" customWidth="1"/>
    <col min="12039" max="12039" width="5.75" style="3219" customWidth="1"/>
    <col min="12040" max="12040" width="8" style="3219" customWidth="1"/>
    <col min="12041" max="12041" width="11.125" style="3219" customWidth="1"/>
    <col min="12042" max="12042" width="10.875" style="3219" customWidth="1"/>
    <col min="12043" max="12043" width="7.75" style="3219" customWidth="1"/>
    <col min="12044" max="12044" width="5.625" style="3219" customWidth="1"/>
    <col min="12045" max="12045" width="7.5" style="3219" customWidth="1"/>
    <col min="12046" max="12046" width="10.875" style="3219" customWidth="1"/>
    <col min="12047" max="12047" width="6.375" style="3219" customWidth="1"/>
    <col min="12048" max="12048" width="8" style="3219" customWidth="1"/>
    <col min="12049" max="12049" width="8.25" style="3219" customWidth="1"/>
    <col min="12050" max="12050" width="7.5" style="3219" customWidth="1"/>
    <col min="12051" max="12051" width="9" style="3219" hidden="1" customWidth="1"/>
    <col min="12052" max="12052" width="20.25" style="3219" customWidth="1"/>
    <col min="12053" max="12053" width="9.375" style="3219" customWidth="1"/>
    <col min="12054" max="12289" width="9" style="3219"/>
    <col min="12290" max="12290" width="2.5" style="3219" customWidth="1"/>
    <col min="12291" max="12291" width="4" style="3219" customWidth="1"/>
    <col min="12292" max="12292" width="16.25" style="3219" customWidth="1"/>
    <col min="12293" max="12293" width="8.25" style="3219" customWidth="1"/>
    <col min="12294" max="12294" width="6.375" style="3219" customWidth="1"/>
    <col min="12295" max="12295" width="5.75" style="3219" customWidth="1"/>
    <col min="12296" max="12296" width="8" style="3219" customWidth="1"/>
    <col min="12297" max="12297" width="11.125" style="3219" customWidth="1"/>
    <col min="12298" max="12298" width="10.875" style="3219" customWidth="1"/>
    <col min="12299" max="12299" width="7.75" style="3219" customWidth="1"/>
    <col min="12300" max="12300" width="5.625" style="3219" customWidth="1"/>
    <col min="12301" max="12301" width="7.5" style="3219" customWidth="1"/>
    <col min="12302" max="12302" width="10.875" style="3219" customWidth="1"/>
    <col min="12303" max="12303" width="6.375" style="3219" customWidth="1"/>
    <col min="12304" max="12304" width="8" style="3219" customWidth="1"/>
    <col min="12305" max="12305" width="8.25" style="3219" customWidth="1"/>
    <col min="12306" max="12306" width="7.5" style="3219" customWidth="1"/>
    <col min="12307" max="12307" width="9" style="3219" hidden="1" customWidth="1"/>
    <col min="12308" max="12308" width="20.25" style="3219" customWidth="1"/>
    <col min="12309" max="12309" width="9.375" style="3219" customWidth="1"/>
    <col min="12310" max="12545" width="9" style="3219"/>
    <col min="12546" max="12546" width="2.5" style="3219" customWidth="1"/>
    <col min="12547" max="12547" width="4" style="3219" customWidth="1"/>
    <col min="12548" max="12548" width="16.25" style="3219" customWidth="1"/>
    <col min="12549" max="12549" width="8.25" style="3219" customWidth="1"/>
    <col min="12550" max="12550" width="6.375" style="3219" customWidth="1"/>
    <col min="12551" max="12551" width="5.75" style="3219" customWidth="1"/>
    <col min="12552" max="12552" width="8" style="3219" customWidth="1"/>
    <col min="12553" max="12553" width="11.125" style="3219" customWidth="1"/>
    <col min="12554" max="12554" width="10.875" style="3219" customWidth="1"/>
    <col min="12555" max="12555" width="7.75" style="3219" customWidth="1"/>
    <col min="12556" max="12556" width="5.625" style="3219" customWidth="1"/>
    <col min="12557" max="12557" width="7.5" style="3219" customWidth="1"/>
    <col min="12558" max="12558" width="10.875" style="3219" customWidth="1"/>
    <col min="12559" max="12559" width="6.375" style="3219" customWidth="1"/>
    <col min="12560" max="12560" width="8" style="3219" customWidth="1"/>
    <col min="12561" max="12561" width="8.25" style="3219" customWidth="1"/>
    <col min="12562" max="12562" width="7.5" style="3219" customWidth="1"/>
    <col min="12563" max="12563" width="9" style="3219" hidden="1" customWidth="1"/>
    <col min="12564" max="12564" width="20.25" style="3219" customWidth="1"/>
    <col min="12565" max="12565" width="9.375" style="3219" customWidth="1"/>
    <col min="12566" max="12801" width="9" style="3219"/>
    <col min="12802" max="12802" width="2.5" style="3219" customWidth="1"/>
    <col min="12803" max="12803" width="4" style="3219" customWidth="1"/>
    <col min="12804" max="12804" width="16.25" style="3219" customWidth="1"/>
    <col min="12805" max="12805" width="8.25" style="3219" customWidth="1"/>
    <col min="12806" max="12806" width="6.375" style="3219" customWidth="1"/>
    <col min="12807" max="12807" width="5.75" style="3219" customWidth="1"/>
    <col min="12808" max="12808" width="8" style="3219" customWidth="1"/>
    <col min="12809" max="12809" width="11.125" style="3219" customWidth="1"/>
    <col min="12810" max="12810" width="10.875" style="3219" customWidth="1"/>
    <col min="12811" max="12811" width="7.75" style="3219" customWidth="1"/>
    <col min="12812" max="12812" width="5.625" style="3219" customWidth="1"/>
    <col min="12813" max="12813" width="7.5" style="3219" customWidth="1"/>
    <col min="12814" max="12814" width="10.875" style="3219" customWidth="1"/>
    <col min="12815" max="12815" width="6.375" style="3219" customWidth="1"/>
    <col min="12816" max="12816" width="8" style="3219" customWidth="1"/>
    <col min="12817" max="12817" width="8.25" style="3219" customWidth="1"/>
    <col min="12818" max="12818" width="7.5" style="3219" customWidth="1"/>
    <col min="12819" max="12819" width="9" style="3219" hidden="1" customWidth="1"/>
    <col min="12820" max="12820" width="20.25" style="3219" customWidth="1"/>
    <col min="12821" max="12821" width="9.375" style="3219" customWidth="1"/>
    <col min="12822" max="13057" width="9" style="3219"/>
    <col min="13058" max="13058" width="2.5" style="3219" customWidth="1"/>
    <col min="13059" max="13059" width="4" style="3219" customWidth="1"/>
    <col min="13060" max="13060" width="16.25" style="3219" customWidth="1"/>
    <col min="13061" max="13061" width="8.25" style="3219" customWidth="1"/>
    <col min="13062" max="13062" width="6.375" style="3219" customWidth="1"/>
    <col min="13063" max="13063" width="5.75" style="3219" customWidth="1"/>
    <col min="13064" max="13064" width="8" style="3219" customWidth="1"/>
    <col min="13065" max="13065" width="11.125" style="3219" customWidth="1"/>
    <col min="13066" max="13066" width="10.875" style="3219" customWidth="1"/>
    <col min="13067" max="13067" width="7.75" style="3219" customWidth="1"/>
    <col min="13068" max="13068" width="5.625" style="3219" customWidth="1"/>
    <col min="13069" max="13069" width="7.5" style="3219" customWidth="1"/>
    <col min="13070" max="13070" width="10.875" style="3219" customWidth="1"/>
    <col min="13071" max="13071" width="6.375" style="3219" customWidth="1"/>
    <col min="13072" max="13072" width="8" style="3219" customWidth="1"/>
    <col min="13073" max="13073" width="8.25" style="3219" customWidth="1"/>
    <col min="13074" max="13074" width="7.5" style="3219" customWidth="1"/>
    <col min="13075" max="13075" width="9" style="3219" hidden="1" customWidth="1"/>
    <col min="13076" max="13076" width="20.25" style="3219" customWidth="1"/>
    <col min="13077" max="13077" width="9.375" style="3219" customWidth="1"/>
    <col min="13078" max="13313" width="9" style="3219"/>
    <col min="13314" max="13314" width="2.5" style="3219" customWidth="1"/>
    <col min="13315" max="13315" width="4" style="3219" customWidth="1"/>
    <col min="13316" max="13316" width="16.25" style="3219" customWidth="1"/>
    <col min="13317" max="13317" width="8.25" style="3219" customWidth="1"/>
    <col min="13318" max="13318" width="6.375" style="3219" customWidth="1"/>
    <col min="13319" max="13319" width="5.75" style="3219" customWidth="1"/>
    <col min="13320" max="13320" width="8" style="3219" customWidth="1"/>
    <col min="13321" max="13321" width="11.125" style="3219" customWidth="1"/>
    <col min="13322" max="13322" width="10.875" style="3219" customWidth="1"/>
    <col min="13323" max="13323" width="7.75" style="3219" customWidth="1"/>
    <col min="13324" max="13324" width="5.625" style="3219" customWidth="1"/>
    <col min="13325" max="13325" width="7.5" style="3219" customWidth="1"/>
    <col min="13326" max="13326" width="10.875" style="3219" customWidth="1"/>
    <col min="13327" max="13327" width="6.375" style="3219" customWidth="1"/>
    <col min="13328" max="13328" width="8" style="3219" customWidth="1"/>
    <col min="13329" max="13329" width="8.25" style="3219" customWidth="1"/>
    <col min="13330" max="13330" width="7.5" style="3219" customWidth="1"/>
    <col min="13331" max="13331" width="9" style="3219" hidden="1" customWidth="1"/>
    <col min="13332" max="13332" width="20.25" style="3219" customWidth="1"/>
    <col min="13333" max="13333" width="9.375" style="3219" customWidth="1"/>
    <col min="13334" max="13569" width="9" style="3219"/>
    <col min="13570" max="13570" width="2.5" style="3219" customWidth="1"/>
    <col min="13571" max="13571" width="4" style="3219" customWidth="1"/>
    <col min="13572" max="13572" width="16.25" style="3219" customWidth="1"/>
    <col min="13573" max="13573" width="8.25" style="3219" customWidth="1"/>
    <col min="13574" max="13574" width="6.375" style="3219" customWidth="1"/>
    <col min="13575" max="13575" width="5.75" style="3219" customWidth="1"/>
    <col min="13576" max="13576" width="8" style="3219" customWidth="1"/>
    <col min="13577" max="13577" width="11.125" style="3219" customWidth="1"/>
    <col min="13578" max="13578" width="10.875" style="3219" customWidth="1"/>
    <col min="13579" max="13579" width="7.75" style="3219" customWidth="1"/>
    <col min="13580" max="13580" width="5.625" style="3219" customWidth="1"/>
    <col min="13581" max="13581" width="7.5" style="3219" customWidth="1"/>
    <col min="13582" max="13582" width="10.875" style="3219" customWidth="1"/>
    <col min="13583" max="13583" width="6.375" style="3219" customWidth="1"/>
    <col min="13584" max="13584" width="8" style="3219" customWidth="1"/>
    <col min="13585" max="13585" width="8.25" style="3219" customWidth="1"/>
    <col min="13586" max="13586" width="7.5" style="3219" customWidth="1"/>
    <col min="13587" max="13587" width="9" style="3219" hidden="1" customWidth="1"/>
    <col min="13588" max="13588" width="20.25" style="3219" customWidth="1"/>
    <col min="13589" max="13589" width="9.375" style="3219" customWidth="1"/>
    <col min="13590" max="13825" width="9" style="3219"/>
    <col min="13826" max="13826" width="2.5" style="3219" customWidth="1"/>
    <col min="13827" max="13827" width="4" style="3219" customWidth="1"/>
    <col min="13828" max="13828" width="16.25" style="3219" customWidth="1"/>
    <col min="13829" max="13829" width="8.25" style="3219" customWidth="1"/>
    <col min="13830" max="13830" width="6.375" style="3219" customWidth="1"/>
    <col min="13831" max="13831" width="5.75" style="3219" customWidth="1"/>
    <col min="13832" max="13832" width="8" style="3219" customWidth="1"/>
    <col min="13833" max="13833" width="11.125" style="3219" customWidth="1"/>
    <col min="13834" max="13834" width="10.875" style="3219" customWidth="1"/>
    <col min="13835" max="13835" width="7.75" style="3219" customWidth="1"/>
    <col min="13836" max="13836" width="5.625" style="3219" customWidth="1"/>
    <col min="13837" max="13837" width="7.5" style="3219" customWidth="1"/>
    <col min="13838" max="13838" width="10.875" style="3219" customWidth="1"/>
    <col min="13839" max="13839" width="6.375" style="3219" customWidth="1"/>
    <col min="13840" max="13840" width="8" style="3219" customWidth="1"/>
    <col min="13841" max="13841" width="8.25" style="3219" customWidth="1"/>
    <col min="13842" max="13842" width="7.5" style="3219" customWidth="1"/>
    <col min="13843" max="13843" width="9" style="3219" hidden="1" customWidth="1"/>
    <col min="13844" max="13844" width="20.25" style="3219" customWidth="1"/>
    <col min="13845" max="13845" width="9.375" style="3219" customWidth="1"/>
    <col min="13846" max="14081" width="9" style="3219"/>
    <col min="14082" max="14082" width="2.5" style="3219" customWidth="1"/>
    <col min="14083" max="14083" width="4" style="3219" customWidth="1"/>
    <col min="14084" max="14084" width="16.25" style="3219" customWidth="1"/>
    <col min="14085" max="14085" width="8.25" style="3219" customWidth="1"/>
    <col min="14086" max="14086" width="6.375" style="3219" customWidth="1"/>
    <col min="14087" max="14087" width="5.75" style="3219" customWidth="1"/>
    <col min="14088" max="14088" width="8" style="3219" customWidth="1"/>
    <col min="14089" max="14089" width="11.125" style="3219" customWidth="1"/>
    <col min="14090" max="14090" width="10.875" style="3219" customWidth="1"/>
    <col min="14091" max="14091" width="7.75" style="3219" customWidth="1"/>
    <col min="14092" max="14092" width="5.625" style="3219" customWidth="1"/>
    <col min="14093" max="14093" width="7.5" style="3219" customWidth="1"/>
    <col min="14094" max="14094" width="10.875" style="3219" customWidth="1"/>
    <col min="14095" max="14095" width="6.375" style="3219" customWidth="1"/>
    <col min="14096" max="14096" width="8" style="3219" customWidth="1"/>
    <col min="14097" max="14097" width="8.25" style="3219" customWidth="1"/>
    <col min="14098" max="14098" width="7.5" style="3219" customWidth="1"/>
    <col min="14099" max="14099" width="9" style="3219" hidden="1" customWidth="1"/>
    <col min="14100" max="14100" width="20.25" style="3219" customWidth="1"/>
    <col min="14101" max="14101" width="9.375" style="3219" customWidth="1"/>
    <col min="14102" max="14337" width="9" style="3219"/>
    <col min="14338" max="14338" width="2.5" style="3219" customWidth="1"/>
    <col min="14339" max="14339" width="4" style="3219" customWidth="1"/>
    <col min="14340" max="14340" width="16.25" style="3219" customWidth="1"/>
    <col min="14341" max="14341" width="8.25" style="3219" customWidth="1"/>
    <col min="14342" max="14342" width="6.375" style="3219" customWidth="1"/>
    <col min="14343" max="14343" width="5.75" style="3219" customWidth="1"/>
    <col min="14344" max="14344" width="8" style="3219" customWidth="1"/>
    <col min="14345" max="14345" width="11.125" style="3219" customWidth="1"/>
    <col min="14346" max="14346" width="10.875" style="3219" customWidth="1"/>
    <col min="14347" max="14347" width="7.75" style="3219" customWidth="1"/>
    <col min="14348" max="14348" width="5.625" style="3219" customWidth="1"/>
    <col min="14349" max="14349" width="7.5" style="3219" customWidth="1"/>
    <col min="14350" max="14350" width="10.875" style="3219" customWidth="1"/>
    <col min="14351" max="14351" width="6.375" style="3219" customWidth="1"/>
    <col min="14352" max="14352" width="8" style="3219" customWidth="1"/>
    <col min="14353" max="14353" width="8.25" style="3219" customWidth="1"/>
    <col min="14354" max="14354" width="7.5" style="3219" customWidth="1"/>
    <col min="14355" max="14355" width="9" style="3219" hidden="1" customWidth="1"/>
    <col min="14356" max="14356" width="20.25" style="3219" customWidth="1"/>
    <col min="14357" max="14357" width="9.375" style="3219" customWidth="1"/>
    <col min="14358" max="14593" width="9" style="3219"/>
    <col min="14594" max="14594" width="2.5" style="3219" customWidth="1"/>
    <col min="14595" max="14595" width="4" style="3219" customWidth="1"/>
    <col min="14596" max="14596" width="16.25" style="3219" customWidth="1"/>
    <col min="14597" max="14597" width="8.25" style="3219" customWidth="1"/>
    <col min="14598" max="14598" width="6.375" style="3219" customWidth="1"/>
    <col min="14599" max="14599" width="5.75" style="3219" customWidth="1"/>
    <col min="14600" max="14600" width="8" style="3219" customWidth="1"/>
    <col min="14601" max="14601" width="11.125" style="3219" customWidth="1"/>
    <col min="14602" max="14602" width="10.875" style="3219" customWidth="1"/>
    <col min="14603" max="14603" width="7.75" style="3219" customWidth="1"/>
    <col min="14604" max="14604" width="5.625" style="3219" customWidth="1"/>
    <col min="14605" max="14605" width="7.5" style="3219" customWidth="1"/>
    <col min="14606" max="14606" width="10.875" style="3219" customWidth="1"/>
    <col min="14607" max="14607" width="6.375" style="3219" customWidth="1"/>
    <col min="14608" max="14608" width="8" style="3219" customWidth="1"/>
    <col min="14609" max="14609" width="8.25" style="3219" customWidth="1"/>
    <col min="14610" max="14610" width="7.5" style="3219" customWidth="1"/>
    <col min="14611" max="14611" width="9" style="3219" hidden="1" customWidth="1"/>
    <col min="14612" max="14612" width="20.25" style="3219" customWidth="1"/>
    <col min="14613" max="14613" width="9.375" style="3219" customWidth="1"/>
    <col min="14614" max="14849" width="9" style="3219"/>
    <col min="14850" max="14850" width="2.5" style="3219" customWidth="1"/>
    <col min="14851" max="14851" width="4" style="3219" customWidth="1"/>
    <col min="14852" max="14852" width="16.25" style="3219" customWidth="1"/>
    <col min="14853" max="14853" width="8.25" style="3219" customWidth="1"/>
    <col min="14854" max="14854" width="6.375" style="3219" customWidth="1"/>
    <col min="14855" max="14855" width="5.75" style="3219" customWidth="1"/>
    <col min="14856" max="14856" width="8" style="3219" customWidth="1"/>
    <col min="14857" max="14857" width="11.125" style="3219" customWidth="1"/>
    <col min="14858" max="14858" width="10.875" style="3219" customWidth="1"/>
    <col min="14859" max="14859" width="7.75" style="3219" customWidth="1"/>
    <col min="14860" max="14860" width="5.625" style="3219" customWidth="1"/>
    <col min="14861" max="14861" width="7.5" style="3219" customWidth="1"/>
    <col min="14862" max="14862" width="10.875" style="3219" customWidth="1"/>
    <col min="14863" max="14863" width="6.375" style="3219" customWidth="1"/>
    <col min="14864" max="14864" width="8" style="3219" customWidth="1"/>
    <col min="14865" max="14865" width="8.25" style="3219" customWidth="1"/>
    <col min="14866" max="14866" width="7.5" style="3219" customWidth="1"/>
    <col min="14867" max="14867" width="9" style="3219" hidden="1" customWidth="1"/>
    <col min="14868" max="14868" width="20.25" style="3219" customWidth="1"/>
    <col min="14869" max="14869" width="9.375" style="3219" customWidth="1"/>
    <col min="14870" max="15105" width="9" style="3219"/>
    <col min="15106" max="15106" width="2.5" style="3219" customWidth="1"/>
    <col min="15107" max="15107" width="4" style="3219" customWidth="1"/>
    <col min="15108" max="15108" width="16.25" style="3219" customWidth="1"/>
    <col min="15109" max="15109" width="8.25" style="3219" customWidth="1"/>
    <col min="15110" max="15110" width="6.375" style="3219" customWidth="1"/>
    <col min="15111" max="15111" width="5.75" style="3219" customWidth="1"/>
    <col min="15112" max="15112" width="8" style="3219" customWidth="1"/>
    <col min="15113" max="15113" width="11.125" style="3219" customWidth="1"/>
    <col min="15114" max="15114" width="10.875" style="3219" customWidth="1"/>
    <col min="15115" max="15115" width="7.75" style="3219" customWidth="1"/>
    <col min="15116" max="15116" width="5.625" style="3219" customWidth="1"/>
    <col min="15117" max="15117" width="7.5" style="3219" customWidth="1"/>
    <col min="15118" max="15118" width="10.875" style="3219" customWidth="1"/>
    <col min="15119" max="15119" width="6.375" style="3219" customWidth="1"/>
    <col min="15120" max="15120" width="8" style="3219" customWidth="1"/>
    <col min="15121" max="15121" width="8.25" style="3219" customWidth="1"/>
    <col min="15122" max="15122" width="7.5" style="3219" customWidth="1"/>
    <col min="15123" max="15123" width="9" style="3219" hidden="1" customWidth="1"/>
    <col min="15124" max="15124" width="20.25" style="3219" customWidth="1"/>
    <col min="15125" max="15125" width="9.375" style="3219" customWidth="1"/>
    <col min="15126" max="15361" width="9" style="3219"/>
    <col min="15362" max="15362" width="2.5" style="3219" customWidth="1"/>
    <col min="15363" max="15363" width="4" style="3219" customWidth="1"/>
    <col min="15364" max="15364" width="16.25" style="3219" customWidth="1"/>
    <col min="15365" max="15365" width="8.25" style="3219" customWidth="1"/>
    <col min="15366" max="15366" width="6.375" style="3219" customWidth="1"/>
    <col min="15367" max="15367" width="5.75" style="3219" customWidth="1"/>
    <col min="15368" max="15368" width="8" style="3219" customWidth="1"/>
    <col min="15369" max="15369" width="11.125" style="3219" customWidth="1"/>
    <col min="15370" max="15370" width="10.875" style="3219" customWidth="1"/>
    <col min="15371" max="15371" width="7.75" style="3219" customWidth="1"/>
    <col min="15372" max="15372" width="5.625" style="3219" customWidth="1"/>
    <col min="15373" max="15373" width="7.5" style="3219" customWidth="1"/>
    <col min="15374" max="15374" width="10.875" style="3219" customWidth="1"/>
    <col min="15375" max="15375" width="6.375" style="3219" customWidth="1"/>
    <col min="15376" max="15376" width="8" style="3219" customWidth="1"/>
    <col min="15377" max="15377" width="8.25" style="3219" customWidth="1"/>
    <col min="15378" max="15378" width="7.5" style="3219" customWidth="1"/>
    <col min="15379" max="15379" width="9" style="3219" hidden="1" customWidth="1"/>
    <col min="15380" max="15380" width="20.25" style="3219" customWidth="1"/>
    <col min="15381" max="15381" width="9.375" style="3219" customWidth="1"/>
    <col min="15382" max="15617" width="9" style="3219"/>
    <col min="15618" max="15618" width="2.5" style="3219" customWidth="1"/>
    <col min="15619" max="15619" width="4" style="3219" customWidth="1"/>
    <col min="15620" max="15620" width="16.25" style="3219" customWidth="1"/>
    <col min="15621" max="15621" width="8.25" style="3219" customWidth="1"/>
    <col min="15622" max="15622" width="6.375" style="3219" customWidth="1"/>
    <col min="15623" max="15623" width="5.75" style="3219" customWidth="1"/>
    <col min="15624" max="15624" width="8" style="3219" customWidth="1"/>
    <col min="15625" max="15625" width="11.125" style="3219" customWidth="1"/>
    <col min="15626" max="15626" width="10.875" style="3219" customWidth="1"/>
    <col min="15627" max="15627" width="7.75" style="3219" customWidth="1"/>
    <col min="15628" max="15628" width="5.625" style="3219" customWidth="1"/>
    <col min="15629" max="15629" width="7.5" style="3219" customWidth="1"/>
    <col min="15630" max="15630" width="10.875" style="3219" customWidth="1"/>
    <col min="15631" max="15631" width="6.375" style="3219" customWidth="1"/>
    <col min="15632" max="15632" width="8" style="3219" customWidth="1"/>
    <col min="15633" max="15633" width="8.25" style="3219" customWidth="1"/>
    <col min="15634" max="15634" width="7.5" style="3219" customWidth="1"/>
    <col min="15635" max="15635" width="9" style="3219" hidden="1" customWidth="1"/>
    <col min="15636" max="15636" width="20.25" style="3219" customWidth="1"/>
    <col min="15637" max="15637" width="9.375" style="3219" customWidth="1"/>
    <col min="15638" max="15873" width="9" style="3219"/>
    <col min="15874" max="15874" width="2.5" style="3219" customWidth="1"/>
    <col min="15875" max="15875" width="4" style="3219" customWidth="1"/>
    <col min="15876" max="15876" width="16.25" style="3219" customWidth="1"/>
    <col min="15877" max="15877" width="8.25" style="3219" customWidth="1"/>
    <col min="15878" max="15878" width="6.375" style="3219" customWidth="1"/>
    <col min="15879" max="15879" width="5.75" style="3219" customWidth="1"/>
    <col min="15880" max="15880" width="8" style="3219" customWidth="1"/>
    <col min="15881" max="15881" width="11.125" style="3219" customWidth="1"/>
    <col min="15882" max="15882" width="10.875" style="3219" customWidth="1"/>
    <col min="15883" max="15883" width="7.75" style="3219" customWidth="1"/>
    <col min="15884" max="15884" width="5.625" style="3219" customWidth="1"/>
    <col min="15885" max="15885" width="7.5" style="3219" customWidth="1"/>
    <col min="15886" max="15886" width="10.875" style="3219" customWidth="1"/>
    <col min="15887" max="15887" width="6.375" style="3219" customWidth="1"/>
    <col min="15888" max="15888" width="8" style="3219" customWidth="1"/>
    <col min="15889" max="15889" width="8.25" style="3219" customWidth="1"/>
    <col min="15890" max="15890" width="7.5" style="3219" customWidth="1"/>
    <col min="15891" max="15891" width="9" style="3219" hidden="1" customWidth="1"/>
    <col min="15892" max="15892" width="20.25" style="3219" customWidth="1"/>
    <col min="15893" max="15893" width="9.375" style="3219" customWidth="1"/>
    <col min="15894" max="16129" width="9" style="3219"/>
    <col min="16130" max="16130" width="2.5" style="3219" customWidth="1"/>
    <col min="16131" max="16131" width="4" style="3219" customWidth="1"/>
    <col min="16132" max="16132" width="16.25" style="3219" customWidth="1"/>
    <col min="16133" max="16133" width="8.25" style="3219" customWidth="1"/>
    <col min="16134" max="16134" width="6.375" style="3219" customWidth="1"/>
    <col min="16135" max="16135" width="5.75" style="3219" customWidth="1"/>
    <col min="16136" max="16136" width="8" style="3219" customWidth="1"/>
    <col min="16137" max="16137" width="11.125" style="3219" customWidth="1"/>
    <col min="16138" max="16138" width="10.875" style="3219" customWidth="1"/>
    <col min="16139" max="16139" width="7.75" style="3219" customWidth="1"/>
    <col min="16140" max="16140" width="5.625" style="3219" customWidth="1"/>
    <col min="16141" max="16141" width="7.5" style="3219" customWidth="1"/>
    <col min="16142" max="16142" width="10.875" style="3219" customWidth="1"/>
    <col min="16143" max="16143" width="6.375" style="3219" customWidth="1"/>
    <col min="16144" max="16144" width="8" style="3219" customWidth="1"/>
    <col min="16145" max="16145" width="8.25" style="3219" customWidth="1"/>
    <col min="16146" max="16146" width="7.5" style="3219" customWidth="1"/>
    <col min="16147" max="16147" width="9" style="3219" hidden="1" customWidth="1"/>
    <col min="16148" max="16148" width="20.25" style="3219" customWidth="1"/>
    <col min="16149" max="16149" width="9.375" style="3219" customWidth="1"/>
    <col min="16150" max="16384" width="9" style="3219"/>
  </cols>
  <sheetData>
    <row r="2" spans="2:21" ht="22.5" customHeight="1" thickBot="1">
      <c r="B2" s="3418" t="s">
        <v>3412</v>
      </c>
      <c r="C2" s="3418"/>
      <c r="D2" s="3418"/>
      <c r="E2" s="3418"/>
      <c r="F2" s="3418"/>
      <c r="G2" s="3418"/>
      <c r="H2" s="3418"/>
      <c r="I2" s="3418"/>
      <c r="J2" s="3418"/>
      <c r="K2" s="3418"/>
      <c r="L2" s="3418"/>
      <c r="M2" s="3418"/>
      <c r="N2" s="3418"/>
      <c r="O2" s="3418"/>
      <c r="P2" s="3418"/>
      <c r="Q2" s="3418"/>
    </row>
    <row r="3" spans="2:21" ht="15" customHeight="1">
      <c r="B3" s="3298" t="s">
        <v>3413</v>
      </c>
      <c r="C3" s="3299"/>
      <c r="D3" s="3419">
        <v>67358.31</v>
      </c>
      <c r="E3" s="3419"/>
      <c r="F3" s="3222" t="s">
        <v>3414</v>
      </c>
      <c r="G3" s="3469" t="s">
        <v>3415</v>
      </c>
      <c r="H3" s="3469"/>
      <c r="I3" s="3469"/>
      <c r="J3" s="3469"/>
      <c r="K3" s="3223">
        <f>D3</f>
        <v>67358.31</v>
      </c>
      <c r="L3" s="3421" t="s">
        <v>3414</v>
      </c>
      <c r="M3" s="3422"/>
      <c r="N3" s="3300" t="s">
        <v>3416</v>
      </c>
      <c r="O3" s="3223">
        <f>J47</f>
        <v>174300.5</v>
      </c>
      <c r="P3" s="3421" t="s">
        <v>3414</v>
      </c>
      <c r="Q3" s="3470"/>
      <c r="R3" s="3300" t="s">
        <v>3509</v>
      </c>
    </row>
    <row r="4" spans="2:21" ht="15" customHeight="1">
      <c r="B4" s="3301" t="s">
        <v>3417</v>
      </c>
      <c r="C4" s="3302"/>
      <c r="D4" s="3413">
        <f>G47</f>
        <v>49562.06</v>
      </c>
      <c r="E4" s="3413"/>
      <c r="F4" s="3228" t="s">
        <v>3414</v>
      </c>
      <c r="G4" s="3467" t="s">
        <v>3418</v>
      </c>
      <c r="H4" s="3467"/>
      <c r="I4" s="3467"/>
      <c r="J4" s="3467"/>
      <c r="K4" s="3415">
        <f>IF(D4=0,"",IF(K3=0,"",D4/K3))</f>
        <v>0.73579726094671916</v>
      </c>
      <c r="L4" s="3415"/>
      <c r="M4" s="3415"/>
      <c r="N4" s="3303" t="s">
        <v>3419</v>
      </c>
      <c r="O4" s="3416">
        <v>0.4</v>
      </c>
      <c r="P4" s="3416"/>
      <c r="Q4" s="3468"/>
      <c r="R4" s="3304">
        <f>[7]经济指标!J4</f>
        <v>38191.970810145955</v>
      </c>
    </row>
    <row r="5" spans="2:21" ht="15" customHeight="1">
      <c r="B5" s="3301" t="s">
        <v>3420</v>
      </c>
      <c r="C5" s="3302"/>
      <c r="D5" s="3413">
        <f>H22+H27+H39</f>
        <v>129115.5</v>
      </c>
      <c r="E5" s="3413"/>
      <c r="F5" s="3228" t="s">
        <v>3414</v>
      </c>
      <c r="G5" s="3467" t="s">
        <v>3421</v>
      </c>
      <c r="H5" s="3467"/>
      <c r="I5" s="3467"/>
      <c r="J5" s="3467"/>
      <c r="K5" s="3424">
        <f>IF(D5=0,"",IF(D3=0,"",D5/D3))</f>
        <v>1.9168458947381548</v>
      </c>
      <c r="L5" s="3424"/>
      <c r="M5" s="3424"/>
      <c r="N5" s="3303" t="s">
        <v>3422</v>
      </c>
      <c r="O5" s="3425">
        <v>1400</v>
      </c>
      <c r="P5" s="3426"/>
      <c r="Q5" s="3305" t="s">
        <v>3423</v>
      </c>
      <c r="R5" s="3306"/>
    </row>
    <row r="6" spans="2:21" s="3231" customFormat="1" ht="15" customHeight="1">
      <c r="B6" s="3301" t="s">
        <v>3424</v>
      </c>
      <c r="C6" s="3302"/>
      <c r="D6" s="3471" t="s">
        <v>3425</v>
      </c>
      <c r="E6" s="3471"/>
      <c r="F6" s="3471" t="s">
        <v>3426</v>
      </c>
      <c r="G6" s="3471"/>
      <c r="H6" s="3471"/>
      <c r="I6" s="3471"/>
      <c r="J6" s="3471"/>
      <c r="K6" s="3471" t="s">
        <v>3427</v>
      </c>
      <c r="L6" s="3471"/>
      <c r="M6" s="3426">
        <v>2</v>
      </c>
      <c r="N6" s="3426"/>
      <c r="O6" s="3303" t="s">
        <v>3428</v>
      </c>
      <c r="P6" s="3303">
        <f>E41+E43</f>
        <v>774.13464549317814</v>
      </c>
      <c r="Q6" s="3303" t="s">
        <v>3429</v>
      </c>
      <c r="R6" s="3307">
        <f>E46</f>
        <v>774.13464549317814</v>
      </c>
    </row>
    <row r="7" spans="2:21" s="3231" customFormat="1" ht="15" customHeight="1">
      <c r="B7" s="3428">
        <f>SUM(D7:J7)</f>
        <v>1800</v>
      </c>
      <c r="C7" s="3429"/>
      <c r="D7" s="3426">
        <v>1800</v>
      </c>
      <c r="E7" s="3426"/>
      <c r="F7" s="3426">
        <f>E41*F41</f>
        <v>0</v>
      </c>
      <c r="G7" s="3426"/>
      <c r="H7" s="3426"/>
      <c r="I7" s="3426"/>
      <c r="J7" s="3426"/>
      <c r="K7" s="3471" t="s">
        <v>3430</v>
      </c>
      <c r="L7" s="3471"/>
      <c r="M7" s="3425">
        <v>844</v>
      </c>
      <c r="N7" s="3426"/>
      <c r="O7" s="3303" t="s">
        <v>3431</v>
      </c>
      <c r="P7" s="3303">
        <f>P6/M7</f>
        <v>0.91722114394926324</v>
      </c>
      <c r="Q7" s="3308"/>
      <c r="R7" s="3307"/>
      <c r="T7" s="3233"/>
    </row>
    <row r="8" spans="2:21" s="3231" customFormat="1" ht="15" customHeight="1">
      <c r="B8" s="3309" t="s">
        <v>3432</v>
      </c>
      <c r="C8" s="3303"/>
      <c r="D8" s="3303" t="s">
        <v>3433</v>
      </c>
      <c r="E8" s="3303" t="s">
        <v>3434</v>
      </c>
      <c r="F8" s="3303"/>
      <c r="G8" s="3474" t="s">
        <v>3435</v>
      </c>
      <c r="H8" s="3475"/>
      <c r="I8" s="3474" t="s">
        <v>3436</v>
      </c>
      <c r="J8" s="3475"/>
      <c r="K8" s="3303" t="s">
        <v>3437</v>
      </c>
      <c r="L8" s="3303" t="s">
        <v>3438</v>
      </c>
      <c r="M8" s="3303" t="s">
        <v>3439</v>
      </c>
      <c r="N8" s="3303"/>
      <c r="O8" s="3303" t="s">
        <v>3440</v>
      </c>
      <c r="P8" s="3303"/>
      <c r="Q8" s="3310"/>
      <c r="R8" s="3311"/>
      <c r="S8" s="3430"/>
      <c r="T8" s="3430"/>
    </row>
    <row r="9" spans="2:21" s="3231" customFormat="1" ht="15" customHeight="1" thickBot="1">
      <c r="B9" s="3472">
        <f>K3-D4-B7</f>
        <v>15996.25</v>
      </c>
      <c r="C9" s="3473"/>
      <c r="D9" s="3237">
        <f>B9*0.7</f>
        <v>11197.375</v>
      </c>
      <c r="E9" s="3433"/>
      <c r="F9" s="3433"/>
      <c r="G9" s="3434">
        <f>B9-D9</f>
        <v>4798.875</v>
      </c>
      <c r="H9" s="3435"/>
      <c r="I9" s="3434"/>
      <c r="J9" s="3435"/>
      <c r="K9" s="3238"/>
      <c r="L9" s="3239"/>
      <c r="M9" s="3436"/>
      <c r="N9" s="3436"/>
      <c r="O9" s="3436"/>
      <c r="P9" s="3436"/>
      <c r="Q9" s="3312"/>
      <c r="R9" s="3313"/>
      <c r="S9" s="3242"/>
    </row>
    <row r="10" spans="2:21" ht="15" customHeight="1" thickBot="1">
      <c r="B10" s="3439"/>
      <c r="C10" s="3440"/>
      <c r="D10" s="3440"/>
      <c r="E10" s="3440"/>
      <c r="F10" s="3440"/>
      <c r="G10" s="3440"/>
      <c r="H10" s="3440"/>
      <c r="I10" s="3440"/>
      <c r="J10" s="3440"/>
      <c r="K10" s="3440"/>
      <c r="L10" s="3440"/>
      <c r="M10" s="3440"/>
      <c r="N10" s="3440"/>
      <c r="O10" s="3440"/>
      <c r="P10" s="3440"/>
      <c r="Q10" s="3441"/>
      <c r="R10" s="3231"/>
    </row>
    <row r="11" spans="2:21" ht="15" customHeight="1">
      <c r="B11" s="3442" t="s">
        <v>3441</v>
      </c>
      <c r="C11" s="3443"/>
      <c r="D11" s="3243" t="s">
        <v>3442</v>
      </c>
      <c r="E11" s="3243" t="s">
        <v>3443</v>
      </c>
      <c r="F11" s="3243" t="s">
        <v>3444</v>
      </c>
      <c r="G11" s="3243" t="s">
        <v>3417</v>
      </c>
      <c r="H11" s="3243" t="s">
        <v>3445</v>
      </c>
      <c r="I11" s="3243" t="s">
        <v>3446</v>
      </c>
      <c r="J11" s="3243" t="s">
        <v>3416</v>
      </c>
      <c r="K11" s="3243" t="s">
        <v>3510</v>
      </c>
      <c r="L11" s="3243" t="s">
        <v>3448</v>
      </c>
      <c r="M11" s="3243" t="s">
        <v>3449</v>
      </c>
      <c r="N11" s="3243" t="s">
        <v>3450</v>
      </c>
      <c r="O11" s="3243" t="s">
        <v>3451</v>
      </c>
      <c r="P11" s="3243" t="s">
        <v>3452</v>
      </c>
      <c r="Q11" s="3243" t="s">
        <v>3453</v>
      </c>
      <c r="R11" s="3243" t="s">
        <v>3454</v>
      </c>
      <c r="S11" s="3244" t="s">
        <v>3455</v>
      </c>
      <c r="T11" s="3444" t="s">
        <v>3456</v>
      </c>
      <c r="U11" s="3444"/>
    </row>
    <row r="12" spans="2:21" ht="12">
      <c r="B12" s="3445" t="s">
        <v>3457</v>
      </c>
      <c r="C12" s="3245" t="s">
        <v>3458</v>
      </c>
      <c r="D12" s="3246">
        <v>16653.91</v>
      </c>
      <c r="E12" s="3314">
        <v>2</v>
      </c>
      <c r="F12" s="3247"/>
      <c r="G12" s="3247">
        <v>3938.5</v>
      </c>
      <c r="H12" s="3247">
        <f>11400+554</f>
        <v>11954</v>
      </c>
      <c r="I12" s="3315"/>
      <c r="J12" s="3246">
        <f>H12+I12</f>
        <v>11954</v>
      </c>
      <c r="K12" s="3247">
        <f t="shared" ref="K12:K21" si="0">J12</f>
        <v>11954</v>
      </c>
      <c r="L12" s="3247"/>
      <c r="M12" s="3248">
        <f t="shared" ref="M12:M21" si="1">K12/$K$47</f>
        <v>7.0222433700188866E-2</v>
      </c>
      <c r="N12" s="3247"/>
      <c r="O12" s="3316"/>
      <c r="P12" s="3316"/>
      <c r="Q12" s="3316"/>
      <c r="R12" s="3316"/>
      <c r="S12" s="3317"/>
      <c r="T12" s="3446"/>
      <c r="U12" s="3447"/>
    </row>
    <row r="13" spans="2:21" ht="12">
      <c r="B13" s="3445"/>
      <c r="C13" s="3245" t="s">
        <v>3459</v>
      </c>
      <c r="D13" s="3246">
        <f t="shared" ref="D13:D21" si="2">IF(H13=0,0,IF(E13=0,"",H13/E13))</f>
        <v>0</v>
      </c>
      <c r="E13" s="3314">
        <v>2</v>
      </c>
      <c r="F13" s="3247"/>
      <c r="G13" s="3247"/>
      <c r="H13" s="3247"/>
      <c r="I13" s="3247"/>
      <c r="J13" s="3249">
        <f t="shared" ref="J13:J21" si="3">H13+I13</f>
        <v>0</v>
      </c>
      <c r="K13" s="3247">
        <f t="shared" si="0"/>
        <v>0</v>
      </c>
      <c r="L13" s="3247">
        <v>0</v>
      </c>
      <c r="M13" s="3318">
        <f t="shared" si="1"/>
        <v>0</v>
      </c>
      <c r="N13" s="3319"/>
      <c r="O13" s="3316"/>
      <c r="P13" s="3316"/>
      <c r="Q13" s="3316"/>
      <c r="R13" s="3320"/>
      <c r="S13" s="3317"/>
      <c r="T13" s="3448" t="s">
        <v>3460</v>
      </c>
      <c r="U13" s="3448"/>
    </row>
    <row r="14" spans="2:21" ht="12">
      <c r="B14" s="3445"/>
      <c r="C14" s="3245" t="s">
        <v>3461</v>
      </c>
      <c r="D14" s="3246">
        <f t="shared" si="2"/>
        <v>0</v>
      </c>
      <c r="E14" s="3314">
        <v>2</v>
      </c>
      <c r="F14" s="3247"/>
      <c r="G14" s="3247"/>
      <c r="H14" s="3247"/>
      <c r="I14" s="3247"/>
      <c r="J14" s="3249">
        <f t="shared" si="3"/>
        <v>0</v>
      </c>
      <c r="K14" s="3247">
        <f t="shared" si="0"/>
        <v>0</v>
      </c>
      <c r="L14" s="3247"/>
      <c r="M14" s="3318">
        <f t="shared" si="1"/>
        <v>0</v>
      </c>
      <c r="N14" s="3319"/>
      <c r="O14" s="3316"/>
      <c r="P14" s="3316"/>
      <c r="Q14" s="3321"/>
      <c r="R14" s="3320"/>
      <c r="S14" s="3317"/>
      <c r="T14" s="3448" t="s">
        <v>3462</v>
      </c>
      <c r="U14" s="3448"/>
    </row>
    <row r="15" spans="2:21" ht="24">
      <c r="B15" s="3445"/>
      <c r="C15" s="3245" t="s">
        <v>3463</v>
      </c>
      <c r="D15" s="3246">
        <f t="shared" si="2"/>
        <v>0</v>
      </c>
      <c r="E15" s="3314">
        <v>2</v>
      </c>
      <c r="F15" s="3251"/>
      <c r="G15" s="3251"/>
      <c r="H15" s="3251"/>
      <c r="I15" s="3251"/>
      <c r="J15" s="3249">
        <f t="shared" si="3"/>
        <v>0</v>
      </c>
      <c r="K15" s="3247">
        <f t="shared" si="0"/>
        <v>0</v>
      </c>
      <c r="L15" s="3247"/>
      <c r="M15" s="3318">
        <f t="shared" si="1"/>
        <v>0</v>
      </c>
      <c r="N15" s="3247"/>
      <c r="O15" s="3316"/>
      <c r="P15" s="3246"/>
      <c r="Q15" s="3316"/>
      <c r="R15" s="3316"/>
      <c r="S15" s="3317"/>
      <c r="T15" s="3250" t="s">
        <v>3464</v>
      </c>
      <c r="U15" s="3449" t="s">
        <v>3465</v>
      </c>
    </row>
    <row r="16" spans="2:21" ht="24">
      <c r="B16" s="3445"/>
      <c r="C16" s="3245" t="s">
        <v>3466</v>
      </c>
      <c r="D16" s="3246">
        <v>27706.12</v>
      </c>
      <c r="E16" s="3314">
        <v>2</v>
      </c>
      <c r="F16" s="3251"/>
      <c r="G16" s="3251">
        <v>5714.1</v>
      </c>
      <c r="H16" s="3251">
        <v>46731.7</v>
      </c>
      <c r="I16" s="3322">
        <f>10573.44*0.4</f>
        <v>4229.3760000000002</v>
      </c>
      <c r="J16" s="3249">
        <f t="shared" si="3"/>
        <v>50961.076000000001</v>
      </c>
      <c r="K16" s="3247">
        <f t="shared" si="0"/>
        <v>50961.076000000001</v>
      </c>
      <c r="L16" s="3247">
        <v>0</v>
      </c>
      <c r="M16" s="3318">
        <f t="shared" si="1"/>
        <v>0.29936513139537274</v>
      </c>
      <c r="N16" s="3319"/>
      <c r="O16" s="3316"/>
      <c r="P16" s="3316"/>
      <c r="Q16" s="3316"/>
      <c r="R16" s="3316"/>
      <c r="S16" s="3317"/>
      <c r="T16" s="3250" t="s">
        <v>3467</v>
      </c>
      <c r="U16" s="3449"/>
    </row>
    <row r="17" spans="2:22" ht="24">
      <c r="B17" s="3445"/>
      <c r="C17" s="3245" t="s">
        <v>2979</v>
      </c>
      <c r="D17" s="3246">
        <f t="shared" si="2"/>
        <v>0</v>
      </c>
      <c r="E17" s="3314">
        <v>2</v>
      </c>
      <c r="F17" s="3251"/>
      <c r="G17" s="3251"/>
      <c r="H17" s="3251"/>
      <c r="I17" s="3322"/>
      <c r="J17" s="3249">
        <f t="shared" si="3"/>
        <v>0</v>
      </c>
      <c r="K17" s="3247">
        <f t="shared" si="0"/>
        <v>0</v>
      </c>
      <c r="L17" s="3247"/>
      <c r="M17" s="3318">
        <f t="shared" si="1"/>
        <v>0</v>
      </c>
      <c r="N17" s="3319"/>
      <c r="O17" s="3316"/>
      <c r="P17" s="3316"/>
      <c r="Q17" s="3316"/>
      <c r="R17" s="3316"/>
      <c r="S17" s="3317"/>
      <c r="T17" s="3250" t="s">
        <v>3468</v>
      </c>
      <c r="U17" s="3449"/>
    </row>
    <row r="18" spans="2:22" ht="24">
      <c r="B18" s="3445"/>
      <c r="C18" s="3245" t="s">
        <v>3469</v>
      </c>
      <c r="D18" s="3246">
        <f>D3-D12-D16</f>
        <v>22998.279999999995</v>
      </c>
      <c r="E18" s="3314">
        <v>2</v>
      </c>
      <c r="F18" s="3251"/>
      <c r="G18" s="3251">
        <v>3925.84</v>
      </c>
      <c r="H18" s="3251">
        <v>66359.8</v>
      </c>
      <c r="I18" s="3251">
        <f>10573.44*0.6</f>
        <v>6344.0640000000003</v>
      </c>
      <c r="J18" s="3249">
        <f t="shared" si="3"/>
        <v>72703.864000000001</v>
      </c>
      <c r="K18" s="3247">
        <f t="shared" si="0"/>
        <v>72703.864000000001</v>
      </c>
      <c r="L18" s="3247"/>
      <c r="M18" s="3318">
        <f t="shared" si="1"/>
        <v>0.42709070348733041</v>
      </c>
      <c r="N18" s="3319"/>
      <c r="O18" s="3316"/>
      <c r="P18" s="3316"/>
      <c r="Q18" s="3316"/>
      <c r="R18" s="3316"/>
      <c r="S18" s="3317"/>
      <c r="T18" s="3250" t="s">
        <v>3470</v>
      </c>
      <c r="U18" s="3449"/>
    </row>
    <row r="19" spans="2:22" ht="24">
      <c r="B19" s="3445"/>
      <c r="C19" s="3245" t="s">
        <v>3511</v>
      </c>
      <c r="D19" s="3246">
        <f t="shared" si="2"/>
        <v>0</v>
      </c>
      <c r="E19" s="3323">
        <v>2</v>
      </c>
      <c r="F19" s="3251"/>
      <c r="G19" s="3251"/>
      <c r="H19" s="3251"/>
      <c r="I19" s="3251"/>
      <c r="J19" s="3249">
        <f t="shared" si="3"/>
        <v>0</v>
      </c>
      <c r="K19" s="3315">
        <f t="shared" si="0"/>
        <v>0</v>
      </c>
      <c r="L19" s="3247"/>
      <c r="M19" s="3318">
        <f t="shared" si="1"/>
        <v>0</v>
      </c>
      <c r="N19" s="3319"/>
      <c r="O19" s="3316"/>
      <c r="P19" s="3316"/>
      <c r="Q19" s="3316"/>
      <c r="R19" s="3316"/>
      <c r="S19" s="3317"/>
      <c r="T19" s="3250" t="s">
        <v>3472</v>
      </c>
      <c r="U19" s="3449"/>
    </row>
    <row r="20" spans="2:22" ht="24">
      <c r="B20" s="3445"/>
      <c r="C20" s="3245" t="s">
        <v>3512</v>
      </c>
      <c r="D20" s="3246">
        <f t="shared" si="2"/>
        <v>0</v>
      </c>
      <c r="E20" s="3323">
        <v>2</v>
      </c>
      <c r="F20" s="3251"/>
      <c r="G20" s="3251"/>
      <c r="H20" s="3251"/>
      <c r="I20" s="3251"/>
      <c r="J20" s="3249">
        <f t="shared" si="3"/>
        <v>0</v>
      </c>
      <c r="K20" s="3315">
        <f t="shared" si="0"/>
        <v>0</v>
      </c>
      <c r="L20" s="3247"/>
      <c r="M20" s="3318">
        <f t="shared" si="1"/>
        <v>0</v>
      </c>
      <c r="N20" s="3319"/>
      <c r="O20" s="3316"/>
      <c r="P20" s="3316"/>
      <c r="Q20" s="3316"/>
      <c r="R20" s="3316"/>
      <c r="S20" s="3317"/>
      <c r="T20" s="3250" t="s">
        <v>3474</v>
      </c>
      <c r="U20" s="3449"/>
    </row>
    <row r="21" spans="2:22" ht="24">
      <c r="B21" s="3445"/>
      <c r="C21" s="3245" t="s">
        <v>3475</v>
      </c>
      <c r="D21" s="3246">
        <f t="shared" si="2"/>
        <v>0</v>
      </c>
      <c r="E21" s="3323"/>
      <c r="F21" s="3251"/>
      <c r="G21" s="3251"/>
      <c r="H21" s="3251"/>
      <c r="I21" s="3251"/>
      <c r="J21" s="3249">
        <f t="shared" si="3"/>
        <v>0</v>
      </c>
      <c r="K21" s="3315">
        <f t="shared" si="0"/>
        <v>0</v>
      </c>
      <c r="L21" s="3247"/>
      <c r="M21" s="3318">
        <f t="shared" si="1"/>
        <v>0</v>
      </c>
      <c r="N21" s="3319"/>
      <c r="O21" s="3316"/>
      <c r="P21" s="3316"/>
      <c r="Q21" s="3316"/>
      <c r="R21" s="3316"/>
      <c r="S21" s="3317"/>
      <c r="T21" s="3250" t="s">
        <v>3476</v>
      </c>
      <c r="U21" s="3449"/>
    </row>
    <row r="22" spans="2:22" ht="15" customHeight="1">
      <c r="B22" s="3445"/>
      <c r="C22" s="3252" t="s">
        <v>27</v>
      </c>
      <c r="D22" s="3253">
        <f t="shared" ref="D22:S22" si="4">SUM(D12:D21)</f>
        <v>67358.31</v>
      </c>
      <c r="E22" s="3254">
        <v>2</v>
      </c>
      <c r="F22" s="3253">
        <f t="shared" si="4"/>
        <v>0</v>
      </c>
      <c r="G22" s="3253">
        <f t="shared" si="4"/>
        <v>13578.44</v>
      </c>
      <c r="H22" s="3255">
        <f t="shared" si="4"/>
        <v>125045.5</v>
      </c>
      <c r="I22" s="3255">
        <f t="shared" si="4"/>
        <v>10573.44</v>
      </c>
      <c r="J22" s="3253">
        <f t="shared" si="4"/>
        <v>135618.94</v>
      </c>
      <c r="K22" s="3253">
        <f t="shared" si="4"/>
        <v>135618.94</v>
      </c>
      <c r="L22" s="3253">
        <f t="shared" si="4"/>
        <v>0</v>
      </c>
      <c r="M22" s="3324">
        <f t="shared" si="4"/>
        <v>0.79667826858289204</v>
      </c>
      <c r="N22" s="3253"/>
      <c r="O22" s="3253">
        <f t="shared" si="4"/>
        <v>0</v>
      </c>
      <c r="P22" s="3253">
        <f t="shared" si="4"/>
        <v>0</v>
      </c>
      <c r="Q22" s="3253"/>
      <c r="R22" s="3253"/>
      <c r="S22" s="3253">
        <f t="shared" si="4"/>
        <v>0</v>
      </c>
      <c r="T22" s="3257"/>
      <c r="U22" s="3257"/>
    </row>
    <row r="23" spans="2:22" ht="12">
      <c r="B23" s="3445" t="s">
        <v>3477</v>
      </c>
      <c r="C23" s="3245" t="s">
        <v>3478</v>
      </c>
      <c r="D23" s="3251"/>
      <c r="E23" s="3314"/>
      <c r="F23" s="3258"/>
      <c r="G23" s="3258"/>
      <c r="H23" s="3258"/>
      <c r="I23" s="3258"/>
      <c r="J23" s="3258">
        <f>H23+I23</f>
        <v>0</v>
      </c>
      <c r="K23" s="3258">
        <f>J23</f>
        <v>0</v>
      </c>
      <c r="L23" s="3258"/>
      <c r="M23" s="3248">
        <f>K23/$K$47</f>
        <v>0</v>
      </c>
      <c r="N23" s="3259"/>
      <c r="O23" s="3259"/>
      <c r="P23" s="3259"/>
      <c r="Q23" s="3260"/>
      <c r="R23" s="3261"/>
      <c r="S23" s="3235"/>
      <c r="T23" s="3257"/>
      <c r="U23" s="3257"/>
    </row>
    <row r="24" spans="2:22" ht="12">
      <c r="B24" s="3445"/>
      <c r="C24" s="3245" t="s">
        <v>3479</v>
      </c>
      <c r="D24" s="3251"/>
      <c r="E24" s="3314"/>
      <c r="F24" s="3260"/>
      <c r="G24" s="3258"/>
      <c r="H24" s="3258"/>
      <c r="I24" s="3258"/>
      <c r="J24" s="3258">
        <f>H24+I24</f>
        <v>0</v>
      </c>
      <c r="K24" s="3258">
        <f>J24</f>
        <v>0</v>
      </c>
      <c r="L24" s="3258"/>
      <c r="M24" s="3318">
        <f>K24/$K$47</f>
        <v>0</v>
      </c>
      <c r="N24" s="3259"/>
      <c r="O24" s="3259"/>
      <c r="P24" s="3259"/>
      <c r="Q24" s="3260"/>
      <c r="R24" s="3261"/>
      <c r="S24" s="3235"/>
      <c r="T24" s="3257"/>
      <c r="U24" s="3257"/>
    </row>
    <row r="25" spans="2:22" ht="12">
      <c r="B25" s="3445"/>
      <c r="C25" s="3245" t="s">
        <v>3480</v>
      </c>
      <c r="D25" s="3251"/>
      <c r="E25" s="3314"/>
      <c r="F25" s="3260"/>
      <c r="G25" s="3258"/>
      <c r="H25" s="3258"/>
      <c r="I25" s="3258"/>
      <c r="J25" s="3258">
        <f>H25+I25</f>
        <v>0</v>
      </c>
      <c r="K25" s="3258">
        <f>J25</f>
        <v>0</v>
      </c>
      <c r="L25" s="3258"/>
      <c r="M25" s="3318">
        <f>K25/$K$47</f>
        <v>0</v>
      </c>
      <c r="N25" s="3259"/>
      <c r="O25" s="3259"/>
      <c r="P25" s="3259"/>
      <c r="Q25" s="3262"/>
      <c r="R25" s="3263"/>
      <c r="S25" s="3235"/>
      <c r="T25" s="3448" t="s">
        <v>3481</v>
      </c>
      <c r="U25" s="3448"/>
    </row>
    <row r="26" spans="2:22" ht="12">
      <c r="B26" s="3445"/>
      <c r="C26" s="3245" t="s">
        <v>3482</v>
      </c>
      <c r="D26" s="3251"/>
      <c r="E26" s="3314"/>
      <c r="F26" s="3260"/>
      <c r="G26" s="3258"/>
      <c r="H26" s="3258"/>
      <c r="I26" s="3258"/>
      <c r="J26" s="3258">
        <f>H26+I26</f>
        <v>0</v>
      </c>
      <c r="K26" s="3258">
        <f>J26</f>
        <v>0</v>
      </c>
      <c r="L26" s="3258"/>
      <c r="M26" s="3318">
        <f>K26/$K$47</f>
        <v>0</v>
      </c>
      <c r="N26" s="3259"/>
      <c r="O26" s="3259"/>
      <c r="P26" s="3259"/>
      <c r="Q26" s="3259"/>
      <c r="R26" s="3263"/>
      <c r="S26" s="3235"/>
      <c r="T26" s="3448" t="s">
        <v>3483</v>
      </c>
      <c r="U26" s="3448"/>
    </row>
    <row r="27" spans="2:22" ht="15" customHeight="1" thickBot="1">
      <c r="B27" s="3450"/>
      <c r="C27" s="3264" t="s">
        <v>27</v>
      </c>
      <c r="D27" s="3265">
        <f t="shared" ref="D27:M27" si="5">SUM(D23:D26)</f>
        <v>0</v>
      </c>
      <c r="E27" s="3266"/>
      <c r="F27" s="3265">
        <f t="shared" si="5"/>
        <v>0</v>
      </c>
      <c r="G27" s="3265">
        <f t="shared" si="5"/>
        <v>0</v>
      </c>
      <c r="H27" s="3267">
        <f t="shared" si="5"/>
        <v>0</v>
      </c>
      <c r="I27" s="3267">
        <f t="shared" si="5"/>
        <v>0</v>
      </c>
      <c r="J27" s="3265">
        <f t="shared" si="5"/>
        <v>0</v>
      </c>
      <c r="K27" s="3265">
        <f t="shared" si="5"/>
        <v>0</v>
      </c>
      <c r="L27" s="3265">
        <f t="shared" si="5"/>
        <v>0</v>
      </c>
      <c r="M27" s="3325">
        <f t="shared" si="5"/>
        <v>0</v>
      </c>
      <c r="N27" s="3269"/>
      <c r="O27" s="3269"/>
      <c r="P27" s="3269"/>
      <c r="Q27" s="3269"/>
      <c r="R27" s="3270"/>
      <c r="S27" s="3271"/>
      <c r="T27" s="3272"/>
      <c r="U27" s="3272"/>
    </row>
    <row r="28" spans="2:22" ht="15" customHeight="1">
      <c r="B28" s="3451" t="s">
        <v>3484</v>
      </c>
      <c r="C28" s="3273" t="s">
        <v>3485</v>
      </c>
      <c r="D28" s="3274"/>
      <c r="E28" s="3262"/>
      <c r="F28" s="3258"/>
      <c r="G28" s="3258"/>
      <c r="H28" s="3258"/>
      <c r="I28" s="3258"/>
      <c r="J28" s="3258"/>
      <c r="K28" s="3274"/>
      <c r="L28" s="3274"/>
      <c r="M28" s="3452" t="s">
        <v>3486</v>
      </c>
      <c r="N28" s="3453" t="s">
        <v>3487</v>
      </c>
      <c r="O28" s="3453"/>
      <c r="P28" s="3453"/>
      <c r="Q28" s="3453"/>
      <c r="R28" s="3454"/>
      <c r="S28" s="3275"/>
      <c r="T28" s="3275"/>
      <c r="U28" s="3275"/>
      <c r="V28" s="3275"/>
    </row>
    <row r="29" spans="2:22" ht="15" customHeight="1">
      <c r="B29" s="3451"/>
      <c r="C29" s="3276" t="s">
        <v>3488</v>
      </c>
      <c r="D29" s="3274"/>
      <c r="E29" s="3262"/>
      <c r="F29" s="3258"/>
      <c r="G29" s="3258">
        <v>578.55999999999995</v>
      </c>
      <c r="H29" s="3258">
        <v>1730</v>
      </c>
      <c r="I29" s="3258"/>
      <c r="J29" s="3258">
        <f>H29+I29</f>
        <v>1730</v>
      </c>
      <c r="K29" s="3274"/>
      <c r="L29" s="3274"/>
      <c r="M29" s="3452"/>
      <c r="N29" s="3453" t="s">
        <v>3487</v>
      </c>
      <c r="O29" s="3453"/>
      <c r="P29" s="3453"/>
      <c r="Q29" s="3453"/>
      <c r="R29" s="3454"/>
      <c r="S29" s="3455"/>
      <c r="T29" s="3455"/>
      <c r="U29" s="3455"/>
      <c r="V29" s="3455"/>
    </row>
    <row r="30" spans="2:22" ht="15" customHeight="1">
      <c r="B30" s="3451"/>
      <c r="C30" s="3276" t="s">
        <v>3489</v>
      </c>
      <c r="D30" s="3274"/>
      <c r="E30" s="3262"/>
      <c r="F30" s="3258"/>
      <c r="G30" s="3258"/>
      <c r="H30" s="3258"/>
      <c r="I30" s="3258"/>
      <c r="J30" s="3258"/>
      <c r="K30" s="3274"/>
      <c r="L30" s="3274"/>
      <c r="M30" s="3452"/>
      <c r="N30" s="3453" t="s">
        <v>3487</v>
      </c>
      <c r="O30" s="3453"/>
      <c r="P30" s="3453"/>
      <c r="Q30" s="3453"/>
      <c r="R30" s="3454"/>
      <c r="S30" s="3455"/>
      <c r="T30" s="3455"/>
      <c r="U30" s="3455"/>
      <c r="V30" s="3455"/>
    </row>
    <row r="31" spans="2:22" ht="15" customHeight="1">
      <c r="B31" s="3451"/>
      <c r="C31" s="3276" t="s">
        <v>3490</v>
      </c>
      <c r="D31" s="3274"/>
      <c r="E31" s="3262"/>
      <c r="F31" s="3258"/>
      <c r="G31" s="3258"/>
      <c r="H31" s="3258"/>
      <c r="I31" s="3258"/>
      <c r="J31" s="3258"/>
      <c r="K31" s="3274"/>
      <c r="L31" s="3274"/>
      <c r="M31" s="3452"/>
      <c r="N31" s="3453" t="s">
        <v>3491</v>
      </c>
      <c r="O31" s="3453"/>
      <c r="P31" s="3453"/>
      <c r="Q31" s="3453"/>
      <c r="R31" s="3454"/>
      <c r="S31" s="3459"/>
      <c r="T31" s="3459"/>
      <c r="U31" s="3459"/>
      <c r="V31" s="3459"/>
    </row>
    <row r="32" spans="2:22" ht="15" customHeight="1">
      <c r="B32" s="3451"/>
      <c r="C32" s="3276" t="s">
        <v>3492</v>
      </c>
      <c r="D32" s="3274"/>
      <c r="E32" s="3262"/>
      <c r="F32" s="3258"/>
      <c r="G32" s="3258"/>
      <c r="H32" s="3258"/>
      <c r="I32" s="3258"/>
      <c r="J32" s="3258"/>
      <c r="K32" s="3274"/>
      <c r="L32" s="3274"/>
      <c r="M32" s="3452"/>
      <c r="N32" s="3453" t="s">
        <v>3491</v>
      </c>
      <c r="O32" s="3453"/>
      <c r="P32" s="3453"/>
      <c r="Q32" s="3453"/>
      <c r="R32" s="3454"/>
      <c r="S32" s="3277"/>
      <c r="T32" s="3277"/>
      <c r="U32" s="3277"/>
      <c r="V32" s="3277"/>
    </row>
    <row r="33" spans="2:22" ht="15" customHeight="1">
      <c r="B33" s="3451"/>
      <c r="C33" s="3273" t="s">
        <v>3493</v>
      </c>
      <c r="D33" s="3274"/>
      <c r="E33" s="3262"/>
      <c r="F33" s="3258"/>
      <c r="G33" s="3258">
        <v>793.5</v>
      </c>
      <c r="H33" s="3258">
        <v>2340</v>
      </c>
      <c r="I33" s="3258"/>
      <c r="J33" s="3258">
        <f>H33+I33</f>
        <v>2340</v>
      </c>
      <c r="K33" s="3274"/>
      <c r="L33" s="3274"/>
      <c r="M33" s="3452"/>
      <c r="N33" s="3453" t="s">
        <v>3487</v>
      </c>
      <c r="O33" s="3453"/>
      <c r="P33" s="3453"/>
      <c r="Q33" s="3453"/>
      <c r="R33" s="3454"/>
      <c r="S33" s="3459"/>
      <c r="T33" s="3459"/>
      <c r="U33" s="3459"/>
      <c r="V33" s="3459"/>
    </row>
    <row r="34" spans="2:22" ht="15" customHeight="1">
      <c r="B34" s="3451"/>
      <c r="C34" s="3273" t="s">
        <v>3494</v>
      </c>
      <c r="D34" s="3274"/>
      <c r="E34" s="3262"/>
      <c r="F34" s="3258"/>
      <c r="G34" s="3258"/>
      <c r="H34" s="3258"/>
      <c r="I34" s="3258"/>
      <c r="J34" s="3258"/>
      <c r="K34" s="3274"/>
      <c r="L34" s="3274"/>
      <c r="M34" s="3452"/>
      <c r="N34" s="3453" t="s">
        <v>3487</v>
      </c>
      <c r="O34" s="3453"/>
      <c r="P34" s="3453"/>
      <c r="Q34" s="3453"/>
      <c r="R34" s="3454"/>
      <c r="S34" s="3459"/>
      <c r="T34" s="3459"/>
      <c r="U34" s="3459"/>
      <c r="V34" s="3459"/>
    </row>
    <row r="35" spans="2:22" ht="15" customHeight="1">
      <c r="B35" s="3451"/>
      <c r="C35" s="3278" t="s">
        <v>3495</v>
      </c>
      <c r="D35" s="3274"/>
      <c r="E35" s="3262"/>
      <c r="F35" s="3258"/>
      <c r="G35" s="3258"/>
      <c r="H35" s="3258"/>
      <c r="I35" s="3258"/>
      <c r="J35" s="3258"/>
      <c r="K35" s="3274"/>
      <c r="L35" s="3274"/>
      <c r="M35" s="3452"/>
      <c r="N35" s="3453" t="s">
        <v>3491</v>
      </c>
      <c r="O35" s="3453"/>
      <c r="P35" s="3453"/>
      <c r="Q35" s="3453"/>
      <c r="R35" s="3454"/>
      <c r="S35" s="3459"/>
      <c r="T35" s="3459"/>
      <c r="U35" s="3459"/>
      <c r="V35" s="3459"/>
    </row>
    <row r="36" spans="2:22" ht="15" customHeight="1">
      <c r="B36" s="3451"/>
      <c r="C36" s="3278" t="s">
        <v>3496</v>
      </c>
      <c r="D36" s="3274"/>
      <c r="E36" s="3262"/>
      <c r="F36" s="3258"/>
      <c r="G36" s="3258"/>
      <c r="H36" s="3258"/>
      <c r="I36" s="3258"/>
      <c r="J36" s="3258"/>
      <c r="K36" s="3274"/>
      <c r="L36" s="3274"/>
      <c r="M36" s="3452"/>
      <c r="N36" s="3453" t="s">
        <v>3491</v>
      </c>
      <c r="O36" s="3453"/>
      <c r="P36" s="3453"/>
      <c r="Q36" s="3453"/>
      <c r="R36" s="3454"/>
      <c r="S36" s="3459"/>
      <c r="T36" s="3459"/>
      <c r="U36" s="3459"/>
      <c r="V36" s="3459"/>
    </row>
    <row r="37" spans="2:22" ht="15" customHeight="1">
      <c r="B37" s="3451"/>
      <c r="C37" s="3279" t="s">
        <v>3497</v>
      </c>
      <c r="D37" s="3274"/>
      <c r="E37" s="3262"/>
      <c r="F37" s="3258"/>
      <c r="G37" s="3258"/>
      <c r="H37" s="3258"/>
      <c r="I37" s="3258"/>
      <c r="J37" s="3258"/>
      <c r="K37" s="3274"/>
      <c r="L37" s="3274"/>
      <c r="M37" s="3452"/>
      <c r="N37" s="3456"/>
      <c r="O37" s="3457"/>
      <c r="P37" s="3457"/>
      <c r="Q37" s="3457"/>
      <c r="R37" s="3458"/>
      <c r="S37" s="3277"/>
      <c r="T37" s="3277"/>
      <c r="U37" s="3277"/>
      <c r="V37" s="3277"/>
    </row>
    <row r="38" spans="2:22" ht="15" customHeight="1">
      <c r="B38" s="3451"/>
      <c r="C38" s="3279" t="s">
        <v>3498</v>
      </c>
      <c r="D38" s="3274"/>
      <c r="E38" s="3262"/>
      <c r="F38" s="3258"/>
      <c r="G38" s="3258"/>
      <c r="H38" s="3258"/>
      <c r="I38" s="3258"/>
      <c r="J38" s="3258"/>
      <c r="K38" s="3274"/>
      <c r="L38" s="3274"/>
      <c r="M38" s="3452"/>
      <c r="N38" s="3456"/>
      <c r="O38" s="3457"/>
      <c r="P38" s="3457"/>
      <c r="Q38" s="3457"/>
      <c r="R38" s="3458"/>
      <c r="S38" s="3277"/>
      <c r="T38" s="3277"/>
      <c r="U38" s="3277"/>
      <c r="V38" s="3277"/>
    </row>
    <row r="39" spans="2:22" ht="15" customHeight="1">
      <c r="B39" s="3451"/>
      <c r="C39" s="3252" t="s">
        <v>27</v>
      </c>
      <c r="D39" s="3253">
        <f>SUM(D28:D36)</f>
        <v>0</v>
      </c>
      <c r="E39" s="3254"/>
      <c r="F39" s="3253">
        <f>SUM(F28:F36)</f>
        <v>0</v>
      </c>
      <c r="G39" s="3253">
        <f>SUM(G28:G36)</f>
        <v>1372.06</v>
      </c>
      <c r="H39" s="3255">
        <f>SUM(H28:H36)</f>
        <v>4070</v>
      </c>
      <c r="I39" s="3253"/>
      <c r="J39" s="3253">
        <f>SUM(J28:J38)</f>
        <v>4070</v>
      </c>
      <c r="K39" s="3253">
        <f>SUM(K28:K36)</f>
        <v>0</v>
      </c>
      <c r="L39" s="3253">
        <f>SUM(L28:L36)</f>
        <v>0</v>
      </c>
      <c r="M39" s="3452"/>
      <c r="N39" s="3460"/>
      <c r="O39" s="3460"/>
      <c r="P39" s="3460"/>
      <c r="Q39" s="3460"/>
      <c r="R39" s="3461"/>
      <c r="S39" s="3459"/>
      <c r="T39" s="3459"/>
      <c r="U39" s="3459"/>
      <c r="V39" s="3459"/>
    </row>
    <row r="40" spans="2:22" ht="22.5">
      <c r="B40" s="3451" t="s">
        <v>3499</v>
      </c>
      <c r="C40" s="3280"/>
      <c r="D40" s="3280"/>
      <c r="E40" s="3281" t="s">
        <v>3500</v>
      </c>
      <c r="F40" s="3281" t="s">
        <v>3501</v>
      </c>
      <c r="G40" s="3282"/>
      <c r="H40" s="3282"/>
      <c r="I40" s="3282"/>
      <c r="J40" s="3282" t="s">
        <v>2942</v>
      </c>
      <c r="K40" s="3282" t="s">
        <v>3447</v>
      </c>
      <c r="L40" s="3282" t="s">
        <v>3448</v>
      </c>
      <c r="M40" s="3452"/>
      <c r="N40" s="3453" t="s">
        <v>3487</v>
      </c>
      <c r="O40" s="3453"/>
      <c r="P40" s="3453"/>
      <c r="Q40" s="3453"/>
      <c r="R40" s="3454"/>
      <c r="S40" s="3462"/>
      <c r="T40" s="3462"/>
      <c r="U40" s="3462"/>
      <c r="V40" s="3462"/>
    </row>
    <row r="41" spans="2:22" ht="15" customHeight="1">
      <c r="B41" s="3451"/>
      <c r="C41" s="3283" t="s">
        <v>3502</v>
      </c>
      <c r="D41" s="3284"/>
      <c r="E41" s="3285"/>
      <c r="F41" s="3284"/>
      <c r="G41" s="3286"/>
      <c r="H41" s="3286"/>
      <c r="I41" s="3286"/>
      <c r="J41" s="3284"/>
      <c r="K41" s="3284"/>
      <c r="L41" s="3258"/>
      <c r="M41" s="3452"/>
      <c r="N41" s="3453" t="s">
        <v>3487</v>
      </c>
      <c r="O41" s="3453"/>
      <c r="P41" s="3453"/>
      <c r="Q41" s="3453"/>
      <c r="R41" s="3454"/>
      <c r="S41" s="3459"/>
      <c r="T41" s="3459"/>
      <c r="U41" s="3459"/>
      <c r="V41" s="3459"/>
    </row>
    <row r="42" spans="2:22" ht="15" customHeight="1">
      <c r="B42" s="3451"/>
      <c r="C42" s="3283" t="s">
        <v>3503</v>
      </c>
      <c r="D42" s="3284"/>
      <c r="E42" s="3285"/>
      <c r="F42" s="3284"/>
      <c r="G42" s="3286"/>
      <c r="H42" s="3286"/>
      <c r="I42" s="3286"/>
      <c r="J42" s="3284">
        <f>I42</f>
        <v>0</v>
      </c>
      <c r="K42" s="3284"/>
      <c r="L42" s="3258"/>
      <c r="M42" s="3452"/>
      <c r="N42" s="3456"/>
      <c r="O42" s="3457"/>
      <c r="P42" s="3457"/>
      <c r="Q42" s="3457"/>
      <c r="R42" s="3458"/>
      <c r="S42" s="3277"/>
      <c r="T42" s="3277"/>
      <c r="U42" s="3277"/>
      <c r="V42" s="3277"/>
    </row>
    <row r="43" spans="2:22" ht="15" customHeight="1">
      <c r="B43" s="3451"/>
      <c r="C43" s="3283" t="s">
        <v>35</v>
      </c>
      <c r="D43" s="3284"/>
      <c r="E43" s="3285">
        <f>E44+E45</f>
        <v>774.13464549317814</v>
      </c>
      <c r="F43" s="3285"/>
      <c r="G43" s="3285"/>
      <c r="H43" s="3285"/>
      <c r="I43" s="3285"/>
      <c r="J43" s="3285">
        <f>J44+J45</f>
        <v>34611.56</v>
      </c>
      <c r="K43" s="3285">
        <f>K44</f>
        <v>34611.56</v>
      </c>
      <c r="L43" s="3284"/>
      <c r="M43" s="3452"/>
      <c r="N43" s="3476"/>
      <c r="O43" s="3476"/>
      <c r="P43" s="3476"/>
      <c r="Q43" s="3476"/>
      <c r="R43" s="3477"/>
      <c r="S43" s="3459"/>
      <c r="T43" s="3459"/>
      <c r="U43" s="3459"/>
      <c r="V43" s="3459"/>
    </row>
    <row r="44" spans="2:22" ht="15" customHeight="1">
      <c r="B44" s="3451"/>
      <c r="C44" s="3287" t="s">
        <v>3505</v>
      </c>
      <c r="D44" s="3284"/>
      <c r="E44" s="3260">
        <f>J44/F44</f>
        <v>402.53746365466338</v>
      </c>
      <c r="F44" s="3258">
        <v>44.71</v>
      </c>
      <c r="G44" s="3262">
        <f>I44</f>
        <v>17997.45</v>
      </c>
      <c r="H44" s="3262"/>
      <c r="I44" s="3262">
        <v>17997.45</v>
      </c>
      <c r="J44" s="3258">
        <f>I44</f>
        <v>17997.45</v>
      </c>
      <c r="K44" s="3465">
        <f>J44+J45</f>
        <v>34611.56</v>
      </c>
      <c r="L44" s="3258"/>
      <c r="M44" s="3452"/>
      <c r="N44" s="3453" t="s">
        <v>3487</v>
      </c>
      <c r="O44" s="3453"/>
      <c r="P44" s="3453"/>
      <c r="Q44" s="3453"/>
      <c r="R44" s="3454"/>
      <c r="S44" s="3459"/>
      <c r="T44" s="3459"/>
      <c r="U44" s="3459"/>
      <c r="V44" s="3459"/>
    </row>
    <row r="45" spans="2:22" ht="15" customHeight="1">
      <c r="B45" s="3451"/>
      <c r="C45" s="3287" t="s">
        <v>3504</v>
      </c>
      <c r="D45" s="3284"/>
      <c r="E45" s="3260">
        <f>J45/F45</f>
        <v>371.59718183851481</v>
      </c>
      <c r="F45" s="3258">
        <v>44.71</v>
      </c>
      <c r="G45" s="3262">
        <f>I45</f>
        <v>16614.109999999997</v>
      </c>
      <c r="H45" s="3262"/>
      <c r="I45" s="3262">
        <v>16614.109999999997</v>
      </c>
      <c r="J45" s="3258">
        <f>I45</f>
        <v>16614.109999999997</v>
      </c>
      <c r="K45" s="3466"/>
      <c r="L45" s="3258"/>
      <c r="M45" s="3452"/>
      <c r="N45" s="3453" t="s">
        <v>3487</v>
      </c>
      <c r="O45" s="3453"/>
      <c r="P45" s="3453"/>
      <c r="Q45" s="3453"/>
      <c r="R45" s="3454"/>
      <c r="S45" s="3462"/>
      <c r="T45" s="3462"/>
      <c r="U45" s="3462"/>
      <c r="V45" s="3462"/>
    </row>
    <row r="46" spans="2:22" ht="15" customHeight="1">
      <c r="B46" s="3451"/>
      <c r="C46" s="3288" t="s">
        <v>27</v>
      </c>
      <c r="D46" s="3289"/>
      <c r="E46" s="3290">
        <f>E41+E43</f>
        <v>774.13464549317814</v>
      </c>
      <c r="F46" s="3290"/>
      <c r="G46" s="3290">
        <f>G45+G44</f>
        <v>34611.56</v>
      </c>
      <c r="H46" s="3290"/>
      <c r="I46" s="3290">
        <f>I44+I45</f>
        <v>34611.56</v>
      </c>
      <c r="J46" s="3290">
        <f>J43+J42</f>
        <v>34611.56</v>
      </c>
      <c r="K46" s="3290">
        <f>K43</f>
        <v>34611.56</v>
      </c>
      <c r="L46" s="3290">
        <f>L41+L42+L43</f>
        <v>0</v>
      </c>
      <c r="M46" s="3326">
        <f>(K46+L46)/(K47+L47)</f>
        <v>0.20332173141710796</v>
      </c>
      <c r="N46" s="3460"/>
      <c r="O46" s="3460"/>
      <c r="P46" s="3460"/>
      <c r="Q46" s="3460"/>
      <c r="R46" s="3461"/>
    </row>
    <row r="47" spans="2:22" ht="15" customHeight="1" thickBot="1">
      <c r="B47" s="3292" t="s">
        <v>24</v>
      </c>
      <c r="C47" s="3293"/>
      <c r="D47" s="3294">
        <f>D22++D27+D39+D46</f>
        <v>67358.31</v>
      </c>
      <c r="E47" s="3294"/>
      <c r="F47" s="3294">
        <f t="shared" ref="F47:L47" si="6">F22++F27+F39+F46</f>
        <v>0</v>
      </c>
      <c r="G47" s="3294">
        <f>G22++G27+G39+G46</f>
        <v>49562.06</v>
      </c>
      <c r="H47" s="3295">
        <f t="shared" si="6"/>
        <v>129115.5</v>
      </c>
      <c r="I47" s="3295">
        <f t="shared" si="6"/>
        <v>45185</v>
      </c>
      <c r="J47" s="3327">
        <f t="shared" si="6"/>
        <v>174300.5</v>
      </c>
      <c r="K47" s="3327">
        <f t="shared" si="6"/>
        <v>170230.5</v>
      </c>
      <c r="L47" s="3294">
        <f t="shared" si="6"/>
        <v>0</v>
      </c>
      <c r="M47" s="3328">
        <f>M46+M27+M22</f>
        <v>1</v>
      </c>
      <c r="N47" s="3463"/>
      <c r="O47" s="3463"/>
      <c r="P47" s="3463"/>
      <c r="Q47" s="3463"/>
      <c r="R47" s="3464"/>
    </row>
    <row r="48" spans="2:22">
      <c r="K48" s="3297"/>
    </row>
    <row r="49" spans="4:12">
      <c r="D49" s="3225"/>
      <c r="F49" s="3225"/>
      <c r="G49" s="3225"/>
      <c r="H49" s="3225"/>
      <c r="I49" s="3225"/>
      <c r="J49" s="3225"/>
      <c r="K49" s="3225"/>
      <c r="L49" s="3225"/>
    </row>
    <row r="51" spans="4:12">
      <c r="D51" s="3225"/>
      <c r="L51" s="3329"/>
    </row>
    <row r="52" spans="4:12">
      <c r="L52" s="3329"/>
    </row>
    <row r="61" spans="4:12">
      <c r="F61" s="3219" t="s">
        <v>3542</v>
      </c>
      <c r="G61" s="3219" t="s">
        <v>3543</v>
      </c>
      <c r="H61" s="3225">
        <f>J12</f>
        <v>11954</v>
      </c>
    </row>
    <row r="62" spans="4:12">
      <c r="G62" s="3219" t="s">
        <v>3544</v>
      </c>
      <c r="H62" s="3225">
        <f>J16</f>
        <v>50961.076000000001</v>
      </c>
    </row>
    <row r="63" spans="4:12">
      <c r="G63" s="3219" t="s">
        <v>3545</v>
      </c>
      <c r="H63" s="3225">
        <f>J18</f>
        <v>72703.864000000001</v>
      </c>
    </row>
    <row r="64" spans="4:12">
      <c r="F64" s="3219" t="s">
        <v>3546</v>
      </c>
      <c r="H64" s="3225">
        <f>J45</f>
        <v>16614.109999999997</v>
      </c>
    </row>
    <row r="65" spans="6:8">
      <c r="F65" s="3219" t="s">
        <v>3548</v>
      </c>
      <c r="H65" s="3225">
        <f>SUM(H61:H64)</f>
        <v>152233.04999999999</v>
      </c>
    </row>
    <row r="66" spans="6:8">
      <c r="F66" s="3219" t="s">
        <v>3547</v>
      </c>
      <c r="H66" s="3225">
        <f>H39</f>
        <v>4070</v>
      </c>
    </row>
    <row r="67" spans="6:8">
      <c r="F67" s="3219" t="s">
        <v>3549</v>
      </c>
      <c r="H67" s="3225">
        <f>H65+H66</f>
        <v>156303.04999999999</v>
      </c>
    </row>
  </sheetData>
  <sheetProtection algorithmName="SHA-512" hashValue="7LWq1NIMhwAGJyzNbSPHZvwoIoqKFO/IXErbhPSyuQv+PPzZHNXweB0R8cxIJwBXu3XB3xYucNFP11LRhErkgg==" saltValue="zaO8qivLeEySP6K5ueJQoA==" spinCount="100000" sheet="1" objects="1" scenarios="1" formatCells="0" formatColumns="0" formatRows="0" insertHyperlinks="0" sort="0" autoFilter="0" pivotTables="0"/>
  <protectedRanges>
    <protectedRange sqref="I8 I1:J7 A46:XFD1048576 K1:XFD45 I9:J45 A1:H45" name="区域1" securityDescriptor=""/>
  </protectedRanges>
  <mergeCells count="79">
    <mergeCell ref="N47:R47"/>
    <mergeCell ref="K44:K45"/>
    <mergeCell ref="N44:R44"/>
    <mergeCell ref="S44:V44"/>
    <mergeCell ref="N45:R45"/>
    <mergeCell ref="S45:V45"/>
    <mergeCell ref="N46:R46"/>
    <mergeCell ref="N37:R37"/>
    <mergeCell ref="N39:R39"/>
    <mergeCell ref="S39:V39"/>
    <mergeCell ref="B40:B46"/>
    <mergeCell ref="N40:R40"/>
    <mergeCell ref="S40:V40"/>
    <mergeCell ref="N41:R41"/>
    <mergeCell ref="S41:V41"/>
    <mergeCell ref="N42:R42"/>
    <mergeCell ref="N43:R43"/>
    <mergeCell ref="S43:V43"/>
    <mergeCell ref="N34:R34"/>
    <mergeCell ref="S34:V34"/>
    <mergeCell ref="N35:R35"/>
    <mergeCell ref="S35:V35"/>
    <mergeCell ref="N36:R36"/>
    <mergeCell ref="S36:V36"/>
    <mergeCell ref="B23:B27"/>
    <mergeCell ref="T25:U25"/>
    <mergeCell ref="T26:U26"/>
    <mergeCell ref="B28:B39"/>
    <mergeCell ref="M28:M45"/>
    <mergeCell ref="N28:R28"/>
    <mergeCell ref="N29:R29"/>
    <mergeCell ref="S29:V29"/>
    <mergeCell ref="N30:R30"/>
    <mergeCell ref="S30:V30"/>
    <mergeCell ref="N38:R38"/>
    <mergeCell ref="N31:R31"/>
    <mergeCell ref="S31:V31"/>
    <mergeCell ref="N32:R32"/>
    <mergeCell ref="N33:R33"/>
    <mergeCell ref="S33:V33"/>
    <mergeCell ref="B10:Q10"/>
    <mergeCell ref="B11:C11"/>
    <mergeCell ref="T11:U11"/>
    <mergeCell ref="B12:B22"/>
    <mergeCell ref="T12:U12"/>
    <mergeCell ref="T13:U13"/>
    <mergeCell ref="T14:U14"/>
    <mergeCell ref="U15:U21"/>
    <mergeCell ref="S8:T8"/>
    <mergeCell ref="B9:C9"/>
    <mergeCell ref="E9:F9"/>
    <mergeCell ref="G9:H9"/>
    <mergeCell ref="I9:J9"/>
    <mergeCell ref="M9:N9"/>
    <mergeCell ref="O9:P9"/>
    <mergeCell ref="G8:H8"/>
    <mergeCell ref="I8:J8"/>
    <mergeCell ref="B7:C7"/>
    <mergeCell ref="D7:E7"/>
    <mergeCell ref="F7:J7"/>
    <mergeCell ref="K7:L7"/>
    <mergeCell ref="M7:N7"/>
    <mergeCell ref="D5:E5"/>
    <mergeCell ref="G5:J5"/>
    <mergeCell ref="K5:M5"/>
    <mergeCell ref="O5:P5"/>
    <mergeCell ref="D6:E6"/>
    <mergeCell ref="F6:J6"/>
    <mergeCell ref="K6:L6"/>
    <mergeCell ref="M6:N6"/>
    <mergeCell ref="D4:E4"/>
    <mergeCell ref="G4:J4"/>
    <mergeCell ref="K4:M4"/>
    <mergeCell ref="O4:Q4"/>
    <mergeCell ref="B2:Q2"/>
    <mergeCell ref="D3:E3"/>
    <mergeCell ref="G3:J3"/>
    <mergeCell ref="L3:M3"/>
    <mergeCell ref="P3:Q3"/>
  </mergeCells>
  <phoneticPr fontId="233" type="noConversion"/>
  <pageMargins left="0.69930555555555596" right="0.69930555555555596"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20" sqref="F20"/>
    </sheetView>
  </sheetViews>
  <sheetFormatPr defaultColWidth="9.125" defaultRowHeight="14.25"/>
  <cols>
    <col min="1" max="1" width="8.125" style="1985" customWidth="1"/>
    <col min="2" max="2" width="10.1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125" style="1985"/>
  </cols>
  <sheetData>
    <row r="1" spans="1:16" ht="18.75">
      <c r="A1" s="104" t="s">
        <v>202</v>
      </c>
      <c r="B1" s="1984"/>
      <c r="C1" s="1984"/>
      <c r="D1" s="1984"/>
      <c r="E1" s="1984"/>
      <c r="F1" s="1984"/>
      <c r="G1" s="1984"/>
      <c r="H1" s="1984"/>
      <c r="I1" s="1984"/>
      <c r="J1" s="1984"/>
      <c r="K1" s="1984"/>
      <c r="L1" s="1984"/>
    </row>
    <row r="2" spans="1:16" ht="15">
      <c r="A2" s="3487" t="s">
        <v>203</v>
      </c>
      <c r="B2" s="3487"/>
      <c r="C2" s="3487"/>
      <c r="D2" s="1975" t="s">
        <v>204</v>
      </c>
      <c r="E2" s="106" t="s">
        <v>205</v>
      </c>
      <c r="F2" s="1984"/>
      <c r="G2" s="1198"/>
      <c r="H2" s="1199"/>
      <c r="I2" s="1200" t="s">
        <v>856</v>
      </c>
      <c r="J2" s="1984"/>
      <c r="K2" s="1984"/>
      <c r="L2" s="1984"/>
    </row>
    <row r="3" spans="1:16" ht="15.75" thickBot="1">
      <c r="A3" s="3488" t="s">
        <v>206</v>
      </c>
      <c r="B3" s="3488"/>
      <c r="C3" s="3488"/>
      <c r="D3" s="107">
        <f>'数据-基础表'!AY6</f>
        <v>67358.31</v>
      </c>
      <c r="E3" s="107">
        <f>'数据-基础表'!AZ5</f>
        <v>156303.04999999999</v>
      </c>
      <c r="F3" s="1984"/>
      <c r="G3" s="280" t="s">
        <v>857</v>
      </c>
      <c r="H3" s="275" t="s">
        <v>858</v>
      </c>
      <c r="I3" s="1976">
        <f>ROUND('数据-基础表'!B3/'数据-基础表'!A3,2)</f>
        <v>2.3199999999999998</v>
      </c>
      <c r="J3" s="1984"/>
      <c r="K3" s="1984"/>
      <c r="L3" s="1984"/>
    </row>
    <row r="4" spans="1:16" ht="15">
      <c r="A4" s="3489"/>
      <c r="B4" s="3490"/>
      <c r="C4" s="3491"/>
      <c r="D4" s="108" t="s">
        <v>204</v>
      </c>
      <c r="E4" s="109" t="s">
        <v>205</v>
      </c>
      <c r="F4" s="1984"/>
      <c r="G4" s="1201"/>
      <c r="H4" s="275" t="s">
        <v>859</v>
      </c>
      <c r="I4" s="1976">
        <f>ROUND(SUMIF('数据-基础表'!I9:AS9,"地上",'数据-基础表'!I5:AS5)/'数据-基础表'!A3,2)</f>
        <v>1.92</v>
      </c>
      <c r="J4" s="1984"/>
      <c r="K4" s="1984"/>
      <c r="L4" s="1984"/>
    </row>
    <row r="5" spans="1:16">
      <c r="A5" s="110" t="s">
        <v>207</v>
      </c>
      <c r="B5" s="3492" t="s">
        <v>230</v>
      </c>
      <c r="C5" s="3492"/>
      <c r="D5" s="111">
        <f>ROUND($D$3*E5/$E$3,2)</f>
        <v>53887.97</v>
      </c>
      <c r="E5" s="112">
        <f>SUMIF('数据-基础表'!$11:$11,"住宅",'数据-基础表'!$5:$5)</f>
        <v>125045.5</v>
      </c>
      <c r="F5" s="1984"/>
      <c r="G5" s="280" t="s">
        <v>860</v>
      </c>
      <c r="H5" s="275" t="s">
        <v>858</v>
      </c>
      <c r="I5" s="1976">
        <f>ROUND(E31/D31,2)</f>
        <v>2.3199999999999998</v>
      </c>
      <c r="J5" s="1984"/>
      <c r="K5" s="1984"/>
      <c r="L5" s="1984"/>
    </row>
    <row r="6" spans="1:16" ht="15" thickBot="1">
      <c r="A6" s="113"/>
      <c r="B6" s="3492" t="s">
        <v>208</v>
      </c>
      <c r="C6" s="3492"/>
      <c r="D6" s="111">
        <f>ROUND($D$3*E6/$E$3,2)</f>
        <v>13470.34</v>
      </c>
      <c r="E6" s="112">
        <f>E3-E5</f>
        <v>31257.549999999988</v>
      </c>
      <c r="F6" s="1984"/>
      <c r="G6" s="1201"/>
      <c r="H6" s="275" t="s">
        <v>859</v>
      </c>
      <c r="I6" s="1976">
        <f>ROUND(F31/D31,2)</f>
        <v>1.92</v>
      </c>
      <c r="J6" s="1984"/>
      <c r="K6" s="1984"/>
      <c r="L6" s="1984"/>
    </row>
    <row r="7" spans="1:16" ht="15">
      <c r="A7" s="3484"/>
      <c r="B7" s="3485"/>
      <c r="C7" s="3486"/>
      <c r="D7" s="108" t="s">
        <v>204</v>
      </c>
      <c r="E7" s="114" t="s">
        <v>231</v>
      </c>
      <c r="F7" s="1984"/>
      <c r="G7" s="1156" t="s">
        <v>1645</v>
      </c>
      <c r="H7" s="1157"/>
      <c r="I7" s="1846">
        <f>E8/D3</f>
        <v>1.8564227635758677</v>
      </c>
      <c r="J7" s="1984"/>
      <c r="K7" s="1984"/>
      <c r="L7" s="1984"/>
    </row>
    <row r="8" spans="1:16">
      <c r="A8" s="110" t="s">
        <v>209</v>
      </c>
      <c r="B8" s="115" t="s">
        <v>210</v>
      </c>
      <c r="C8" s="111" t="s">
        <v>211</v>
      </c>
      <c r="D8" s="111">
        <f t="shared" ref="D8:D15" si="0">ROUND($D$3*E8/$E$3,2)</f>
        <v>53887.97</v>
      </c>
      <c r="E8" s="116">
        <f>SUMIF('数据-基础表'!BB10:BK10,"地上",'数据-基础表'!BB5:BK5)</f>
        <v>125045.5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7159.8</v>
      </c>
      <c r="E13" s="116">
        <f>SUMPRODUCT(('数据-基础表'!BB10:BK10="地下")*('数据-基础表'!BB11:BK11="车库")*('数据-基础表'!BB5:BK5))</f>
        <v>16614.109999999997</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61047.770000000004</v>
      </c>
      <c r="E16" s="120">
        <f>SUM(E8:E15)</f>
        <v>141659.60999999999</v>
      </c>
      <c r="F16" s="1984"/>
      <c r="G16" s="1986"/>
      <c r="H16" s="968" t="s">
        <v>219</v>
      </c>
      <c r="I16" s="969"/>
      <c r="J16" s="1984"/>
      <c r="K16" s="3478" t="s">
        <v>2566</v>
      </c>
      <c r="L16" s="3479"/>
      <c r="M16" s="3479"/>
      <c r="N16" s="3479"/>
      <c r="O16" s="3479"/>
      <c r="P16" s="3480"/>
    </row>
    <row r="17" spans="1:19" ht="15">
      <c r="A17" s="121" t="s">
        <v>216</v>
      </c>
      <c r="B17" s="122" t="s">
        <v>217</v>
      </c>
      <c r="C17" s="2298" t="s">
        <v>2314</v>
      </c>
      <c r="D17" s="108" t="s">
        <v>204</v>
      </c>
      <c r="E17" s="124" t="s">
        <v>205</v>
      </c>
      <c r="F17" s="125"/>
      <c r="G17" s="1365"/>
      <c r="H17" s="970" t="s">
        <v>218</v>
      </c>
      <c r="I17" s="971" t="s">
        <v>2313</v>
      </c>
      <c r="J17" s="1984"/>
      <c r="K17" s="3481" t="s">
        <v>2567</v>
      </c>
      <c r="L17" s="3482"/>
      <c r="M17" s="3483"/>
      <c r="N17" s="3481" t="s">
        <v>2568</v>
      </c>
      <c r="O17" s="3482"/>
      <c r="P17" s="3483"/>
      <c r="R17" s="2299" t="s">
        <v>2312</v>
      </c>
      <c r="S17" s="144"/>
    </row>
    <row r="18" spans="1:19" ht="15">
      <c r="A18" s="117"/>
      <c r="B18" s="128"/>
      <c r="C18" s="129"/>
      <c r="D18" s="2666"/>
      <c r="E18" s="130" t="s">
        <v>220</v>
      </c>
      <c r="F18" s="131" t="s">
        <v>221</v>
      </c>
      <c r="G18" s="1366" t="s">
        <v>222</v>
      </c>
      <c r="H18" s="972" t="s">
        <v>223</v>
      </c>
      <c r="I18" s="973" t="s">
        <v>224</v>
      </c>
      <c r="J18" s="1984"/>
      <c r="K18" s="2629" t="s">
        <v>2569</v>
      </c>
      <c r="L18" s="2630" t="s">
        <v>2570</v>
      </c>
      <c r="M18" s="2631" t="s">
        <v>2571</v>
      </c>
      <c r="N18" s="2629" t="s">
        <v>2569</v>
      </c>
      <c r="O18" s="2630" t="s">
        <v>2570</v>
      </c>
      <c r="P18" s="2631" t="s">
        <v>2571</v>
      </c>
      <c r="R18" s="2300" t="s">
        <v>2310</v>
      </c>
      <c r="S18" s="2300" t="s">
        <v>2311</v>
      </c>
    </row>
    <row r="19" spans="1:19">
      <c r="A19" s="133"/>
      <c r="B19" s="115" t="s">
        <v>225</v>
      </c>
      <c r="C19" s="3049" t="s">
        <v>3513</v>
      </c>
      <c r="D19" s="111">
        <f t="shared" ref="D19:D26" si="1">ROUND($D$3*E19/$E$3,2)</f>
        <v>5151.54</v>
      </c>
      <c r="E19" s="134">
        <f t="shared" ref="E19:E26" si="2">SUM(F19:G19)</f>
        <v>11954</v>
      </c>
      <c r="F19" s="135">
        <f>'数据-基础表'!I13</f>
        <v>11954</v>
      </c>
      <c r="G19" s="1367"/>
      <c r="H19" s="974">
        <f>ROUND($D$3*I19/$E$3,2)</f>
        <v>384.51</v>
      </c>
      <c r="I19" s="116">
        <f>IF($I$17="自定义",P19,M19)</f>
        <v>892.24</v>
      </c>
      <c r="J19" s="1984"/>
      <c r="K19" s="2632">
        <f t="shared" ref="K19:K26" si="3">ROUND(E$28*E19/E$27,2)</f>
        <v>892.24</v>
      </c>
      <c r="L19" s="275">
        <f t="shared" ref="L19:L26" si="4">ROUND(IF(COUNTIF(C19,"*住宅*")&gt;0,E$29*E19/E$32,0),2)</f>
        <v>0</v>
      </c>
      <c r="M19" s="2633">
        <f>K19+L19</f>
        <v>892.24</v>
      </c>
      <c r="N19" s="2634"/>
      <c r="O19" s="2635"/>
      <c r="P19" s="2636">
        <f>N19+O19</f>
        <v>0</v>
      </c>
      <c r="R19" s="275">
        <f t="shared" ref="R19:S26" si="5">D19+H19</f>
        <v>5536.05</v>
      </c>
      <c r="S19" s="2301">
        <f t="shared" si="5"/>
        <v>12846.24</v>
      </c>
    </row>
    <row r="20" spans="1:19">
      <c r="A20" s="138"/>
      <c r="B20" s="115" t="s">
        <v>226</v>
      </c>
      <c r="C20" s="3049" t="s">
        <v>3514</v>
      </c>
      <c r="D20" s="111">
        <f t="shared" si="1"/>
        <v>20138.88</v>
      </c>
      <c r="E20" s="134">
        <f t="shared" si="2"/>
        <v>46731.7</v>
      </c>
      <c r="F20" s="135">
        <f>'数据-基础表'!K13</f>
        <v>46731.7</v>
      </c>
      <c r="G20" s="1367"/>
      <c r="H20" s="974">
        <f t="shared" ref="H20:H26" si="6">ROUND($D$3*I20/$E$3,2)</f>
        <v>1503.16</v>
      </c>
      <c r="I20" s="116">
        <f t="shared" ref="I20:I26" si="7">IF($I$17="自定义",P20,M20)</f>
        <v>3488.04</v>
      </c>
      <c r="J20" s="1984"/>
      <c r="K20" s="2632">
        <f t="shared" si="3"/>
        <v>3488.04</v>
      </c>
      <c r="L20" s="275">
        <f t="shared" si="4"/>
        <v>0</v>
      </c>
      <c r="M20" s="2633">
        <f t="shared" ref="M20:M26" si="8">K20+L20</f>
        <v>3488.04</v>
      </c>
      <c r="N20" s="2634"/>
      <c r="O20" s="2635"/>
      <c r="P20" s="2636">
        <f t="shared" ref="P20:P26" si="9">N20+O20</f>
        <v>0</v>
      </c>
      <c r="R20" s="275">
        <f t="shared" si="5"/>
        <v>21642.04</v>
      </c>
      <c r="S20" s="2301">
        <f t="shared" si="5"/>
        <v>50219.74</v>
      </c>
    </row>
    <row r="21" spans="1:19">
      <c r="A21" s="138"/>
      <c r="B21" s="115" t="s">
        <v>226</v>
      </c>
      <c r="C21" s="3049" t="s">
        <v>2984</v>
      </c>
      <c r="D21" s="111">
        <f t="shared" si="1"/>
        <v>28597.55</v>
      </c>
      <c r="E21" s="134">
        <f t="shared" si="2"/>
        <v>66359.8</v>
      </c>
      <c r="F21" s="135">
        <f>'数据-基础表'!M13</f>
        <v>66359.8</v>
      </c>
      <c r="G21" s="1367"/>
      <c r="H21" s="974">
        <f t="shared" si="6"/>
        <v>2134.5100000000002</v>
      </c>
      <c r="I21" s="116">
        <f t="shared" si="7"/>
        <v>4953.08</v>
      </c>
      <c r="J21" s="1984"/>
      <c r="K21" s="2632">
        <f t="shared" si="3"/>
        <v>4953.08</v>
      </c>
      <c r="L21" s="275">
        <f t="shared" si="4"/>
        <v>0</v>
      </c>
      <c r="M21" s="2633">
        <f t="shared" si="8"/>
        <v>4953.08</v>
      </c>
      <c r="N21" s="2634"/>
      <c r="O21" s="2635"/>
      <c r="P21" s="2636">
        <f t="shared" si="9"/>
        <v>0</v>
      </c>
      <c r="R21" s="275">
        <f t="shared" si="5"/>
        <v>30732.059999999998</v>
      </c>
      <c r="S21" s="2301">
        <f t="shared" si="5"/>
        <v>71312.88</v>
      </c>
    </row>
    <row r="22" spans="1:19">
      <c r="A22" s="138"/>
      <c r="B22" s="115" t="s">
        <v>226</v>
      </c>
      <c r="C22" s="3181" t="s">
        <v>3516</v>
      </c>
      <c r="D22" s="111">
        <f t="shared" si="1"/>
        <v>7159.8</v>
      </c>
      <c r="E22" s="134">
        <f t="shared" si="2"/>
        <v>16614.109999999997</v>
      </c>
      <c r="F22" s="140"/>
      <c r="G22" s="1368">
        <f>'数据-基础表'!O13</f>
        <v>16614.109999999997</v>
      </c>
      <c r="H22" s="974">
        <f t="shared" si="6"/>
        <v>534.4</v>
      </c>
      <c r="I22" s="116">
        <f t="shared" si="7"/>
        <v>1240.07</v>
      </c>
      <c r="J22" s="1984"/>
      <c r="K22" s="2632">
        <f t="shared" si="3"/>
        <v>1240.07</v>
      </c>
      <c r="L22" s="275">
        <f t="shared" si="4"/>
        <v>0</v>
      </c>
      <c r="M22" s="2633">
        <f t="shared" si="8"/>
        <v>1240.07</v>
      </c>
      <c r="N22" s="2634"/>
      <c r="O22" s="2635"/>
      <c r="P22" s="2636">
        <f t="shared" si="9"/>
        <v>0</v>
      </c>
      <c r="R22" s="275">
        <f t="shared" si="5"/>
        <v>7694.2</v>
      </c>
      <c r="S22" s="2301">
        <f t="shared" si="5"/>
        <v>17854.179999999997</v>
      </c>
    </row>
    <row r="23" spans="1:19">
      <c r="A23" s="138"/>
      <c r="B23" s="115" t="s">
        <v>226</v>
      </c>
      <c r="C23" s="3181"/>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3.5" thickBot="1">
      <c r="A27" s="138"/>
      <c r="B27" s="111"/>
      <c r="C27" s="127" t="s">
        <v>215</v>
      </c>
      <c r="D27" s="134">
        <f>SUM(D19:D26)</f>
        <v>61047.770000000004</v>
      </c>
      <c r="E27" s="143">
        <f>IF(SUM(E19:E26)='数据-基础表'!BA5,SUM(E19:E26),IF(F27="地上面积有误","面积有误","地下面积有误"))</f>
        <v>141659.60999999999</v>
      </c>
      <c r="F27" s="134">
        <f>IF(SUM(F19:F26)=E8,SUM(F19:F26),"地上面积有误")</f>
        <v>125045.5</v>
      </c>
      <c r="G27" s="112">
        <f>SUM(G19:G26)</f>
        <v>16614.109999999997</v>
      </c>
      <c r="H27" s="975">
        <f>SUM(H19:H26)</f>
        <v>4556.58</v>
      </c>
      <c r="I27" s="976">
        <f>SUM(I19:I26)</f>
        <v>10573.43</v>
      </c>
      <c r="J27" s="1984"/>
      <c r="K27" s="2641">
        <f>SUM(K19:K26)</f>
        <v>10573.43</v>
      </c>
      <c r="L27" s="2642">
        <f>SUM(L19:L26)</f>
        <v>0</v>
      </c>
      <c r="M27" s="2643">
        <f>SUM(M19:M26)</f>
        <v>10573.43</v>
      </c>
      <c r="N27" s="2641">
        <f t="shared" ref="N27:O27" si="10">SUM(N19:N26)</f>
        <v>0</v>
      </c>
      <c r="O27" s="2642">
        <f t="shared" si="10"/>
        <v>0</v>
      </c>
      <c r="P27" s="2644">
        <f>SUM(P19:P26)</f>
        <v>0</v>
      </c>
      <c r="R27" s="2305" t="str">
        <f>IF(SUM(R19:R26)=$D$3,SUM(R19:R26),SUM(R19:R26)&amp;"误差"&amp;ROUND(SUM(R19:R26)-$D$3,2))</f>
        <v>65604.35误差-1753.96</v>
      </c>
      <c r="S27" s="275" t="str">
        <f>IF(SUM(S19:S26)=$E$3,SUM(S19:S26),SUM(S19:S26)&amp;"误差"&amp;ROUND(SUM(S19:S26)-E3,2))</f>
        <v>152233.04误差-4070.01</v>
      </c>
    </row>
    <row r="28" spans="1:19">
      <c r="A28" s="138"/>
      <c r="B28" s="115" t="s">
        <v>227</v>
      </c>
      <c r="C28" s="136" t="s">
        <v>228</v>
      </c>
      <c r="D28" s="111">
        <f>ROUND($D$3*E28/$E$3,2)</f>
        <v>4556.59</v>
      </c>
      <c r="E28" s="134">
        <f>SUM(F28:G28)</f>
        <v>10573.44</v>
      </c>
      <c r="F28" s="144">
        <f>'数据-基础表'!BQ5+'数据-基础表'!BS5</f>
        <v>0</v>
      </c>
      <c r="G28" s="145">
        <f>'数据-基础表'!BR5+'数据-基础表'!BT5</f>
        <v>10573.44</v>
      </c>
      <c r="H28" s="1984"/>
      <c r="I28" s="1984"/>
      <c r="J28" s="1984"/>
      <c r="K28" s="1984"/>
      <c r="L28" s="1984"/>
    </row>
    <row r="29" spans="1:19">
      <c r="A29" s="138"/>
      <c r="B29" s="115" t="s">
        <v>227</v>
      </c>
      <c r="C29" s="2313" t="s">
        <v>2321</v>
      </c>
      <c r="D29" s="111">
        <f>ROUND($D$3*E29/$E$3,2)</f>
        <v>1753.95</v>
      </c>
      <c r="E29" s="134">
        <f>SUM(F29:G29)</f>
        <v>4070</v>
      </c>
      <c r="F29" s="144">
        <f>'数据-基础表'!BM5+'数据-基础表'!BO5</f>
        <v>4070</v>
      </c>
      <c r="G29" s="146">
        <f>'数据-基础表'!BN5+'数据-基础表'!BP5</f>
        <v>0</v>
      </c>
      <c r="H29" s="1984"/>
      <c r="I29" s="1984"/>
      <c r="J29" s="1984"/>
      <c r="K29" s="1984"/>
      <c r="L29" s="1984"/>
    </row>
    <row r="30" spans="1:19">
      <c r="A30" s="138"/>
      <c r="B30" s="111"/>
      <c r="C30" s="147" t="s">
        <v>215</v>
      </c>
      <c r="D30" s="134">
        <f>SUM(D28:D29)</f>
        <v>6310.54</v>
      </c>
      <c r="E30" s="134">
        <f>SUM(E28:E29)</f>
        <v>14643.44</v>
      </c>
      <c r="F30" s="134">
        <f>SUM(F28:F29)</f>
        <v>4070</v>
      </c>
      <c r="G30" s="112">
        <f>SUM(G28:G29)</f>
        <v>10573.44</v>
      </c>
      <c r="H30" s="1984"/>
      <c r="I30" s="1984"/>
      <c r="J30" s="1984"/>
      <c r="K30" s="1984"/>
      <c r="L30" s="1984"/>
    </row>
    <row r="31" spans="1:19" ht="32.25" customHeight="1" thickBot="1">
      <c r="A31" s="1369"/>
      <c r="B31" s="1370" t="s">
        <v>229</v>
      </c>
      <c r="C31" s="2330" t="s">
        <v>2323</v>
      </c>
      <c r="D31" s="1371">
        <f>D27+D30</f>
        <v>67358.31</v>
      </c>
      <c r="E31" s="1371">
        <f>E27+E30</f>
        <v>156303.04999999999</v>
      </c>
      <c r="F31" s="1372">
        <f>F27+F30</f>
        <v>129115.5</v>
      </c>
      <c r="G31" s="1373">
        <f>G27+G30</f>
        <v>27187.549999999996</v>
      </c>
      <c r="H31" s="1984"/>
      <c r="I31" s="1984"/>
      <c r="J31" s="1984"/>
      <c r="K31" s="1984"/>
      <c r="L31" s="1984"/>
    </row>
    <row r="32" spans="1:19">
      <c r="A32" s="1984"/>
      <c r="B32" s="2363" t="s">
        <v>2322</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I6" activePane="bottomRight" state="frozen"/>
      <selection pane="topRight" activeCell="D1" sqref="D1"/>
      <selection pane="bottomLeft" activeCell="A4" sqref="A4"/>
      <selection pane="bottomRight" activeCell="L33" sqref="L33"/>
    </sheetView>
  </sheetViews>
  <sheetFormatPr defaultColWidth="13.62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625" style="1203" customWidth="1"/>
    <col min="25" max="25" width="8.125" style="1203" customWidth="1"/>
    <col min="26" max="30" width="6.625" style="1203" hidden="1" customWidth="1"/>
    <col min="31" max="31" width="6.5" style="1203" customWidth="1"/>
    <col min="32" max="34" width="7.125" style="1203" customWidth="1"/>
    <col min="35" max="39" width="8" style="1203" customWidth="1"/>
    <col min="40" max="41" width="13.625" style="1998"/>
    <col min="42" max="42" width="0" style="1998" hidden="1" customWidth="1"/>
    <col min="43" max="83" width="13.625" style="1998"/>
    <col min="84" max="16384" width="13.62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43236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45" t="s">
        <v>2572</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独栋</v>
      </c>
      <c r="B6" s="2337" t="str">
        <f>IF(A6=0,"","经营性")</f>
        <v>经营性</v>
      </c>
      <c r="C6" s="173" t="s">
        <v>922</v>
      </c>
      <c r="D6" s="2308">
        <f>SUMIF(项目基本情况!D$15:I$15,C6,项目基本情况!D$18:I$18)</f>
        <v>70</v>
      </c>
      <c r="E6" s="2309">
        <f>IF(B6="","",SUMIF(项目基本情况!D$15:I$15,C6,项目基本情况!D$17:I$17))</f>
        <v>68613</v>
      </c>
      <c r="F6" s="174">
        <f>SUMIF(项目基本情况!D$15:I$15,C6,项目基本情况!D$19:I$19)</f>
        <v>69.52</v>
      </c>
      <c r="G6" s="175">
        <f>IF(ISERROR(ROUND(POWER(1+H6,D6-F6)*(POWER(1+H6,F6)-1)/(POWER(1+H6,D6)-1),3)),0,ROUND(POWER(1+H6,D6-F6)*(POWER(1+H6,F6)-1)/(POWER(1+H6,D6)-1),3))</f>
        <v>0.999</v>
      </c>
      <c r="H6" s="3050">
        <v>4.4999999999999998E-2</v>
      </c>
      <c r="I6" s="3050">
        <v>5.5E-2</v>
      </c>
      <c r="J6" s="176">
        <v>8.5000000000000006E-2</v>
      </c>
      <c r="K6" s="179">
        <f>SUMIF('数据-汇总表'!C$19:C$33,'数据-取费表'!A6,'数据-汇总表'!E$19:E$33)</f>
        <v>11954</v>
      </c>
      <c r="L6" s="3051">
        <v>3000</v>
      </c>
      <c r="M6" s="177">
        <f t="shared" ref="M6:M14" si="0">ROUND(K6*L6/10000,0)</f>
        <v>3586</v>
      </c>
      <c r="N6" s="3052">
        <v>0</v>
      </c>
      <c r="O6" s="177">
        <f>IF($N$5="成新度","——",ROUND(M6*N6,0))</f>
        <v>0</v>
      </c>
      <c r="P6" s="178">
        <f>IF($N$5="成新度","——",M6-O6)</f>
        <v>3586</v>
      </c>
      <c r="Q6" s="3053">
        <v>0.2</v>
      </c>
      <c r="R6" s="179">
        <f>SUMIF('数据-汇总表'!C$19:C$33,A6,'数据-汇总表'!R$19:R$33)</f>
        <v>5536.05</v>
      </c>
      <c r="S6" s="132">
        <f>IF('数据-汇总表'!$I$17="按面积比例",SUMIF('数据-汇总表'!C$19:C$33,A6,'数据-汇总表'!K$19:K$33),SUMIF('数据-汇总表'!C$19:C$33,A6,'数据-汇总表'!N$19:N$33))</f>
        <v>892.24</v>
      </c>
      <c r="T6" s="2234">
        <f>IF($T$4="按面积比例",IF(ISERROR(ROUND($M$14*S6/S$16,0)),"0",ROUND($M$14*S6/S$16,0)),"需自行计算录入")</f>
        <v>178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4"/>
      <c r="AN6" s="2416"/>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多层</v>
      </c>
      <c r="B7" s="2337" t="str">
        <f t="shared" ref="B7:B13" si="1">IF(A7=0,"","经营性")</f>
        <v>经营性</v>
      </c>
      <c r="C7" s="173" t="s">
        <v>922</v>
      </c>
      <c r="D7" s="2308">
        <f>SUMIF(项目基本情况!D$15:I$15,C7,项目基本情况!D$18:I$18)</f>
        <v>70</v>
      </c>
      <c r="E7" s="2309">
        <f>IF(B7="","",SUMIF(项目基本情况!D$15:I$15,C7,项目基本情况!D$17:I$17))</f>
        <v>68613</v>
      </c>
      <c r="F7" s="174">
        <f>SUMIF(项目基本情况!D$15:I$15,C7,项目基本情况!D$19:I$19)</f>
        <v>69.52</v>
      </c>
      <c r="G7" s="175">
        <f t="shared" ref="G7:G11" si="2">IF(ISERROR(ROUND(POWER(1+H7,D7-F7)*(POWER(1+H7,F7)-1)/(POWER(1+H7,D7)-1),3)),0,ROUND(POWER(1+H7,D7-F7)*(POWER(1+H7,F7)-1)/(POWER(1+H7,D7)-1),3))</f>
        <v>0.999</v>
      </c>
      <c r="H7" s="3050">
        <v>4.4999999999999998E-2</v>
      </c>
      <c r="I7" s="3050">
        <v>5.5E-2</v>
      </c>
      <c r="J7" s="176">
        <v>8.5000000000000006E-2</v>
      </c>
      <c r="K7" s="179">
        <f>SUMIF('数据-汇总表'!C$19:C$33,'数据-取费表'!A7,'数据-汇总表'!E$19:E$33)</f>
        <v>46731.7</v>
      </c>
      <c r="L7" s="3051">
        <v>2000</v>
      </c>
      <c r="M7" s="177">
        <f t="shared" si="0"/>
        <v>9346</v>
      </c>
      <c r="N7" s="3052">
        <v>0</v>
      </c>
      <c r="O7" s="177">
        <f t="shared" ref="O7:O14" si="3">IF($N$5="成新度","——",ROUND(M7*N7,0))</f>
        <v>0</v>
      </c>
      <c r="P7" s="178">
        <f t="shared" ref="P7:P14" si="4">IF($N$5="成新度","——",M7-O7)</f>
        <v>9346</v>
      </c>
      <c r="Q7" s="3053">
        <v>0.15</v>
      </c>
      <c r="R7" s="179">
        <f>SUMIF('数据-汇总表'!C$19:C$33,A7,'数据-汇总表'!R$19:R$33)</f>
        <v>21642.04</v>
      </c>
      <c r="S7" s="132">
        <f>IF('数据-汇总表'!$I$17="按面积比例",SUMIF('数据-汇总表'!C$19:C$33,A7,'数据-汇总表'!K$19:K$33),SUMIF('数据-汇总表'!C$19:C$33,A7,'数据-汇总表'!N$19:N$33))</f>
        <v>3488.04</v>
      </c>
      <c r="T7" s="2234">
        <f t="shared" ref="T7:T13" si="5">IF($T$4="按面积比例",IF(ISERROR(ROUND($M$14*S7/S$16,0)),"0",ROUND($M$14*S7/S$16,0)),"需自行计算录入")</f>
        <v>698</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0.95299999999999996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高层</v>
      </c>
      <c r="B8" s="2337" t="str">
        <f t="shared" si="1"/>
        <v>经营性</v>
      </c>
      <c r="C8" s="173" t="s">
        <v>922</v>
      </c>
      <c r="D8" s="2308">
        <f>SUMIF(项目基本情况!D$15:I$15,C8,项目基本情况!D$18:I$18)</f>
        <v>70</v>
      </c>
      <c r="E8" s="2309">
        <f>IF(B8="","",SUMIF(项目基本情况!D$15:I$15,C8,项目基本情况!D$17:I$17))</f>
        <v>68613</v>
      </c>
      <c r="F8" s="174">
        <f>SUMIF(项目基本情况!D$15:I$15,C8,项目基本情况!D$19:I$19)</f>
        <v>69.52</v>
      </c>
      <c r="G8" s="175">
        <f t="shared" si="2"/>
        <v>0.999</v>
      </c>
      <c r="H8" s="3050">
        <v>4.4999999999999998E-2</v>
      </c>
      <c r="I8" s="3050">
        <v>5.5E-2</v>
      </c>
      <c r="J8" s="176">
        <v>8.5000000000000006E-2</v>
      </c>
      <c r="K8" s="179">
        <f>SUMIF('数据-汇总表'!C$19:C$33,'数据-取费表'!A8,'数据-汇总表'!E$19:E$33)</f>
        <v>66359.8</v>
      </c>
      <c r="L8" s="3051">
        <v>2200</v>
      </c>
      <c r="M8" s="177">
        <f>ROUND(K8*L8/10000,0)</f>
        <v>14599</v>
      </c>
      <c r="N8" s="3052">
        <v>0</v>
      </c>
      <c r="O8" s="177">
        <f t="shared" si="3"/>
        <v>0</v>
      </c>
      <c r="P8" s="178">
        <f t="shared" si="4"/>
        <v>14599</v>
      </c>
      <c r="Q8" s="3053">
        <v>0.15</v>
      </c>
      <c r="R8" s="179">
        <f>SUMIF('数据-汇总表'!C$19:C$33,A8,'数据-汇总表'!R$19:R$33)</f>
        <v>30732.059999999998</v>
      </c>
      <c r="S8" s="132">
        <f>IF('数据-汇总表'!$I$17="按面积比例",SUMIF('数据-汇总表'!C$19:C$33,A8,'数据-汇总表'!K$19:K$33),SUMIF('数据-汇总表'!C$19:C$33,A8,'数据-汇总表'!N$19:N$33))</f>
        <v>4953.08</v>
      </c>
      <c r="T8" s="2234">
        <f t="shared" si="5"/>
        <v>991</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0.95299999999999996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车位</v>
      </c>
      <c r="B9" s="2337" t="str">
        <f t="shared" si="1"/>
        <v>经营性</v>
      </c>
      <c r="C9" s="173" t="s">
        <v>3508</v>
      </c>
      <c r="D9" s="2308">
        <f>SUMIF(项目基本情况!D$15:I$15,C9,项目基本情况!D$18:I$18)</f>
        <v>50</v>
      </c>
      <c r="E9" s="2309">
        <f>IF(B9="","",SUMIF(项目基本情况!D$15:I$15,C9,项目基本情况!D$17:I$17))</f>
        <v>61308</v>
      </c>
      <c r="F9" s="174">
        <f>SUMIF(项目基本情况!D$15:I$15,C9,项目基本情况!D$19:I$19)</f>
        <v>49.51</v>
      </c>
      <c r="G9" s="175">
        <f t="shared" si="2"/>
        <v>0.997</v>
      </c>
      <c r="H9" s="176">
        <v>4.4999999999999998E-2</v>
      </c>
      <c r="I9" s="176">
        <v>0.05</v>
      </c>
      <c r="J9" s="176">
        <v>8.5000000000000006E-2</v>
      </c>
      <c r="K9" s="179">
        <f>SUMIF('数据-汇总表'!C$19:C$33,'数据-取费表'!A9,'数据-汇总表'!E$19:E$33)</f>
        <v>16614.109999999997</v>
      </c>
      <c r="L9" s="193">
        <v>2200</v>
      </c>
      <c r="M9" s="177">
        <f t="shared" si="0"/>
        <v>3655</v>
      </c>
      <c r="N9" s="194">
        <v>0</v>
      </c>
      <c r="O9" s="177">
        <f t="shared" si="3"/>
        <v>0</v>
      </c>
      <c r="P9" s="178">
        <f t="shared" si="4"/>
        <v>3655</v>
      </c>
      <c r="Q9" s="192">
        <v>0.03</v>
      </c>
      <c r="R9" s="179">
        <f>SUMIF('数据-汇总表'!C$19:C$33,A9,'数据-汇总表'!R$19:R$33)</f>
        <v>7694.2</v>
      </c>
      <c r="S9" s="132">
        <f>IF('数据-汇总表'!$I$17="按面积比例",SUMIF('数据-汇总表'!C$19:C$33,A9,'数据-汇总表'!K$19:K$33),SUMIF('数据-汇总表'!C$19:C$33,A9,'数据-汇总表'!N$19:N$33))</f>
        <v>1240.07</v>
      </c>
      <c r="T9" s="2234">
        <f t="shared" si="5"/>
        <v>248</v>
      </c>
      <c r="U9" s="3209">
        <v>0.4</v>
      </c>
      <c r="V9" s="176">
        <v>0.03</v>
      </c>
      <c r="W9" s="176">
        <v>0.1</v>
      </c>
      <c r="X9" s="2321"/>
      <c r="Y9" s="182">
        <v>1</v>
      </c>
      <c r="Z9" s="183"/>
      <c r="AA9" s="176"/>
      <c r="AB9" s="176"/>
      <c r="AC9" s="2324"/>
      <c r="AD9" s="184"/>
      <c r="AE9" s="972">
        <f t="shared" ca="1" si="6"/>
        <v>48.01</v>
      </c>
      <c r="AF9" s="141"/>
      <c r="AG9" s="1213">
        <f t="shared" si="7"/>
        <v>0</v>
      </c>
      <c r="AH9" s="141"/>
      <c r="AI9" s="187">
        <v>365</v>
      </c>
      <c r="AJ9" s="188"/>
      <c r="AK9" s="189">
        <v>1.4999999999999999E-2</v>
      </c>
      <c r="AL9" s="190">
        <v>1.5E-3</v>
      </c>
      <c r="AM9" s="2414">
        <v>0.01</v>
      </c>
      <c r="AN9" s="2416" t="s">
        <v>3056</v>
      </c>
      <c r="AO9" s="2000"/>
      <c r="AP9" s="1204">
        <f t="shared" si="8"/>
        <v>0.88700000000000001</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10573.44</v>
      </c>
      <c r="L14" s="193">
        <v>2000</v>
      </c>
      <c r="M14" s="177">
        <f t="shared" si="0"/>
        <v>2115</v>
      </c>
      <c r="N14" s="194">
        <v>0</v>
      </c>
      <c r="O14" s="177">
        <f t="shared" si="3"/>
        <v>0</v>
      </c>
      <c r="P14" s="178">
        <f t="shared" si="4"/>
        <v>2115</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4070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156303.04999999999</v>
      </c>
      <c r="L16" s="206">
        <f>ROUND(M16*10000/SUM(K6:K14),0)</f>
        <v>2188</v>
      </c>
      <c r="M16" s="206">
        <f>SUM(M6:M14)</f>
        <v>33301</v>
      </c>
      <c r="N16" s="207">
        <f>ROUND(SUMPRODUCT(M6:M14,N6:N14)/M16,3)</f>
        <v>0</v>
      </c>
      <c r="O16" s="206">
        <f>SUM(O6:O14)</f>
        <v>0</v>
      </c>
      <c r="P16" s="206">
        <f>SUM(P6:P14)</f>
        <v>33301</v>
      </c>
      <c r="Q16" s="208">
        <f>ROUND(SUMPRODUCT(Q6:Q13,K6:K13)/SUMPRODUCT((Q6:Q13&gt;0)*(K6:K13)),2)</f>
        <v>0.14000000000000001</v>
      </c>
      <c r="R16" s="2311">
        <f>SUM(R6:R13)</f>
        <v>65604.349999999991</v>
      </c>
      <c r="S16" s="209">
        <f>SUM(S6:S13)</f>
        <v>10573.43</v>
      </c>
      <c r="T16" s="210">
        <f>IF(SUMIF(T6:T13,"&lt;9E307")=M14,SUMIF(T6:T13,"&lt;9E307"),"有误，请检查")</f>
        <v>2115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0.94499999999999995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120</v>
      </c>
      <c r="C27" s="3099" t="s">
        <v>3521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2893</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65"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2457</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99"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1096</v>
      </c>
      <c r="C53" s="3101" t="s">
        <v>2903</v>
      </c>
      <c r="D53" s="3102"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2905</v>
      </c>
      <c r="B54" s="186">
        <v>6</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2906</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2907</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2908</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2909</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2910</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8.875"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625" style="2024" customWidth="1"/>
    <col min="10" max="10" width="2.625" style="2025" customWidth="1"/>
    <col min="11" max="11" width="11.875" style="2023" customWidth="1"/>
    <col min="12" max="12" width="16.625" style="2024" customWidth="1"/>
    <col min="13" max="13" width="2.625" style="2025" customWidth="1"/>
    <col min="14" max="14" width="11.875" style="2023" customWidth="1"/>
    <col min="15" max="15" width="16.625" style="2024" customWidth="1"/>
    <col min="16" max="16" width="2.625" style="2025" customWidth="1"/>
    <col min="17" max="17" width="11.875" style="2023" customWidth="1"/>
    <col min="18" max="18" width="16.625" style="2026" customWidth="1"/>
    <col min="19" max="16384" width="8.875" style="2008"/>
  </cols>
  <sheetData>
    <row r="1" spans="1:18" s="2007" customFormat="1" ht="19.5" thickBot="1">
      <c r="A1" s="3493" t="s">
        <v>1663</v>
      </c>
      <c r="B1" s="3494"/>
      <c r="C1" s="3494"/>
      <c r="D1" s="3494"/>
      <c r="E1" s="3494"/>
      <c r="F1" s="3494"/>
      <c r="G1" s="3494"/>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81">
      <c r="A3" s="1227" t="s">
        <v>1666</v>
      </c>
      <c r="B3" s="1228" t="s">
        <v>1653</v>
      </c>
      <c r="C3" s="3203" t="s">
        <v>3066</v>
      </c>
      <c r="D3" s="2009"/>
      <c r="E3" s="1229" t="s">
        <v>1666</v>
      </c>
      <c r="F3" s="1230" t="s">
        <v>1654</v>
      </c>
      <c r="G3" s="3109"/>
      <c r="H3" s="2008"/>
      <c r="I3" s="2008"/>
      <c r="J3" s="2008"/>
      <c r="K3" s="2008"/>
      <c r="L3" s="2008"/>
      <c r="M3" s="2008"/>
      <c r="N3" s="2008"/>
      <c r="O3" s="2008"/>
      <c r="P3" s="2008"/>
      <c r="Q3" s="2008"/>
      <c r="R3" s="2008"/>
    </row>
    <row r="4" spans="1:18" ht="55.5">
      <c r="A4" s="1229"/>
      <c r="B4" s="1231" t="s">
        <v>1667</v>
      </c>
      <c r="C4" s="3106" t="s">
        <v>3067</v>
      </c>
      <c r="D4" s="2009"/>
      <c r="E4" s="1232"/>
      <c r="F4" s="1233" t="s">
        <v>1668</v>
      </c>
      <c r="G4" s="3107"/>
      <c r="H4" s="2008"/>
      <c r="I4" s="2008"/>
      <c r="J4" s="2008"/>
      <c r="K4" s="2008"/>
      <c r="L4" s="2008"/>
      <c r="M4" s="2008"/>
      <c r="N4" s="2008"/>
      <c r="O4" s="2008"/>
      <c r="P4" s="2008"/>
      <c r="Q4" s="2008"/>
      <c r="R4" s="2008"/>
    </row>
    <row r="5" spans="1:18" ht="14.25">
      <c r="A5" s="1229"/>
      <c r="B5" s="1231" t="s">
        <v>1669</v>
      </c>
      <c r="C5" s="3106"/>
      <c r="D5" s="2009"/>
      <c r="E5" s="1232"/>
      <c r="F5" s="1231" t="s">
        <v>2546</v>
      </c>
      <c r="G5" s="3107"/>
      <c r="H5" s="2008"/>
      <c r="I5" s="2008"/>
      <c r="J5" s="2008"/>
      <c r="K5" s="2008"/>
      <c r="L5" s="2008"/>
      <c r="M5" s="2008"/>
      <c r="N5" s="2008"/>
      <c r="O5" s="2008"/>
      <c r="P5" s="2008"/>
      <c r="Q5" s="2008"/>
      <c r="R5" s="2008"/>
    </row>
    <row r="6" spans="1:18" ht="81">
      <c r="A6" s="1229"/>
      <c r="B6" s="1231" t="s">
        <v>1655</v>
      </c>
      <c r="C6" s="3204" t="s">
        <v>3068</v>
      </c>
      <c r="D6" s="2009"/>
      <c r="E6" s="1232"/>
      <c r="F6" s="1231" t="s">
        <v>2547</v>
      </c>
      <c r="G6" s="3107"/>
      <c r="H6" s="2008"/>
      <c r="I6" s="2008"/>
      <c r="J6" s="2008"/>
      <c r="K6" s="2008"/>
      <c r="L6" s="2008"/>
      <c r="M6" s="2008"/>
      <c r="N6" s="2008"/>
      <c r="O6" s="2008"/>
      <c r="P6" s="2008"/>
      <c r="Q6" s="2008"/>
      <c r="R6" s="2008"/>
    </row>
    <row r="7" spans="1:18" ht="15" thickBot="1">
      <c r="A7" s="1229"/>
      <c r="B7" s="1231" t="s">
        <v>2546</v>
      </c>
      <c r="C7" s="3204"/>
      <c r="D7" s="2010"/>
      <c r="E7" s="1234"/>
      <c r="F7" s="1235" t="s">
        <v>1670</v>
      </c>
      <c r="G7" s="3110"/>
      <c r="H7" s="2008"/>
      <c r="I7" s="2008"/>
      <c r="J7" s="2008"/>
      <c r="K7" s="2008"/>
      <c r="L7" s="2008"/>
      <c r="M7" s="2008"/>
      <c r="N7" s="2008"/>
      <c r="O7" s="2008"/>
      <c r="P7" s="2008"/>
      <c r="Q7" s="2008"/>
      <c r="R7" s="2008"/>
    </row>
    <row r="8" spans="1:18" ht="14.25">
      <c r="A8" s="1229"/>
      <c r="B8" s="1231" t="s">
        <v>2547</v>
      </c>
      <c r="C8" s="3107"/>
      <c r="D8" s="2010"/>
      <c r="E8" s="2010"/>
      <c r="F8" s="1553"/>
      <c r="G8" s="1553"/>
      <c r="H8" s="2008"/>
      <c r="I8" s="2008"/>
      <c r="J8" s="2008"/>
      <c r="K8" s="2008"/>
      <c r="L8" s="2008"/>
      <c r="M8" s="2008"/>
      <c r="N8" s="2008"/>
      <c r="O8" s="2008"/>
      <c r="P8" s="2008"/>
      <c r="Q8" s="2008"/>
      <c r="R8" s="2008"/>
    </row>
    <row r="9" spans="1:18" ht="14.25">
      <c r="A9" s="1229"/>
      <c r="B9" s="1231" t="s">
        <v>1656</v>
      </c>
      <c r="C9" s="3106"/>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81">
      <c r="A15" s="2612" t="s">
        <v>1657</v>
      </c>
      <c r="B15" s="1242" t="s">
        <v>1653</v>
      </c>
      <c r="C15" s="1243" t="str">
        <f>C3</f>
        <v>周边居住用地比例、居住小区规模和社区发展完善程度（居住用地比例适宜，较多住宅项目，但尚未开发完成，社区发展完善程度较差）</v>
      </c>
      <c r="D15" s="2009"/>
      <c r="E15" s="2609" t="s">
        <v>1658</v>
      </c>
      <c r="F15" s="1242" t="s">
        <v>1673</v>
      </c>
      <c r="G15" s="1244">
        <f>G3</f>
        <v>0</v>
      </c>
    </row>
    <row r="16" spans="1:18" ht="54">
      <c r="A16" s="2613"/>
      <c r="B16" s="1245" t="s">
        <v>1667</v>
      </c>
      <c r="C16" s="1246" t="str">
        <f>C4</f>
        <v>XX商圈，周边商业氛围，人流量（城乡一体化示范区 住宅底商 氛围较差 人流量较少）</v>
      </c>
      <c r="D16" s="2009"/>
      <c r="E16" s="2610"/>
      <c r="F16" s="1247" t="s">
        <v>1668</v>
      </c>
      <c r="G16" s="1005">
        <f>G4</f>
        <v>0</v>
      </c>
    </row>
    <row r="17" spans="1:7" ht="14.25">
      <c r="A17" s="2613"/>
      <c r="B17" s="1245" t="s">
        <v>1669</v>
      </c>
      <c r="C17" s="1246">
        <f>C5</f>
        <v>0</v>
      </c>
      <c r="D17" s="2010"/>
      <c r="E17" s="2610"/>
      <c r="F17" s="1247" t="s">
        <v>1674</v>
      </c>
      <c r="G17" s="2818"/>
    </row>
    <row r="18" spans="1:7" ht="81">
      <c r="A18" s="2613"/>
      <c r="B18" s="1247" t="s">
        <v>1655</v>
      </c>
      <c r="C18" s="1005" t="str">
        <f>C6</f>
        <v>周边道路状况、公共交通通达情况、停车便捷程度（北至文峰大道 南至文明大道 均为城市主干道 南距安阳东站直线1.5公里 y1路 11路 16路）</v>
      </c>
      <c r="D18" s="2010"/>
      <c r="E18" s="2610"/>
      <c r="F18" s="1247" t="s">
        <v>1670</v>
      </c>
      <c r="G18" s="1005">
        <f>G7</f>
        <v>0</v>
      </c>
    </row>
    <row r="19" spans="1:7" ht="14.25">
      <c r="A19" s="2613"/>
      <c r="B19" s="1247" t="s">
        <v>1659</v>
      </c>
      <c r="C19" s="2818"/>
      <c r="D19" s="2009"/>
      <c r="E19" s="2610"/>
      <c r="F19" s="1231" t="s">
        <v>2546</v>
      </c>
      <c r="G19" s="1005">
        <f>G5</f>
        <v>0</v>
      </c>
    </row>
    <row r="20" spans="1:7">
      <c r="A20" s="2613"/>
      <c r="B20" s="1247" t="s">
        <v>1660</v>
      </c>
      <c r="C20" s="1246">
        <f>C9</f>
        <v>0</v>
      </c>
      <c r="D20" s="2010"/>
      <c r="E20" s="2610"/>
      <c r="F20" s="1231" t="s">
        <v>2547</v>
      </c>
      <c r="G20" s="1005">
        <f>G6</f>
        <v>0</v>
      </c>
    </row>
    <row r="21" spans="1:7" ht="14.25">
      <c r="A21" s="2613"/>
      <c r="B21" s="1231" t="s">
        <v>2546</v>
      </c>
      <c r="C21" s="1005">
        <f>C7</f>
        <v>0</v>
      </c>
      <c r="D21" s="2009"/>
      <c r="E21" s="2610"/>
      <c r="F21" s="1247" t="s">
        <v>1661</v>
      </c>
      <c r="G21" s="3111"/>
    </row>
    <row r="22" spans="1:7" ht="14.25">
      <c r="A22" s="2613"/>
      <c r="B22" s="1231" t="s">
        <v>2547</v>
      </c>
      <c r="C22" s="1005">
        <f>C8</f>
        <v>0</v>
      </c>
      <c r="D22" s="2009"/>
      <c r="E22" s="2610"/>
      <c r="F22" s="1247" t="s">
        <v>1671</v>
      </c>
      <c r="G22" s="2818"/>
    </row>
    <row r="23" spans="1:7" ht="15" thickBot="1">
      <c r="A23" s="2613"/>
      <c r="B23" s="1247" t="s">
        <v>1661</v>
      </c>
      <c r="C23" s="3111"/>
      <c r="E23" s="2611"/>
      <c r="F23" s="1248" t="s">
        <v>1675</v>
      </c>
      <c r="G23" s="3112"/>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3070" t="s">
        <v>2843</v>
      </c>
      <c r="B1" s="3070">
        <f>SUM(B14:B23)</f>
        <v>156303.04999999999</v>
      </c>
      <c r="C1" s="3071"/>
      <c r="D1" s="3071"/>
      <c r="E1" s="3071"/>
      <c r="F1" s="3071"/>
    </row>
    <row r="2" spans="1:9" ht="16.5">
      <c r="A2" s="3070" t="s">
        <v>2844</v>
      </c>
      <c r="B2" s="3070">
        <f>SUM(C14:C23)</f>
        <v>67358.31</v>
      </c>
      <c r="C2" s="3071"/>
      <c r="D2" s="3071"/>
      <c r="E2" s="3071"/>
      <c r="F2" s="3071"/>
    </row>
    <row r="3" spans="1:9" ht="16.5">
      <c r="A3" s="3070" t="s">
        <v>2845</v>
      </c>
      <c r="B3" s="3072">
        <f>项目基本情况!D3</f>
        <v>43236</v>
      </c>
      <c r="C3" s="3071"/>
      <c r="D3" s="3071"/>
      <c r="E3" s="3071"/>
      <c r="F3" s="3071"/>
    </row>
    <row r="4" spans="1:9" ht="33">
      <c r="A4" s="3070" t="s">
        <v>2846</v>
      </c>
      <c r="B4" s="3070" t="s">
        <v>2847</v>
      </c>
      <c r="C4" s="3070" t="s">
        <v>2848</v>
      </c>
      <c r="D4" s="3070" t="s">
        <v>2849</v>
      </c>
      <c r="E4" s="3071"/>
      <c r="F4" s="3071"/>
    </row>
    <row r="5" spans="1:9" ht="16.5">
      <c r="A5" s="3070" t="s">
        <v>2850</v>
      </c>
      <c r="B5" s="3070">
        <f ca="1">SUM(D14:D23)</f>
        <v>40606</v>
      </c>
      <c r="C5" s="3070">
        <f ca="1">ROUND(B5*10000/$B$1,0)</f>
        <v>2598</v>
      </c>
      <c r="D5" s="3070">
        <f ca="1">ROUND(B5*10000/$B$2,0)</f>
        <v>6028</v>
      </c>
      <c r="E5" s="3071"/>
      <c r="F5" s="3071"/>
    </row>
    <row r="6" spans="1:9" ht="16.5">
      <c r="A6" s="3070" t="s">
        <v>2851</v>
      </c>
      <c r="B6" s="3070">
        <f ca="1">SUM(G14:G23)</f>
        <v>40606</v>
      </c>
      <c r="C6" s="3070">
        <f t="shared" ref="C6:C8" ca="1" si="0">ROUND(B6*10000/$B$1,0)</f>
        <v>2598</v>
      </c>
      <c r="D6" s="3070">
        <f t="shared" ref="D6:D8" ca="1" si="1">ROUND(B6*10000/$B$2,0)</f>
        <v>6028</v>
      </c>
      <c r="E6" s="3071"/>
      <c r="F6" s="3071"/>
    </row>
    <row r="7" spans="1:9" ht="16.5">
      <c r="A7" s="3070" t="s">
        <v>2852</v>
      </c>
      <c r="B7" s="3070">
        <f>SUM(H14:H23)</f>
        <v>0</v>
      </c>
      <c r="C7" s="3070">
        <f t="shared" si="0"/>
        <v>0</v>
      </c>
      <c r="D7" s="3070">
        <f t="shared" si="1"/>
        <v>0</v>
      </c>
      <c r="E7" s="3071"/>
      <c r="F7" s="3071"/>
    </row>
    <row r="8" spans="1:9" ht="16.5">
      <c r="A8" s="3070" t="s">
        <v>2853</v>
      </c>
      <c r="B8" s="3070">
        <f>SUM(I14:I23)</f>
        <v>0</v>
      </c>
      <c r="C8" s="3070">
        <f t="shared" si="0"/>
        <v>0</v>
      </c>
      <c r="D8" s="3070">
        <f t="shared" si="1"/>
        <v>0</v>
      </c>
      <c r="E8" s="3071"/>
      <c r="F8" s="3071"/>
    </row>
    <row r="9" spans="1:9" ht="16.5">
      <c r="A9" s="3070" t="s">
        <v>2854</v>
      </c>
      <c r="B9" s="3073"/>
      <c r="C9" s="3071"/>
      <c r="D9" s="3071"/>
      <c r="E9" s="3071"/>
      <c r="F9" s="3071"/>
    </row>
    <row r="10" spans="1:9" ht="16.5">
      <c r="A10" s="3070" t="s">
        <v>2855</v>
      </c>
      <c r="B10" s="3073"/>
      <c r="C10" s="3071"/>
      <c r="D10" s="3071"/>
      <c r="E10" s="3071"/>
      <c r="F10" s="3071"/>
    </row>
    <row r="11" spans="1:9" ht="16.5">
      <c r="A11" s="3070" t="s">
        <v>2872</v>
      </c>
      <c r="B11" s="3073"/>
      <c r="C11" s="3071"/>
      <c r="D11" s="3071"/>
      <c r="E11" s="3071"/>
      <c r="F11" s="3071"/>
    </row>
    <row r="12" spans="1:9" ht="16.5">
      <c r="A12" s="3071"/>
      <c r="B12" s="3071"/>
      <c r="C12" s="3071"/>
      <c r="D12" s="3071"/>
      <c r="E12" s="3071"/>
      <c r="F12" s="3071"/>
    </row>
    <row r="13" spans="1:9" ht="33">
      <c r="A13" s="3076" t="s">
        <v>2871</v>
      </c>
      <c r="B13" s="3074" t="s">
        <v>2843</v>
      </c>
      <c r="C13" s="3074" t="s">
        <v>2844</v>
      </c>
      <c r="D13" s="3074" t="s">
        <v>2856</v>
      </c>
      <c r="E13" s="3070" t="s">
        <v>2870</v>
      </c>
      <c r="F13" s="3070" t="s">
        <v>2849</v>
      </c>
      <c r="G13" s="3074" t="s">
        <v>2857</v>
      </c>
      <c r="H13" s="3074" t="s">
        <v>2858</v>
      </c>
      <c r="I13" s="3074" t="s">
        <v>2859</v>
      </c>
    </row>
    <row r="14" spans="1:9" ht="16.5">
      <c r="A14" s="3077" t="s">
        <v>2869</v>
      </c>
      <c r="B14" s="3074">
        <f>结果表!L38</f>
        <v>156303.04999999999</v>
      </c>
      <c r="C14" s="3074">
        <f>结果表!K38</f>
        <v>67358.31</v>
      </c>
      <c r="D14" s="3074">
        <f ca="1">结果表!C42</f>
        <v>40606</v>
      </c>
      <c r="E14" s="3074">
        <f ca="1">ROUND(D14*10000/B14,0)</f>
        <v>2598</v>
      </c>
      <c r="F14" s="3074">
        <f ca="1">ROUND(D14*10000/C14,0)</f>
        <v>6028</v>
      </c>
      <c r="G14" s="3074">
        <f ca="1">结果表!C44</f>
        <v>40606</v>
      </c>
      <c r="H14" s="3074" t="str">
        <f>结果表!C45</f>
        <v>——</v>
      </c>
      <c r="I14" s="3074" t="str">
        <f>结果表!C46</f>
        <v>——</v>
      </c>
    </row>
    <row r="15" spans="1:9" ht="16.5">
      <c r="A15" s="3077" t="s">
        <v>2860</v>
      </c>
      <c r="B15" s="3078"/>
      <c r="C15" s="3078"/>
      <c r="D15" s="3078"/>
      <c r="E15" s="3074" t="e">
        <f t="shared" ref="E15:E23" si="2">ROUND(D15*10000/B15,0)</f>
        <v>#DIV/0!</v>
      </c>
      <c r="F15" s="3074" t="e">
        <f t="shared" ref="F15:F23" si="3">ROUND(D15*10000/C15,0)</f>
        <v>#DIV/0!</v>
      </c>
      <c r="G15" s="3075"/>
      <c r="H15" s="3075"/>
      <c r="I15" s="3078"/>
    </row>
    <row r="16" spans="1:9" ht="16.5">
      <c r="A16" s="3077" t="s">
        <v>2861</v>
      </c>
      <c r="B16" s="3078"/>
      <c r="C16" s="3078"/>
      <c r="D16" s="3078"/>
      <c r="E16" s="3074" t="e">
        <f t="shared" si="2"/>
        <v>#DIV/0!</v>
      </c>
      <c r="F16" s="3074" t="e">
        <f t="shared" si="3"/>
        <v>#DIV/0!</v>
      </c>
      <c r="G16" s="3075"/>
      <c r="H16" s="3075"/>
      <c r="I16" s="3078"/>
    </row>
    <row r="17" spans="1:9" ht="16.5">
      <c r="A17" s="3077" t="s">
        <v>2862</v>
      </c>
      <c r="B17" s="3078"/>
      <c r="C17" s="3078"/>
      <c r="D17" s="3078"/>
      <c r="E17" s="3074" t="e">
        <f t="shared" si="2"/>
        <v>#DIV/0!</v>
      </c>
      <c r="F17" s="3074" t="e">
        <f t="shared" si="3"/>
        <v>#DIV/0!</v>
      </c>
      <c r="G17" s="3075"/>
      <c r="H17" s="3075"/>
      <c r="I17" s="3078"/>
    </row>
    <row r="18" spans="1:9" ht="16.5">
      <c r="A18" s="3077" t="s">
        <v>2863</v>
      </c>
      <c r="B18" s="3078"/>
      <c r="C18" s="3078"/>
      <c r="D18" s="3078"/>
      <c r="E18" s="3074" t="e">
        <f t="shared" si="2"/>
        <v>#DIV/0!</v>
      </c>
      <c r="F18" s="3074" t="e">
        <f t="shared" si="3"/>
        <v>#DIV/0!</v>
      </c>
      <c r="G18" s="3078"/>
      <c r="H18" s="3078"/>
      <c r="I18" s="3078"/>
    </row>
    <row r="19" spans="1:9" ht="16.5">
      <c r="A19" s="3077" t="s">
        <v>2864</v>
      </c>
      <c r="B19" s="3078"/>
      <c r="C19" s="3078"/>
      <c r="D19" s="3078"/>
      <c r="E19" s="3074" t="e">
        <f t="shared" si="2"/>
        <v>#DIV/0!</v>
      </c>
      <c r="F19" s="3074" t="e">
        <f t="shared" si="3"/>
        <v>#DIV/0!</v>
      </c>
      <c r="G19" s="3078"/>
      <c r="H19" s="3078"/>
      <c r="I19" s="3078"/>
    </row>
    <row r="20" spans="1:9" ht="16.5">
      <c r="A20" s="3077" t="s">
        <v>2865</v>
      </c>
      <c r="B20" s="3078"/>
      <c r="C20" s="3078"/>
      <c r="D20" s="3078"/>
      <c r="E20" s="3074" t="e">
        <f t="shared" si="2"/>
        <v>#DIV/0!</v>
      </c>
      <c r="F20" s="3074" t="e">
        <f t="shared" si="3"/>
        <v>#DIV/0!</v>
      </c>
      <c r="G20" s="3078"/>
      <c r="H20" s="3078"/>
      <c r="I20" s="3078"/>
    </row>
    <row r="21" spans="1:9" ht="16.5">
      <c r="A21" s="3077" t="s">
        <v>2866</v>
      </c>
      <c r="B21" s="3078"/>
      <c r="C21" s="3078"/>
      <c r="D21" s="3078"/>
      <c r="E21" s="3074" t="e">
        <f t="shared" si="2"/>
        <v>#DIV/0!</v>
      </c>
      <c r="F21" s="3074" t="e">
        <f t="shared" si="3"/>
        <v>#DIV/0!</v>
      </c>
      <c r="G21" s="3078"/>
      <c r="H21" s="3078"/>
      <c r="I21" s="3078"/>
    </row>
    <row r="22" spans="1:9" ht="16.5">
      <c r="A22" s="3077" t="s">
        <v>2867</v>
      </c>
      <c r="B22" s="3078"/>
      <c r="C22" s="3078"/>
      <c r="D22" s="3078"/>
      <c r="E22" s="3074" t="e">
        <f t="shared" si="2"/>
        <v>#DIV/0!</v>
      </c>
      <c r="F22" s="3074" t="e">
        <f t="shared" si="3"/>
        <v>#DIV/0!</v>
      </c>
      <c r="G22" s="3078"/>
      <c r="H22" s="3078"/>
      <c r="I22" s="3078"/>
    </row>
    <row r="23" spans="1:9" ht="16.5">
      <c r="A23" s="3077" t="s">
        <v>2868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C19" sqref="C19"/>
    </sheetView>
  </sheetViews>
  <sheetFormatPr defaultColWidth="12.625" defaultRowHeight="21.75" customHeight="1"/>
  <cols>
    <col min="1" max="2" width="12.625" style="1250" bestFit="1" customWidth="1"/>
    <col min="3" max="4" width="12.625" style="1250" customWidth="1"/>
    <col min="5" max="9" width="12.625" style="1250"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50"/>
  </cols>
  <sheetData>
    <row r="1" spans="1:22" ht="21.75" customHeight="1" thickBot="1">
      <c r="A1" s="1776" t="s">
        <v>2056</v>
      </c>
      <c r="B1" s="1777"/>
      <c r="C1" s="1805" t="s">
        <v>2057</v>
      </c>
      <c r="D1" s="1806" t="s">
        <v>3060</v>
      </c>
      <c r="E1" s="1805" t="s">
        <v>2058</v>
      </c>
      <c r="F1" s="1807" t="s">
        <v>3061</v>
      </c>
      <c r="G1" s="311"/>
      <c r="H1" s="311"/>
      <c r="I1" s="311"/>
      <c r="J1" s="2029"/>
      <c r="K1" s="2029"/>
      <c r="L1" s="2029"/>
      <c r="M1" s="2029"/>
      <c r="N1" s="2029"/>
      <c r="O1" s="2029"/>
      <c r="P1" s="2029"/>
      <c r="Q1" s="2029"/>
      <c r="R1" s="2029"/>
      <c r="S1" s="2029"/>
      <c r="T1" s="2029"/>
      <c r="U1" s="2029"/>
      <c r="V1" s="2029"/>
    </row>
    <row r="2" spans="1:22" ht="21.75" customHeight="1" thickBot="1">
      <c r="A2" s="3531" t="str">
        <f>项目基本情况!K2</f>
        <v>河南省安阳市文峰区光明路与富泉街交叉口东北角出让国有建设用地使用权</v>
      </c>
      <c r="B2" s="3532"/>
      <c r="C2" s="3533"/>
      <c r="D2" s="3533"/>
      <c r="E2" s="3533"/>
      <c r="F2" s="3533"/>
      <c r="G2" s="3532"/>
      <c r="H2" s="3532"/>
      <c r="I2" s="3534"/>
      <c r="J2" s="2030"/>
      <c r="K2" s="2029"/>
      <c r="L2" s="2029"/>
      <c r="M2" s="2029"/>
      <c r="N2" s="2029"/>
      <c r="O2" s="2029"/>
      <c r="P2" s="2029"/>
      <c r="Q2" s="2029"/>
      <c r="R2" s="2029"/>
      <c r="S2" s="2029"/>
      <c r="T2" s="2029"/>
      <c r="U2" s="2029"/>
      <c r="V2" s="2029"/>
    </row>
    <row r="3" spans="1:22" ht="14.25">
      <c r="A3" s="3524" t="s">
        <v>298</v>
      </c>
      <c r="B3" s="3525"/>
      <c r="C3" s="3525"/>
      <c r="D3" s="3525"/>
      <c r="E3" s="3525"/>
      <c r="F3" s="3525"/>
      <c r="G3" s="3525"/>
      <c r="H3" s="3525"/>
      <c r="I3" s="3525"/>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496" t="s">
        <v>301</v>
      </c>
      <c r="F4" s="3497"/>
      <c r="G4" s="3497"/>
      <c r="H4" s="3497"/>
      <c r="I4" s="352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495" t="s">
        <v>302</v>
      </c>
      <c r="B5" s="3521">
        <v>25</v>
      </c>
      <c r="C5" s="3519"/>
      <c r="D5" s="3523"/>
      <c r="E5" s="261" t="s">
        <v>303</v>
      </c>
      <c r="F5" s="262"/>
      <c r="G5" s="262"/>
      <c r="H5" s="262"/>
      <c r="I5" s="263"/>
      <c r="J5" s="2030"/>
      <c r="K5" s="2029"/>
      <c r="L5" s="2029"/>
      <c r="M5" s="2029"/>
      <c r="N5" s="2029"/>
      <c r="O5" s="2029"/>
      <c r="P5" s="2029"/>
      <c r="Q5" s="2029"/>
      <c r="R5" s="2029"/>
      <c r="S5" s="2029"/>
      <c r="T5" s="2029"/>
      <c r="U5" s="2029"/>
      <c r="V5" s="2029"/>
    </row>
    <row r="6" spans="1:22" ht="14.25">
      <c r="A6" s="3495"/>
      <c r="B6" s="3521"/>
      <c r="C6" s="3522"/>
      <c r="D6" s="3523"/>
      <c r="E6" s="261" t="s">
        <v>304</v>
      </c>
      <c r="F6" s="262"/>
      <c r="G6" s="262"/>
      <c r="H6" s="262"/>
      <c r="I6" s="263"/>
      <c r="J6" s="2030"/>
      <c r="K6" s="2029"/>
      <c r="L6" s="2029"/>
      <c r="M6" s="2029"/>
      <c r="N6" s="2029"/>
      <c r="O6" s="2029"/>
      <c r="P6" s="2029"/>
      <c r="Q6" s="2029"/>
      <c r="R6" s="2029"/>
      <c r="S6" s="2029"/>
      <c r="T6" s="2029"/>
      <c r="U6" s="2029"/>
      <c r="V6" s="2029"/>
    </row>
    <row r="7" spans="1:22" ht="14.25">
      <c r="A7" s="3495"/>
      <c r="B7" s="3521"/>
      <c r="C7" s="3520"/>
      <c r="D7" s="3523"/>
      <c r="E7" s="261" t="s">
        <v>305</v>
      </c>
      <c r="F7" s="262"/>
      <c r="G7" s="262"/>
      <c r="H7" s="262"/>
      <c r="I7" s="263"/>
      <c r="J7" s="2030"/>
      <c r="K7" s="2029"/>
      <c r="L7" s="2029"/>
      <c r="M7" s="2029"/>
      <c r="N7" s="2029"/>
      <c r="O7" s="2029"/>
      <c r="P7" s="2029"/>
      <c r="Q7" s="2029"/>
      <c r="R7" s="2029"/>
      <c r="S7" s="2029"/>
      <c r="T7" s="2029"/>
      <c r="U7" s="2029"/>
      <c r="V7" s="2029"/>
    </row>
    <row r="8" spans="1:22" ht="14.25">
      <c r="A8" s="3495" t="s">
        <v>306</v>
      </c>
      <c r="B8" s="3521">
        <v>15</v>
      </c>
      <c r="C8" s="3519"/>
      <c r="D8" s="3523"/>
      <c r="E8" s="261" t="s">
        <v>307</v>
      </c>
      <c r="F8" s="262"/>
      <c r="G8" s="262"/>
      <c r="H8" s="262"/>
      <c r="I8" s="263"/>
      <c r="J8" s="2030"/>
      <c r="K8" s="2029"/>
      <c r="L8" s="2029"/>
      <c r="M8" s="2029"/>
      <c r="N8" s="2029"/>
      <c r="O8" s="2029"/>
      <c r="P8" s="2029"/>
      <c r="Q8" s="2029"/>
      <c r="R8" s="2029"/>
      <c r="S8" s="2029"/>
      <c r="T8" s="2029"/>
      <c r="U8" s="2029"/>
      <c r="V8" s="2029"/>
    </row>
    <row r="9" spans="1:22" ht="14.25">
      <c r="A9" s="3495"/>
      <c r="B9" s="3521"/>
      <c r="C9" s="3520"/>
      <c r="D9" s="3523"/>
      <c r="E9" s="261" t="s">
        <v>308</v>
      </c>
      <c r="F9" s="262"/>
      <c r="G9" s="262"/>
      <c r="H9" s="262"/>
      <c r="I9" s="263"/>
      <c r="J9" s="2030"/>
      <c r="K9" s="2029"/>
      <c r="L9" s="2029"/>
      <c r="M9" s="2029"/>
      <c r="N9" s="2029"/>
      <c r="O9" s="2029"/>
      <c r="P9" s="2029"/>
      <c r="Q9" s="2029"/>
      <c r="R9" s="2029"/>
      <c r="S9" s="2029"/>
      <c r="T9" s="2029"/>
      <c r="U9" s="2029"/>
      <c r="V9" s="2029"/>
    </row>
    <row r="10" spans="1:22" ht="14.25">
      <c r="A10" s="3495" t="s">
        <v>309</v>
      </c>
      <c r="B10" s="3521">
        <v>15</v>
      </c>
      <c r="C10" s="3519"/>
      <c r="D10" s="3523"/>
      <c r="E10" s="261" t="s">
        <v>310</v>
      </c>
      <c r="F10" s="262"/>
      <c r="G10" s="262"/>
      <c r="H10" s="262"/>
      <c r="I10" s="263"/>
      <c r="J10" s="2030"/>
      <c r="K10" s="2029"/>
      <c r="L10" s="2029"/>
      <c r="M10" s="2029"/>
      <c r="N10" s="2029"/>
      <c r="O10" s="2029"/>
      <c r="P10" s="2029"/>
      <c r="Q10" s="2029"/>
      <c r="R10" s="2029"/>
      <c r="S10" s="2029"/>
      <c r="T10" s="2029"/>
      <c r="U10" s="2029"/>
      <c r="V10" s="2029"/>
    </row>
    <row r="11" spans="1:22" ht="14.25">
      <c r="A11" s="3495"/>
      <c r="B11" s="3521"/>
      <c r="C11" s="3520"/>
      <c r="D11" s="3523"/>
      <c r="E11" s="261" t="s">
        <v>311</v>
      </c>
      <c r="F11" s="262"/>
      <c r="G11" s="262"/>
      <c r="H11" s="262"/>
      <c r="I11" s="263"/>
      <c r="J11" s="2030"/>
      <c r="K11" s="2029"/>
      <c r="L11" s="2029"/>
      <c r="M11" s="2029"/>
      <c r="N11" s="2029"/>
      <c r="O11" s="2029"/>
      <c r="P11" s="2029"/>
      <c r="Q11" s="2029"/>
      <c r="R11" s="2029"/>
      <c r="S11" s="2029"/>
      <c r="T11" s="2029"/>
      <c r="U11" s="2029"/>
      <c r="V11" s="2029"/>
    </row>
    <row r="12" spans="1:22" ht="14.25">
      <c r="A12" s="3495" t="s">
        <v>312</v>
      </c>
      <c r="B12" s="3521">
        <v>15</v>
      </c>
      <c r="C12" s="3519"/>
      <c r="D12" s="3523"/>
      <c r="E12" s="261" t="s">
        <v>313</v>
      </c>
      <c r="F12" s="262"/>
      <c r="G12" s="262"/>
      <c r="H12" s="262"/>
      <c r="I12" s="263"/>
      <c r="J12" s="2030"/>
      <c r="K12" s="2029"/>
      <c r="L12" s="2029"/>
      <c r="M12" s="2029"/>
      <c r="N12" s="2029"/>
      <c r="O12" s="2029"/>
      <c r="P12" s="2029"/>
      <c r="Q12" s="2029"/>
      <c r="R12" s="2029"/>
      <c r="S12" s="2029"/>
      <c r="T12" s="2029"/>
      <c r="U12" s="2029"/>
      <c r="V12" s="2029"/>
    </row>
    <row r="13" spans="1:22" ht="14.25">
      <c r="A13" s="3495"/>
      <c r="B13" s="3521"/>
      <c r="C13" s="3520"/>
      <c r="D13" s="3523"/>
      <c r="E13" s="261" t="s">
        <v>314</v>
      </c>
      <c r="F13" s="262"/>
      <c r="G13" s="262"/>
      <c r="H13" s="262"/>
      <c r="I13" s="263"/>
      <c r="J13" s="2030"/>
      <c r="K13" s="2029"/>
      <c r="L13" s="2029"/>
      <c r="M13" s="2029"/>
      <c r="N13" s="2029"/>
      <c r="O13" s="2029"/>
      <c r="P13" s="2029"/>
      <c r="Q13" s="2029"/>
      <c r="R13" s="2029"/>
      <c r="S13" s="2029"/>
      <c r="T13" s="2029"/>
      <c r="U13" s="2029"/>
      <c r="V13" s="2029"/>
    </row>
    <row r="14" spans="1:22" ht="14.25">
      <c r="A14" s="3495" t="s">
        <v>315</v>
      </c>
      <c r="B14" s="3521">
        <v>30</v>
      </c>
      <c r="C14" s="3519">
        <v>5</v>
      </c>
      <c r="D14" s="3523">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495"/>
      <c r="B15" s="3521"/>
      <c r="C15" s="3522"/>
      <c r="D15" s="3523"/>
      <c r="E15" s="261" t="s">
        <v>317</v>
      </c>
      <c r="F15" s="262"/>
      <c r="G15" s="262"/>
      <c r="H15" s="262"/>
      <c r="I15" s="263"/>
      <c r="J15" s="2030"/>
      <c r="K15" s="2029"/>
      <c r="L15" s="2029"/>
      <c r="M15" s="2029"/>
      <c r="N15" s="2029"/>
      <c r="O15" s="2029"/>
      <c r="P15" s="2029"/>
      <c r="Q15" s="2029"/>
      <c r="R15" s="2029"/>
      <c r="S15" s="2029"/>
      <c r="T15" s="2029"/>
      <c r="U15" s="2029"/>
      <c r="V15" s="2029"/>
    </row>
    <row r="16" spans="1:22" ht="14.25">
      <c r="A16" s="3495"/>
      <c r="B16" s="3521"/>
      <c r="C16" s="3520"/>
      <c r="D16" s="352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40965</v>
      </c>
      <c r="D19" s="271">
        <f ca="1">SUMIF(INDIRECT("'"&amp;D4&amp;"'"&amp;"!A:A"),结果表!B19,INDIRECT("'"&amp;D4&amp;"'"&amp;"!B:B"))</f>
        <v>40246</v>
      </c>
      <c r="E19" s="268" t="s">
        <v>323</v>
      </c>
      <c r="F19" s="269" t="s">
        <v>322</v>
      </c>
      <c r="G19" s="272">
        <f ca="1">ROUND(C19*$C$18+D19*$D$18,0)</f>
        <v>40606</v>
      </c>
      <c r="H19" s="273" t="s">
        <v>324</v>
      </c>
      <c r="I19" s="311"/>
      <c r="J19" s="2029"/>
      <c r="K19" s="2029">
        <f ca="1">G19*10000/'数据-汇总表'!F27</f>
        <v>3247.2979835339938</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2621</v>
      </c>
      <c r="D20" s="277">
        <f ca="1">SUMIF(INDIRECT("'"&amp;D4&amp;"'"&amp;"!A:A"),结果表!B20,INDIRECT("'"&amp;D4&amp;"'"&amp;"!B:B"))</f>
        <v>2575</v>
      </c>
      <c r="E20" s="274"/>
      <c r="F20" s="275" t="s">
        <v>325</v>
      </c>
      <c r="G20" s="278">
        <f ca="1">ROUND(C20*$C$18+D20*$D$18,0)</f>
        <v>2598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6082</v>
      </c>
      <c r="D21" s="151">
        <f ca="1">SUMIF(INDIRECT("'"&amp;D4&amp;"'"&amp;"!A:A"),结果表!B21,INDIRECT("'"&amp;D4&amp;"'"&amp;"!B:B"))</f>
        <v>5975</v>
      </c>
      <c r="E21" s="274"/>
      <c r="F21" s="280" t="s">
        <v>327</v>
      </c>
      <c r="G21" s="282">
        <f ca="1">ROUND(C21*$C$18+D21*$D$18,0)</f>
        <v>6029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1.7865129453858763E-2</v>
      </c>
      <c r="E22" s="284"/>
      <c r="F22" s="285"/>
      <c r="G22" s="286">
        <f ca="1">ROUND(G19/('数据-汇总表'!D3/666.67),0)</f>
        <v>402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02"/>
      <c r="B25" s="1321" t="s">
        <v>331</v>
      </c>
      <c r="C25" s="290">
        <f>IF(B30=0,0,C30)</f>
        <v>0</v>
      </c>
      <c r="D25" s="291"/>
      <c r="E25" s="311"/>
      <c r="F25" s="311"/>
      <c r="G25" s="311"/>
      <c r="H25" s="311"/>
      <c r="I25" s="311"/>
      <c r="J25" s="2029"/>
      <c r="K25" s="1255" t="str">
        <f ca="1">项目基本情况!B16&amp;"国有建设用地使用权价格："&amp;O38&amp;"万元"</f>
        <v>出让国有建设用地使用权价格：40606万元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大写金额：人民币肆亿零陆佰零陆万元整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单位面积地价：6028元/平方米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楼面地价：2598元/平方米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抵押价格：40606万元</v>
      </c>
      <c r="L29" s="1252"/>
      <c r="M29" s="1252"/>
      <c r="N29" s="1252"/>
      <c r="O29" s="1251"/>
      <c r="P29" s="2029"/>
      <c r="V29" s="2029"/>
    </row>
    <row r="30" spans="1:26" ht="18.75" thickBot="1">
      <c r="A30" s="3160" t="s">
        <v>336</v>
      </c>
      <c r="B30" s="309"/>
      <c r="C30" s="309"/>
      <c r="D30" s="310"/>
      <c r="E30" s="3161" t="s">
        <v>2962</v>
      </c>
      <c r="F30" s="311"/>
      <c r="G30" s="311"/>
      <c r="H30" s="311"/>
      <c r="I30" s="311"/>
      <c r="J30" s="2029"/>
      <c r="K30" s="1258" t="str">
        <f ca="1">IF(K29="——","——","大写金额：人民币"&amp;NUMBERSTRING(INT(O39*10000),2)&amp;"元整")</f>
        <v>大写金额：人民币肆亿零陆佰零陆万元整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1688</v>
      </c>
      <c r="C32" s="1382">
        <f ca="1">G19-C24</f>
        <v>40606</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1690</v>
      </c>
      <c r="C33" s="264">
        <f ca="1">ROUND(C32*10000/'数据-汇总表'!E3,0)</f>
        <v>2598</v>
      </c>
      <c r="D33" s="1385" t="s">
        <v>1691</v>
      </c>
      <c r="E33" s="3501"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1692</v>
      </c>
      <c r="C34" s="264">
        <f ca="1">ROUND(C32*10000/'数据-汇总表'!D3,0)</f>
        <v>6028</v>
      </c>
      <c r="D34" s="1387" t="s">
        <v>1691</v>
      </c>
      <c r="E34" s="3542"/>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402</v>
      </c>
      <c r="D35" s="1390" t="s">
        <v>1693</v>
      </c>
      <c r="E35" s="3543"/>
      <c r="F35" s="301" t="s">
        <v>342</v>
      </c>
      <c r="G35" s="982"/>
      <c r="H35" s="981" t="s">
        <v>343</v>
      </c>
      <c r="I35" s="311"/>
      <c r="J35" s="2029"/>
      <c r="K35" s="3516" t="s">
        <v>350</v>
      </c>
      <c r="L35" s="3516" t="s">
        <v>351</v>
      </c>
      <c r="M35" s="1264" t="s">
        <v>352</v>
      </c>
      <c r="N35" s="3516" t="s">
        <v>353</v>
      </c>
      <c r="O35" s="3516" t="s">
        <v>354</v>
      </c>
      <c r="P35" s="2029"/>
      <c r="V35" s="2029"/>
    </row>
    <row r="36" spans="1:26" ht="16.5" customHeight="1">
      <c r="A36" s="303" t="s">
        <v>344</v>
      </c>
      <c r="B36" s="304" t="s">
        <v>333</v>
      </c>
      <c r="C36" s="305" t="s">
        <v>345</v>
      </c>
      <c r="D36" s="305" t="s">
        <v>346</v>
      </c>
      <c r="E36" s="306" t="s">
        <v>347</v>
      </c>
      <c r="F36" s="311"/>
      <c r="G36" s="311"/>
      <c r="H36" s="311"/>
      <c r="I36" s="311"/>
      <c r="J36" s="2031"/>
      <c r="K36" s="3517"/>
      <c r="L36" s="3517"/>
      <c r="M36" s="1266" t="s">
        <v>355</v>
      </c>
      <c r="N36" s="3517"/>
      <c r="O36" s="3517"/>
      <c r="P36" s="2029"/>
      <c r="V36" s="2029"/>
    </row>
    <row r="37" spans="1:26" ht="16.5" customHeight="1" thickBot="1">
      <c r="A37" s="1260" t="s">
        <v>348</v>
      </c>
      <c r="B37" s="307"/>
      <c r="C37" s="294"/>
      <c r="D37" s="294"/>
      <c r="E37" s="295"/>
      <c r="F37" s="311"/>
      <c r="G37" s="311"/>
      <c r="H37" s="311"/>
      <c r="I37" s="311"/>
      <c r="J37" s="2031"/>
      <c r="K37" s="3518"/>
      <c r="L37" s="3518"/>
      <c r="M37" s="1267"/>
      <c r="N37" s="3518"/>
      <c r="O37" s="3518"/>
      <c r="P37" s="2029"/>
      <c r="V37" s="2029"/>
    </row>
    <row r="38" spans="1:26" ht="16.5" customHeight="1" thickBot="1">
      <c r="A38" s="1260" t="s">
        <v>349</v>
      </c>
      <c r="B38" s="307"/>
      <c r="C38" s="294"/>
      <c r="D38" s="294"/>
      <c r="E38" s="295"/>
      <c r="F38" s="311"/>
      <c r="G38" s="311"/>
      <c r="H38" s="311"/>
      <c r="I38" s="311"/>
      <c r="J38" s="2031"/>
      <c r="K38" s="1268">
        <f>'数据-汇总表'!D3</f>
        <v>67358.31</v>
      </c>
      <c r="L38" s="1269">
        <f>'数据-汇总表'!E3</f>
        <v>156303.04999999999</v>
      </c>
      <c r="M38" s="1269">
        <f ca="1">C34</f>
        <v>6028</v>
      </c>
      <c r="N38" s="1269">
        <f ca="1">C33</f>
        <v>2598</v>
      </c>
      <c r="O38" s="1270">
        <f ca="1">C32</f>
        <v>40606</v>
      </c>
      <c r="P38" s="2029"/>
      <c r="V38" s="2029"/>
    </row>
    <row r="39" spans="1:26" ht="16.5" customHeight="1" thickBot="1">
      <c r="A39" s="1265"/>
      <c r="B39" s="308"/>
      <c r="C39" s="309"/>
      <c r="D39" s="309"/>
      <c r="E39" s="310"/>
      <c r="F39" s="311"/>
      <c r="G39" s="311"/>
      <c r="H39" s="311"/>
      <c r="I39" s="311"/>
      <c r="J39" s="2031"/>
      <c r="K39" s="3561" t="str">
        <f>MID(A44,3,LEN(A44)-2)</f>
        <v>抵押价格</v>
      </c>
      <c r="L39" s="3562"/>
      <c r="M39" s="3562"/>
      <c r="N39" s="3563"/>
      <c r="O39" s="1392">
        <f ca="1">C44</f>
        <v>40606</v>
      </c>
      <c r="P39" s="2029"/>
      <c r="V39" s="2029"/>
    </row>
    <row r="40" spans="1:26" ht="19.5" thickBot="1">
      <c r="A40" s="104" t="s">
        <v>872</v>
      </c>
      <c r="B40" s="311"/>
      <c r="C40" s="311"/>
      <c r="D40" s="311"/>
      <c r="E40" s="311"/>
      <c r="F40" s="311"/>
      <c r="G40" s="311"/>
      <c r="H40" s="311"/>
      <c r="I40" s="311"/>
      <c r="J40" s="2031"/>
      <c r="K40" s="3561" t="str">
        <f t="shared" ref="K40:K41" si="0">MID(A45,3,LEN(A45)-2)</f>
        <v/>
      </c>
      <c r="L40" s="3562"/>
      <c r="M40" s="3562"/>
      <c r="N40" s="3563"/>
      <c r="O40" s="1392" t="str">
        <f>C45</f>
        <v>——</v>
      </c>
      <c r="P40" s="2029"/>
      <c r="V40" s="2029"/>
    </row>
    <row r="41" spans="1:26" ht="16.5" thickBot="1">
      <c r="A41" s="312" t="s">
        <v>356</v>
      </c>
      <c r="B41" s="313"/>
      <c r="C41" s="314" t="s">
        <v>357</v>
      </c>
      <c r="D41" s="315" t="s">
        <v>358</v>
      </c>
      <c r="E41" s="315" t="s">
        <v>359</v>
      </c>
      <c r="F41" s="316" t="s">
        <v>360</v>
      </c>
      <c r="G41" s="311"/>
      <c r="H41" s="311"/>
      <c r="I41" s="311"/>
      <c r="J41" s="2031"/>
      <c r="K41" s="3561" t="str">
        <f t="shared" si="0"/>
        <v/>
      </c>
      <c r="L41" s="3562"/>
      <c r="M41" s="3562"/>
      <c r="N41" s="3563"/>
      <c r="O41" s="1392" t="str">
        <f>C46</f>
        <v>——</v>
      </c>
      <c r="P41" s="2029"/>
      <c r="V41" s="2029"/>
    </row>
    <row r="42" spans="1:26" ht="29.25">
      <c r="A42" s="3503" t="s">
        <v>2068</v>
      </c>
      <c r="B42" s="3504"/>
      <c r="C42" s="264">
        <f ca="1">C32</f>
        <v>40606</v>
      </c>
      <c r="D42" s="317">
        <f ca="1">C33</f>
        <v>2598</v>
      </c>
      <c r="E42" s="317">
        <f ca="1">C34</f>
        <v>6028</v>
      </c>
      <c r="F42" s="318">
        <f ca="1">C35</f>
        <v>402</v>
      </c>
      <c r="G42" s="311"/>
      <c r="H42" s="311"/>
      <c r="I42" s="319"/>
      <c r="J42" s="2031"/>
      <c r="K42" s="1271" t="s">
        <v>361</v>
      </c>
      <c r="L42" s="2048" t="s">
        <v>362</v>
      </c>
      <c r="M42" s="1272" t="s">
        <v>363</v>
      </c>
      <c r="N42" s="2049" t="s">
        <v>364</v>
      </c>
      <c r="O42" s="2050" t="s">
        <v>365</v>
      </c>
      <c r="P42" s="2029"/>
      <c r="V42" s="2029"/>
    </row>
    <row r="43" spans="1:26" ht="30">
      <c r="A43" s="3514" t="s">
        <v>2729</v>
      </c>
      <c r="B43" s="3515"/>
      <c r="C43" s="264">
        <f>IF(H33="正常操作",G33+G34+G35,G34+G35)</f>
        <v>0</v>
      </c>
      <c r="D43" s="317" t="s">
        <v>43</v>
      </c>
      <c r="E43" s="317" t="s">
        <v>44</v>
      </c>
      <c r="F43" s="318" t="s">
        <v>44</v>
      </c>
      <c r="G43" s="2891" t="s">
        <v>951</v>
      </c>
      <c r="H43" s="311"/>
      <c r="I43" s="319"/>
      <c r="J43" s="2031"/>
      <c r="K43" s="1273" t="str">
        <f>C4</f>
        <v>比较法-住宅、综合</v>
      </c>
      <c r="L43" s="1274">
        <f ca="1">IF(L42="估价结果/万元",C19,C20)</f>
        <v>40965</v>
      </c>
      <c r="M43" s="1275">
        <f>C18</f>
        <v>0.5</v>
      </c>
      <c r="N43" s="1276">
        <f ca="1">IF(N42="测算结果/万元",G19,G20)</f>
        <v>40606</v>
      </c>
      <c r="O43" s="1277">
        <f ca="1">IF(O42="最终结果/万元",C32,C33)</f>
        <v>40606</v>
      </c>
      <c r="P43" s="2029"/>
      <c r="V43" s="2029"/>
    </row>
    <row r="44" spans="1:26" ht="30.75" thickBot="1">
      <c r="A44" s="3503" t="str">
        <f>IF(OR(项目基本情况!E8="抵押价格",项目基本情况!E8="已注销及未注销"),"3.抵押价格","——")</f>
        <v>3.抵押价格</v>
      </c>
      <c r="B44" s="3504"/>
      <c r="C44" s="264">
        <f ca="1">IF(A44="——","——",C42-C43)</f>
        <v>40606</v>
      </c>
      <c r="D44" s="317">
        <f ca="1">ROUND(C44*10000/'数据-汇总表'!E3,0)</f>
        <v>2598</v>
      </c>
      <c r="E44" s="317">
        <f ca="1">ROUND(C44*10000/'数据-汇总表'!D3,0)</f>
        <v>6028</v>
      </c>
      <c r="F44" s="318">
        <f ca="1">ROUND(C44/('数据-汇总表'!D3/666.67),0)</f>
        <v>402</v>
      </c>
      <c r="G44" s="311"/>
      <c r="H44" s="311"/>
      <c r="I44" s="319"/>
      <c r="J44" s="2031"/>
      <c r="K44" s="1278" t="str">
        <f>D4</f>
        <v>剩余法-待开发</v>
      </c>
      <c r="L44" s="1279">
        <f ca="1">IF(L42="估价结果/万元",D19,D20)</f>
        <v>40246</v>
      </c>
      <c r="M44" s="1280">
        <f>D18</f>
        <v>0.5</v>
      </c>
      <c r="N44" s="1281"/>
      <c r="O44" s="1282"/>
      <c r="P44" s="2029"/>
      <c r="V44" s="2029"/>
    </row>
    <row r="45" spans="1:26" ht="15">
      <c r="A45" s="3509" t="str">
        <f>IF(项目基本情况!E8="已注销及未注销","4.抵押担保权已注销时的抵押价格",IF(项目基本情况!E8="已注销","3.抵押担保权已注销时的抵押价格","——"))</f>
        <v>——</v>
      </c>
      <c r="B45" s="351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05" t="str">
        <f>IF(项目基本情况!E9="抵押净值",IF(A45="——","4.抵押净值","5.抵押净值"),"——")</f>
        <v>——</v>
      </c>
      <c r="B46" s="350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550" t="s">
        <v>374</v>
      </c>
      <c r="B63" s="3551"/>
      <c r="C63" s="3552"/>
      <c r="D63" s="341">
        <f ca="1">ROUND(C42*F63,0)</f>
        <v>24364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511" t="s">
        <v>378</v>
      </c>
      <c r="B64" s="3512"/>
      <c r="C64" s="3512"/>
      <c r="D64" s="3512"/>
      <c r="E64" s="3512"/>
      <c r="F64" s="3512"/>
      <c r="G64" s="3513"/>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507" t="s">
        <v>386</v>
      </c>
      <c r="B66" s="3508"/>
      <c r="C66" s="3508"/>
      <c r="D66" s="261">
        <f ca="1">IF(H66="情况1",0,IF(H66="情况2",D70,IF(H66="情况3",D71,IF(H66="情况4",D72))))</f>
        <v>1299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565" t="s">
        <v>385</v>
      </c>
      <c r="M66" s="3566"/>
      <c r="N66" s="2483"/>
      <c r="O66" s="2484"/>
      <c r="P66" s="2485"/>
      <c r="Q66" s="2029"/>
      <c r="R66" s="2029"/>
      <c r="S66" s="2029"/>
      <c r="T66" s="2029"/>
      <c r="U66" s="2029"/>
      <c r="V66" s="2029"/>
    </row>
    <row r="67" spans="1:22" ht="25.5" customHeight="1">
      <c r="A67" s="352" t="s">
        <v>390</v>
      </c>
      <c r="B67" s="3498" t="s">
        <v>391</v>
      </c>
      <c r="C67" s="3498"/>
      <c r="D67" s="353">
        <v>0</v>
      </c>
      <c r="E67" s="41" t="s">
        <v>392</v>
      </c>
      <c r="F67" s="62" t="s">
        <v>21</v>
      </c>
      <c r="G67" s="3553"/>
      <c r="H67" s="311"/>
      <c r="I67" s="1292"/>
      <c r="J67" s="2036"/>
      <c r="K67" s="1977">
        <v>2</v>
      </c>
      <c r="L67" s="3564" t="s">
        <v>389</v>
      </c>
      <c r="M67" s="3564"/>
      <c r="N67" s="1325">
        <f>'数据-取费表'!B2</f>
        <v>43236</v>
      </c>
      <c r="O67" s="1325"/>
      <c r="P67" s="1325"/>
      <c r="Q67" s="2029"/>
      <c r="R67" s="2029"/>
      <c r="S67" s="2029"/>
      <c r="T67" s="2029"/>
      <c r="U67" s="2029"/>
      <c r="V67" s="2029"/>
    </row>
    <row r="68" spans="1:22" ht="25.5" customHeight="1">
      <c r="A68" s="354"/>
      <c r="B68" s="3498" t="s">
        <v>394</v>
      </c>
      <c r="C68" s="3498"/>
      <c r="D68" s="355"/>
      <c r="E68" s="77"/>
      <c r="F68" s="356"/>
      <c r="G68" s="3554"/>
      <c r="H68" s="311"/>
      <c r="I68" s="1292"/>
      <c r="J68" s="2036"/>
      <c r="K68" s="1977">
        <v>3</v>
      </c>
      <c r="L68" s="3564" t="s">
        <v>393</v>
      </c>
      <c r="M68" s="3564"/>
      <c r="N68" s="1293">
        <f ca="1">C42</f>
        <v>40606</v>
      </c>
      <c r="O68" s="1293"/>
      <c r="P68" s="1293"/>
      <c r="Q68" s="2029"/>
      <c r="R68" s="2029"/>
      <c r="S68" s="2029"/>
      <c r="T68" s="2029"/>
      <c r="U68" s="2029"/>
      <c r="V68" s="2029"/>
    </row>
    <row r="69" spans="1:22" ht="12" customHeight="1">
      <c r="A69" s="357"/>
      <c r="B69" s="3498" t="s">
        <v>395</v>
      </c>
      <c r="C69" s="3498"/>
      <c r="D69" s="358"/>
      <c r="E69" s="73"/>
      <c r="F69" s="356"/>
      <c r="G69" s="3555"/>
      <c r="H69" s="311"/>
      <c r="I69" s="1292"/>
      <c r="J69" s="2036"/>
      <c r="K69" s="1294">
        <v>4</v>
      </c>
      <c r="L69" s="3569" t="s">
        <v>2882</v>
      </c>
      <c r="M69" s="3570"/>
      <c r="N69" s="1295">
        <f ca="1">C44</f>
        <v>40606</v>
      </c>
      <c r="O69" s="1295"/>
      <c r="P69" s="1295"/>
      <c r="Q69" s="2029"/>
      <c r="R69" s="2029"/>
      <c r="S69" s="2029"/>
      <c r="T69" s="2029"/>
      <c r="U69" s="2029"/>
      <c r="V69" s="2029"/>
    </row>
    <row r="70" spans="1:22" ht="24" customHeight="1">
      <c r="A70" s="359" t="s">
        <v>396</v>
      </c>
      <c r="B70" s="3498" t="s">
        <v>397</v>
      </c>
      <c r="C70" s="3498"/>
      <c r="D70" s="358">
        <f ca="1">ROUND(D63*'数据-取费表'!B41/(1+'数据-取费表'!C42),0)</f>
        <v>1299</v>
      </c>
      <c r="E70" s="17" t="s">
        <v>398</v>
      </c>
      <c r="F70" s="360">
        <f>'数据-取费表'!B41</f>
        <v>5.6000000000000001E-2</v>
      </c>
      <c r="G70" s="361"/>
      <c r="H70" s="311"/>
      <c r="I70" s="1292"/>
      <c r="J70" s="2036"/>
      <c r="K70" s="3087"/>
      <c r="L70" s="3088"/>
      <c r="M70" s="3088"/>
      <c r="N70" s="3089" t="s">
        <v>2887</v>
      </c>
      <c r="O70" s="3088"/>
      <c r="P70" s="3090"/>
      <c r="Q70" s="2029"/>
      <c r="R70" s="2029"/>
      <c r="S70" s="2029"/>
      <c r="T70" s="2029"/>
      <c r="U70" s="2029"/>
      <c r="V70" s="2029"/>
    </row>
    <row r="71" spans="1:22" ht="12" customHeight="1">
      <c r="A71" s="359" t="s">
        <v>404</v>
      </c>
      <c r="B71" s="3499" t="s">
        <v>405</v>
      </c>
      <c r="C71" s="3500"/>
      <c r="D71" s="358">
        <f ca="1">ROUND(D63*'数据-取费表'!B41/(1+'数据-取费表'!C42),0)</f>
        <v>1299</v>
      </c>
      <c r="E71" s="17" t="s">
        <v>398</v>
      </c>
      <c r="F71" s="360">
        <f>'数据-取费表'!B41</f>
        <v>5.6000000000000001E-2</v>
      </c>
      <c r="G71" s="361"/>
      <c r="H71" s="311"/>
      <c r="I71" s="1292"/>
      <c r="J71" s="2036"/>
      <c r="K71" s="3086" t="s">
        <v>399</v>
      </c>
      <c r="L71" s="3571" t="s">
        <v>400</v>
      </c>
      <c r="M71" s="3571"/>
      <c r="N71" s="3086" t="s">
        <v>401</v>
      </c>
      <c r="O71" s="3086" t="s">
        <v>402</v>
      </c>
      <c r="P71" s="3086" t="s">
        <v>403</v>
      </c>
      <c r="Q71" s="2029"/>
      <c r="R71" s="2029"/>
      <c r="S71" s="2029"/>
      <c r="T71" s="2029"/>
      <c r="U71" s="2029"/>
      <c r="V71" s="2029"/>
    </row>
    <row r="72" spans="1:22" ht="12" customHeight="1">
      <c r="A72" s="359" t="s">
        <v>407</v>
      </c>
      <c r="B72" s="3499" t="s">
        <v>408</v>
      </c>
      <c r="C72" s="3500"/>
      <c r="D72" s="358">
        <f ca="1">C86</f>
        <v>1187</v>
      </c>
      <c r="E72" s="73" t="s">
        <v>409</v>
      </c>
      <c r="F72" s="360">
        <f>'数据-取费表'!B41</f>
        <v>5.6000000000000001E-2</v>
      </c>
      <c r="G72" s="361"/>
      <c r="H72" s="1298"/>
      <c r="I72" s="1292"/>
      <c r="J72" s="2036"/>
      <c r="K72" s="1977">
        <v>1</v>
      </c>
      <c r="L72" s="3546" t="s">
        <v>406</v>
      </c>
      <c r="M72" s="3546"/>
      <c r="N72" s="1296">
        <f ca="1">D66</f>
        <v>1299</v>
      </c>
      <c r="O72" s="1860" t="str">
        <f>E66</f>
        <v>销售额×税（费）率</v>
      </c>
      <c r="P72" s="1297">
        <f>F66</f>
        <v>5.6000000000000001E-2</v>
      </c>
      <c r="Q72" s="2029"/>
      <c r="R72" s="2029"/>
      <c r="S72" s="2029"/>
      <c r="T72" s="2029"/>
      <c r="U72" s="2029"/>
      <c r="V72" s="2029"/>
    </row>
    <row r="73" spans="1:22" ht="24" customHeight="1">
      <c r="A73" s="3540" t="s">
        <v>411</v>
      </c>
      <c r="B73" s="3508"/>
      <c r="C73" s="3508"/>
      <c r="D73" s="362">
        <f>IF(H73="个人住宅",0,ROUND(D63*I73,0))</f>
        <v>0</v>
      </c>
      <c r="E73" s="17" t="s">
        <v>412</v>
      </c>
      <c r="F73" s="360" t="str">
        <f>IF(H73="正常",I73,"免征")</f>
        <v>免征</v>
      </c>
      <c r="G73" s="361"/>
      <c r="H73" s="191" t="s">
        <v>2455</v>
      </c>
      <c r="I73" s="360">
        <f>'数据-取费表'!B49</f>
        <v>5.0000000000000001E-4</v>
      </c>
      <c r="J73" s="2036"/>
      <c r="K73" s="1977">
        <v>2</v>
      </c>
      <c r="L73" s="3546" t="s">
        <v>410</v>
      </c>
      <c r="M73" s="3546"/>
      <c r="N73" s="1296">
        <f t="shared" ref="N73:P74" si="1">D73</f>
        <v>0</v>
      </c>
      <c r="O73" s="1860" t="str">
        <f t="shared" si="1"/>
        <v>销售额×税（费）率</v>
      </c>
      <c r="P73" s="1297" t="str">
        <f t="shared" si="1"/>
        <v>免征</v>
      </c>
      <c r="Q73" s="2029"/>
      <c r="R73" s="2029"/>
      <c r="S73" s="2029"/>
      <c r="T73" s="2029"/>
      <c r="U73" s="2029"/>
      <c r="V73" s="2029"/>
    </row>
    <row r="74" spans="1:22" ht="24.75">
      <c r="A74" s="3540" t="s">
        <v>415</v>
      </c>
      <c r="B74" s="3508"/>
      <c r="C74" s="3508"/>
      <c r="D74" s="362">
        <f ca="1">IF(H74="个人住宅",D75,D76)</f>
        <v>13130</v>
      </c>
      <c r="E74" s="17" t="s">
        <v>416</v>
      </c>
      <c r="F74" s="360" t="str">
        <f>IF(H74="正常",F76,"免征")</f>
        <v>——</v>
      </c>
      <c r="G74" s="983" t="s">
        <v>417</v>
      </c>
      <c r="H74" s="363" t="s">
        <v>413</v>
      </c>
      <c r="I74" s="42"/>
      <c r="J74" s="2036"/>
      <c r="K74" s="1977">
        <v>3</v>
      </c>
      <c r="L74" s="3546" t="s">
        <v>414</v>
      </c>
      <c r="M74" s="3546"/>
      <c r="N74" s="1296">
        <f t="shared" ca="1" si="1"/>
        <v>13130</v>
      </c>
      <c r="O74" s="1860" t="str">
        <f t="shared" si="1"/>
        <v>增值额×税（费）率</v>
      </c>
      <c r="P74" s="1299" t="str">
        <f t="shared" si="1"/>
        <v>——</v>
      </c>
      <c r="Q74" s="2029"/>
      <c r="R74" s="2029"/>
      <c r="S74" s="2029"/>
      <c r="T74" s="2029"/>
      <c r="U74" s="2029"/>
      <c r="V74" s="2029"/>
    </row>
    <row r="75" spans="1:22" ht="24">
      <c r="A75" s="359" t="s">
        <v>418</v>
      </c>
      <c r="B75" s="3496" t="s">
        <v>419</v>
      </c>
      <c r="C75" s="3526"/>
      <c r="D75" s="364">
        <v>0</v>
      </c>
      <c r="E75" s="41" t="s">
        <v>420</v>
      </c>
      <c r="F75" s="365"/>
      <c r="G75" s="361"/>
      <c r="H75" s="42"/>
      <c r="I75" s="42"/>
      <c r="J75" s="2036"/>
      <c r="K75" s="3079">
        <f>IF(H77="非个人房产","",4)</f>
        <v>4</v>
      </c>
      <c r="L75" s="3546" t="str">
        <f>IF(H77="非个人房产","——","个人所得税")</f>
        <v>个人所得税</v>
      </c>
      <c r="M75" s="3546"/>
      <c r="N75" s="1300">
        <f ca="1">D77</f>
        <v>244</v>
      </c>
      <c r="O75" s="1873" t="str">
        <f>E77</f>
        <v>销售额×税（费）率</v>
      </c>
      <c r="P75" s="1301">
        <f>F77</f>
        <v>0.01</v>
      </c>
      <c r="Q75" s="2029"/>
      <c r="R75" s="2029"/>
      <c r="S75" s="2029"/>
      <c r="T75" s="2029"/>
      <c r="U75" s="2029"/>
      <c r="V75" s="2029"/>
    </row>
    <row r="76" spans="1:22" ht="24.75">
      <c r="A76" s="359" t="s">
        <v>396</v>
      </c>
      <c r="B76" s="3496" t="s">
        <v>422</v>
      </c>
      <c r="C76" s="3497"/>
      <c r="D76" s="362">
        <f ca="1">IF(H76="转让取得",C99,C115)</f>
        <v>13130</v>
      </c>
      <c r="E76" s="17" t="s">
        <v>423</v>
      </c>
      <c r="F76" s="53" t="s">
        <v>21</v>
      </c>
      <c r="G76" s="361"/>
      <c r="H76" s="363" t="s">
        <v>424</v>
      </c>
      <c r="I76" s="42"/>
      <c r="J76" s="2036"/>
      <c r="K76" s="3079" t="str">
        <f>IF(项目基本情况!K6="上海银行",IF(K75="",4,K75+1),"")</f>
        <v/>
      </c>
      <c r="L76" s="3557" t="str">
        <f>IF(项目基本情况!K6="上海银行","其他处置费用","")</f>
        <v/>
      </c>
      <c r="M76" s="3558"/>
      <c r="N76" s="1296" t="str">
        <f>IF(项目基本情况!K6="上海银行",N89,"")</f>
        <v/>
      </c>
      <c r="O76" s="3559" t="str">
        <f>IF(项目基本情况!K6="上海银行","包含处置中涉及的律师、诉讼、拍卖、评估等费用","")</f>
        <v/>
      </c>
      <c r="P76" s="3560"/>
      <c r="Q76" s="2029"/>
      <c r="R76" s="2029"/>
      <c r="S76" s="2029"/>
      <c r="T76" s="2029"/>
      <c r="U76" s="2029"/>
      <c r="V76" s="2029"/>
    </row>
    <row r="77" spans="1:22" ht="26.25" thickBot="1">
      <c r="A77" s="3548" t="s">
        <v>426</v>
      </c>
      <c r="B77" s="3549"/>
      <c r="C77" s="3549"/>
      <c r="D77" s="366">
        <f ca="1">IF(H77="非个人房产","——",IF(H77="个人住宅",0,ROUND(D63*I77,0)))</f>
        <v>244</v>
      </c>
      <c r="E77" s="367" t="str">
        <f>IF(H77="非个人房产","——","销售额×税（费）率")</f>
        <v>销售额×税（费）率</v>
      </c>
      <c r="F77" s="368">
        <f>IF(H77="非个人房产","——",IF(H77="个人住宅","免征",I77))</f>
        <v>0.01</v>
      </c>
      <c r="G77" s="984" t="s">
        <v>417</v>
      </c>
      <c r="H77" s="363" t="s">
        <v>2883</v>
      </c>
      <c r="I77" s="369">
        <v>0.01</v>
      </c>
      <c r="J77" s="2036"/>
      <c r="K77" s="3547">
        <f>IF(AND(K75="",K76=""),4,IF(项目基本情况!K6="上海银行",K76+1,K75+1))</f>
        <v>5</v>
      </c>
      <c r="L77" s="3546" t="s">
        <v>2884</v>
      </c>
      <c r="M77" s="3085" t="s">
        <v>421</v>
      </c>
      <c r="N77" s="1302"/>
      <c r="O77" s="1303">
        <f ca="1">SUMIF(N72:N76,"&lt;9e307")</f>
        <v>14673</v>
      </c>
      <c r="P77" s="1304"/>
      <c r="Q77" s="3083">
        <f ca="1">O77/N69</f>
        <v>0.36135053932916317</v>
      </c>
      <c r="R77" s="2029"/>
      <c r="S77" s="2029"/>
      <c r="T77" s="2029"/>
      <c r="U77" s="2029"/>
      <c r="V77" s="2029"/>
    </row>
    <row r="78" spans="1:22" ht="12" customHeight="1">
      <c r="A78" s="1305"/>
      <c r="B78" s="311"/>
      <c r="C78" s="311"/>
      <c r="D78" s="311"/>
      <c r="E78" s="42"/>
      <c r="F78" s="42"/>
      <c r="G78" s="42"/>
      <c r="H78" s="1003"/>
      <c r="I78" s="311"/>
      <c r="J78" s="2036"/>
      <c r="K78" s="3547"/>
      <c r="L78" s="3546"/>
      <c r="M78" s="3085" t="s">
        <v>425</v>
      </c>
      <c r="N78" s="1302"/>
      <c r="O78" s="1303" t="str">
        <f ca="1">NUMBERSTRING(INT(O77*10000),2)&amp;"元整"</f>
        <v>壹亿肆仟陆佰柒拾叁万元整</v>
      </c>
      <c r="P78" s="1304"/>
      <c r="Q78" s="2029"/>
      <c r="R78" s="2029"/>
      <c r="S78" s="2029"/>
      <c r="T78" s="2029"/>
      <c r="U78" s="2029"/>
      <c r="V78" s="2029"/>
    </row>
    <row r="79" spans="1:22" ht="13.5" thickBot="1">
      <c r="A79" s="3541" t="s">
        <v>427</v>
      </c>
      <c r="B79" s="3541"/>
      <c r="C79" s="3541"/>
      <c r="D79" s="3541"/>
      <c r="E79" s="3541"/>
      <c r="F79" s="42"/>
      <c r="G79" s="42"/>
      <c r="H79" s="1003"/>
      <c r="I79" s="311"/>
      <c r="J79" s="2036"/>
      <c r="K79" s="3567">
        <f>K77+1</f>
        <v>6</v>
      </c>
      <c r="L79" s="3546" t="s">
        <v>2885</v>
      </c>
      <c r="M79" s="3085" t="s">
        <v>421</v>
      </c>
      <c r="N79" s="1302"/>
      <c r="O79" s="1303">
        <f ca="1">N69-O77</f>
        <v>25933</v>
      </c>
      <c r="P79" s="1304"/>
      <c r="Q79" s="2029"/>
      <c r="R79" s="2029"/>
      <c r="S79" s="2029"/>
      <c r="T79" s="2029"/>
      <c r="U79" s="2029"/>
      <c r="V79" s="2029"/>
    </row>
    <row r="80" spans="1:22" ht="25.5">
      <c r="A80" s="3536" t="s">
        <v>428</v>
      </c>
      <c r="B80" s="3537"/>
      <c r="C80" s="994"/>
      <c r="D80" s="994" t="s">
        <v>429</v>
      </c>
      <c r="E80" s="370" t="s">
        <v>430</v>
      </c>
      <c r="F80" s="42"/>
      <c r="G80" s="42"/>
      <c r="H80" s="1003"/>
      <c r="I80" s="311"/>
      <c r="J80" s="2029"/>
      <c r="K80" s="3568"/>
      <c r="L80" s="3546"/>
      <c r="M80" s="3085" t="s">
        <v>425</v>
      </c>
      <c r="N80" s="1302"/>
      <c r="O80" s="1303" t="str">
        <f ca="1">NUMBERSTRING(INT(O79*10000),2)&amp;"元整"</f>
        <v>贰亿伍仟玖佰叁拾叁万元整</v>
      </c>
      <c r="P80" s="1304"/>
      <c r="Q80" s="2029"/>
      <c r="R80" s="2029"/>
      <c r="S80" s="2029"/>
      <c r="T80" s="2029"/>
      <c r="U80" s="2029"/>
      <c r="V80" s="2029"/>
    </row>
    <row r="81" spans="1:26" ht="13.5" thickBot="1">
      <c r="A81" s="381" t="s">
        <v>1823</v>
      </c>
      <c r="B81" s="371" t="s">
        <v>431</v>
      </c>
      <c r="C81" s="372">
        <f ca="1">ROUND((C82+C83)/(1+'数据-取费表'!C42),0)</f>
        <v>23204</v>
      </c>
      <c r="D81" s="373"/>
      <c r="E81" s="374"/>
      <c r="F81" s="42"/>
      <c r="G81" s="42"/>
      <c r="H81" s="1003"/>
      <c r="I81" s="311"/>
      <c r="J81" s="2029"/>
      <c r="K81" s="3079">
        <f>K79+1</f>
        <v>7</v>
      </c>
      <c r="L81" s="3544" t="s">
        <v>2886</v>
      </c>
      <c r="M81" s="3545"/>
      <c r="N81" s="1306"/>
      <c r="O81" s="1307">
        <f ca="1">ROUND(O79*10000/'数据-汇总表'!E3,0)</f>
        <v>1659</v>
      </c>
      <c r="P81" s="1308"/>
      <c r="Q81" s="2029"/>
      <c r="R81" s="2029"/>
      <c r="S81" s="2029"/>
      <c r="T81" s="2029"/>
      <c r="U81" s="2029"/>
      <c r="V81" s="2029"/>
    </row>
    <row r="82" spans="1:26" ht="13.5" thickTop="1">
      <c r="A82" s="375" t="s">
        <v>1824</v>
      </c>
      <c r="B82" s="376" t="s">
        <v>432</v>
      </c>
      <c r="C82" s="377">
        <f ca="1">D63</f>
        <v>24364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556" t="s">
        <v>2873</v>
      </c>
      <c r="L83" s="3091" t="s">
        <v>2874</v>
      </c>
      <c r="M83" s="3081">
        <f ca="1">IF(N69&gt;10000,N69*0.5%,IF(AND(N69&gt;1000,N69&lt;=10000),N69*1%,IF(AND(N69&gt;100,N69&lt;=1000),N69*3%,IF(AND(N69&gt;10,N69&lt;=100),N69*5%,N69*8%))))</f>
        <v>203.03</v>
      </c>
      <c r="N83" s="53">
        <f ca="1">ROUND(M83,1)</f>
        <v>203</v>
      </c>
      <c r="O83" s="3084"/>
      <c r="P83" s="2029"/>
      <c r="Q83" s="2029"/>
      <c r="R83" s="2029"/>
      <c r="S83" s="2029"/>
      <c r="T83" s="2029"/>
      <c r="U83" s="2029"/>
      <c r="V83" s="2029"/>
    </row>
    <row r="84" spans="1:26" ht="12.75">
      <c r="A84" s="381" t="s">
        <v>1826</v>
      </c>
      <c r="B84" s="382" t="s">
        <v>434</v>
      </c>
      <c r="C84" s="383">
        <v>2000</v>
      </c>
      <c r="D84" s="384" t="s">
        <v>19</v>
      </c>
      <c r="E84" s="3125" t="s">
        <v>2933</v>
      </c>
      <c r="F84" s="42"/>
      <c r="G84" s="42"/>
      <c r="H84" s="1003"/>
      <c r="I84" s="311"/>
      <c r="J84" s="2029"/>
      <c r="K84" s="3556"/>
      <c r="L84" s="3091" t="s">
        <v>2875</v>
      </c>
      <c r="M84" s="3081">
        <f ca="1">IF(N69&gt;2000,N69*0.5%,IF(AND(N69&gt;1000,N69&lt;=2000),N69*0.6%,IF(AND(N69&gt;500,N69&lt;=1000),N69*0.7%,IF(AND(N69&gt;200,N69&lt;=500),N69*0.8%,IF(AND(N69&gt;100,N69&lt;=200),N69*0.9%,IF(AND(N69&gt;50,N69&lt;=100),N69*1%,IF(AND(N69&gt;20,N69&lt;=50),N69*1.5%,IF(AND(N69&gt;10,N69&lt;=20),N69*2%,IF(AND(N69&gt;1,N69&lt;=10),N69*2.5%)))))))))</f>
        <v>203.03</v>
      </c>
      <c r="N84" s="53">
        <f t="shared" ref="N84:N85" ca="1" si="2">ROUND(M84,1)</f>
        <v>203</v>
      </c>
      <c r="O84" s="2029" t="s">
        <v>2876</v>
      </c>
      <c r="P84" s="2029"/>
      <c r="Q84" s="2029"/>
      <c r="R84" s="2029"/>
      <c r="S84" s="2029"/>
      <c r="T84" s="2029"/>
      <c r="U84" s="2029"/>
      <c r="V84" s="2029"/>
    </row>
    <row r="85" spans="1:26" ht="12.75">
      <c r="A85" s="381" t="s">
        <v>1827</v>
      </c>
      <c r="B85" s="382" t="s">
        <v>435</v>
      </c>
      <c r="C85" s="385">
        <f ca="1">C81-C84</f>
        <v>21204</v>
      </c>
      <c r="D85" s="378" t="s">
        <v>19</v>
      </c>
      <c r="E85" s="379"/>
      <c r="F85" s="42"/>
      <c r="G85" s="42"/>
      <c r="H85" s="1003"/>
      <c r="I85" s="311"/>
      <c r="J85" s="2029"/>
      <c r="K85" s="3556"/>
      <c r="L85" s="3091" t="s">
        <v>2877</v>
      </c>
      <c r="M85" s="3081">
        <f ca="1">IF(N69&gt;1000,N69*0.1%,IF(AND(N69&gt;500,N69&lt;=1000),N69*0.5%,IF(AND(N69&gt;50,N69&lt;=500),N69*1%,IF(AND(N69&gt;1,N69&lt;=50),N69*1.5%))))</f>
        <v>40.606000000000002</v>
      </c>
      <c r="N85" s="53">
        <f t="shared" ca="1" si="2"/>
        <v>40.6</v>
      </c>
      <c r="O85" s="2029" t="s">
        <v>2876</v>
      </c>
      <c r="P85" s="2029"/>
      <c r="Q85" s="2029"/>
      <c r="R85" s="2029"/>
      <c r="S85" s="2029"/>
      <c r="T85" s="2029"/>
      <c r="U85" s="2029"/>
      <c r="V85" s="2029"/>
    </row>
    <row r="86" spans="1:26" ht="13.5" thickBot="1">
      <c r="A86" s="386" t="s">
        <v>1828</v>
      </c>
      <c r="B86" s="387" t="s">
        <v>436</v>
      </c>
      <c r="C86" s="388">
        <f ca="1">IF(C85&lt;=0,0,ROUND(C85*D86,0))</f>
        <v>1187</v>
      </c>
      <c r="D86" s="389">
        <f>'数据-取费表'!B41</f>
        <v>5.6000000000000001E-2</v>
      </c>
      <c r="E86" s="390"/>
      <c r="F86" s="42"/>
      <c r="G86" s="42"/>
      <c r="H86" s="1003"/>
      <c r="I86" s="311"/>
      <c r="J86" s="2029"/>
      <c r="K86" s="3556"/>
      <c r="L86" s="3091" t="s">
        <v>2878</v>
      </c>
      <c r="M86" s="3081">
        <f ca="1">N69*0.5%</f>
        <v>203.03</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556"/>
      <c r="L87" s="3091" t="s">
        <v>2880</v>
      </c>
      <c r="M87" s="3081">
        <f ca="1">IF(N69&gt;=10000,(8.25+(N69-10000)*0.01%),IF(AND(N69&gt;=8000,N69&lt;10000),(7.85+(N69-8000)*0.02%),IF(AND(N69&gt;=5000,N69&lt;8000),(6.65+(N69-5000)*0.04%),IF(AND(N69&gt;=2000,N69&lt;5000),(4.25+(PN69-2000)*0.08%),IF(AND(N69&gt;=1000,N69&lt;2000),(2.75+(N69-1000)*0.15%),IF(AND(N69&gt;=100,N69&lt;1000),(0.5+(N69-100)*0.25%),IF(AND(N69&gt;0,N69&lt;100),N69*0.5%)))))))</f>
        <v>11.310600000000001</v>
      </c>
      <c r="N87" s="53">
        <f ca="1">ROUND(M87*0.9,1)</f>
        <v>10.199999999999999</v>
      </c>
      <c r="O87" s="3084"/>
      <c r="P87" s="311"/>
      <c r="Q87" s="2029"/>
      <c r="R87" s="2029"/>
      <c r="S87" s="2029"/>
      <c r="T87" s="2029"/>
      <c r="U87" s="2029"/>
      <c r="V87" s="2029"/>
      <c r="W87" s="292"/>
      <c r="X87" s="292"/>
      <c r="Y87" s="292"/>
      <c r="Z87" s="292"/>
    </row>
    <row r="88" spans="1:26" s="1314" customFormat="1" ht="15" thickBot="1">
      <c r="A88" s="3538" t="s">
        <v>437</v>
      </c>
      <c r="B88" s="3539"/>
      <c r="C88" s="3539"/>
      <c r="D88" s="3539"/>
      <c r="E88" s="3539"/>
      <c r="F88" s="3539"/>
      <c r="G88" s="3539"/>
      <c r="H88" s="3539"/>
      <c r="I88" s="1315"/>
      <c r="J88" s="2037"/>
      <c r="K88" s="3556"/>
      <c r="L88" s="3091" t="s">
        <v>2881</v>
      </c>
      <c r="M88" s="3081">
        <f ca="1">IF(N69&gt;10000,N69*0.5%,IF(AND(N69&gt;5000,N69&lt;=10000),N69*1%,IF(AND(N69&gt;1000,N69&lt;=5000),N69*2%,IF(AND(N69&gt;200,N69&lt;=1000),N69*3%,N69*5%))))</f>
        <v>203.03</v>
      </c>
      <c r="N88" s="53">
        <f ca="1">ROUND(M88,1)</f>
        <v>203</v>
      </c>
      <c r="O88" s="3084"/>
      <c r="P88" s="11"/>
      <c r="Q88" s="2034"/>
      <c r="R88" s="2034"/>
      <c r="S88" s="2034"/>
      <c r="T88" s="2034"/>
      <c r="U88" s="2034"/>
      <c r="V88" s="2034"/>
      <c r="W88" s="2038"/>
      <c r="X88" s="2038"/>
      <c r="Y88" s="2038"/>
      <c r="Z88" s="2038"/>
    </row>
    <row r="89" spans="1:26" s="1314" customFormat="1" ht="14.25">
      <c r="A89" s="3536" t="s">
        <v>428</v>
      </c>
      <c r="B89" s="3537"/>
      <c r="C89" s="994"/>
      <c r="D89" s="994" t="s">
        <v>429</v>
      </c>
      <c r="E89" s="391" t="s">
        <v>438</v>
      </c>
      <c r="F89" s="392"/>
      <c r="G89" s="392"/>
      <c r="H89" s="393"/>
      <c r="I89" s="1316"/>
      <c r="J89" s="2039"/>
      <c r="K89" s="3556"/>
      <c r="L89" s="3091" t="s">
        <v>27</v>
      </c>
      <c r="M89" s="3082"/>
      <c r="N89" s="53">
        <f ca="1">ROUND(SUM(N83:N88),0)</f>
        <v>660</v>
      </c>
      <c r="O89" s="3092">
        <f ca="1">N89/N69</f>
        <v>1.6253755602620303E-2</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23204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2720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499" t="s">
        <v>447</v>
      </c>
      <c r="F94" s="3498"/>
      <c r="G94" s="3498"/>
      <c r="H94" s="353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139</v>
      </c>
      <c r="D96" s="406">
        <f>'数据-取费表'!B43</f>
        <v>6.000000000000001E-3</v>
      </c>
      <c r="E96" s="3527" t="s">
        <v>2428</v>
      </c>
      <c r="F96" s="3528"/>
      <c r="G96" s="3528"/>
      <c r="H96" s="352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451</v>
      </c>
      <c r="C97" s="385">
        <f ca="1">C90-C91</f>
        <v>20484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452</v>
      </c>
      <c r="C98" s="407">
        <f ca="1">IF(C97&lt;=0,0,C97/C91)</f>
        <v>7.5308823529411768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453</v>
      </c>
      <c r="C99" s="408">
        <f ca="1">ROUND(IF(C97&lt;=0,0,IF(C98&gt;=200%,C97*60%-C91*35%,IF(C98&gt;=100%,C97*50%-C91*15%,IF(C98&gt;=50%,C97*40%-C91*5%,IF(C98&lt;50%,C97*30%,0))))),0)</f>
        <v>11338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538" t="s">
        <v>454</v>
      </c>
      <c r="B101" s="3539"/>
      <c r="C101" s="3539"/>
      <c r="D101" s="3539"/>
      <c r="E101" s="3539"/>
      <c r="F101" s="3539"/>
      <c r="G101" s="3539"/>
      <c r="H101" s="353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536" t="s">
        <v>428</v>
      </c>
      <c r="B102" s="353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23204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834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461</v>
      </c>
      <c r="C109" s="405">
        <f>IF(H109="——",IF(F1="现房",'剩余法-现房'!C18,'剩余法-待开发'!C18),I109)</f>
        <v>55</v>
      </c>
      <c r="D109" s="406"/>
      <c r="E109" s="3530" t="s">
        <v>462</v>
      </c>
      <c r="F109" s="3528"/>
      <c r="G109" s="352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463</v>
      </c>
      <c r="C110" s="405">
        <f>ROUND((C105+C108+C109)*D110,0)</f>
        <v>63</v>
      </c>
      <c r="D110" s="406">
        <v>0.1</v>
      </c>
      <c r="E110" s="3530" t="s">
        <v>464</v>
      </c>
      <c r="F110" s="3528"/>
      <c r="G110" s="3528"/>
      <c r="H110" s="352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450</v>
      </c>
      <c r="C111" s="405">
        <f ca="1">ROUND(D63*D111/(1+'数据-取费表'!C42),0)</f>
        <v>139</v>
      </c>
      <c r="D111" s="406">
        <f>'数据-取费表'!B43</f>
        <v>6.000000000000001E-3</v>
      </c>
      <c r="E111" s="3527" t="s">
        <v>2428</v>
      </c>
      <c r="F111" s="3528"/>
      <c r="G111" s="3528"/>
      <c r="H111" s="352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465</v>
      </c>
      <c r="C112" s="405">
        <f>ROUND(C108*D112,0)</f>
        <v>0</v>
      </c>
      <c r="D112" s="406">
        <v>0.2</v>
      </c>
      <c r="E112" s="3530" t="s">
        <v>2453</v>
      </c>
      <c r="F112" s="3528"/>
      <c r="G112" s="3528"/>
      <c r="H112" s="352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451</v>
      </c>
      <c r="C113" s="385">
        <f ca="1">ROUND(C103-C104,0)</f>
        <v>22370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452</v>
      </c>
      <c r="C114" s="407">
        <f ca="1">IF(C113&lt;=0,0,C113/C104)</f>
        <v>26.822541966426858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453</v>
      </c>
      <c r="C115" s="408">
        <f ca="1">ROUND(IF(C113&lt;=0,0,IF(C114&gt;=200%,C113*60%-C104*35%,IF(C114&gt;=100%,C113*50%-C104*15%,IF(C114&gt;=50%,C113*40%-C104*5%,IF(C114&lt;50%,C113*30%,0))))),0)</f>
        <v>13130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18" sqref="B18"/>
    </sheetView>
  </sheetViews>
  <sheetFormatPr defaultColWidth="8.875" defaultRowHeight="13.5"/>
  <cols>
    <col min="1" max="1" width="3.5" style="1655" customWidth="1"/>
    <col min="2" max="2" width="10.625" style="1655" customWidth="1"/>
    <col min="3" max="4" width="11.625" style="1655" customWidth="1"/>
    <col min="5" max="5" width="6.625" style="1655" customWidth="1"/>
    <col min="6" max="16384" width="8.875" style="1655"/>
  </cols>
  <sheetData>
    <row r="36" spans="1:9">
      <c r="A36" s="1654" t="s">
        <v>1901</v>
      </c>
      <c r="B36" s="1654" t="s">
        <v>1902</v>
      </c>
    </row>
    <row r="37" spans="1:9" ht="28.5" customHeight="1">
      <c r="A37" s="1654"/>
      <c r="B37" s="3342" t="str">
        <f>项目基本情况!B1</f>
        <v>河南省安阳市文峰区光明路与富泉街交叉口东北角出让国有建设用地使用权抵押价格预评估</v>
      </c>
      <c r="C37" s="3342"/>
      <c r="D37" s="3342"/>
      <c r="E37" s="3342"/>
      <c r="F37" s="3342"/>
      <c r="G37" s="3342"/>
      <c r="H37" s="3342"/>
      <c r="I37" s="3342"/>
    </row>
    <row r="38" spans="1:9">
      <c r="A38" s="1656"/>
      <c r="B38" s="1656"/>
    </row>
    <row r="39" spans="1:9">
      <c r="A39" s="1654" t="s">
        <v>1901</v>
      </c>
      <c r="B39" s="1654" t="s">
        <v>2047</v>
      </c>
    </row>
    <row r="40" spans="1:9">
      <c r="A40" s="1654"/>
      <c r="B40" s="1654" t="str">
        <f>项目基本情况!B5</f>
        <v>五矿国际信托有限公司</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王鹏、郑燚</v>
      </c>
    </row>
    <row r="47" spans="1:9">
      <c r="A47" s="1654"/>
      <c r="B47" s="1654"/>
    </row>
    <row r="48" spans="1:9">
      <c r="A48" s="1654" t="s">
        <v>1901</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62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33301</v>
      </c>
      <c r="D13" s="451"/>
      <c r="E13" s="365"/>
      <c r="F13" s="452"/>
      <c r="G13" s="444"/>
      <c r="H13" s="447"/>
      <c r="I13" s="447"/>
      <c r="J13" s="447"/>
      <c r="K13" s="448"/>
    </row>
    <row r="14" spans="1:41" s="2117" customFormat="1" ht="13.5" customHeight="1">
      <c r="A14" s="1633" t="s">
        <v>1849</v>
      </c>
      <c r="B14" s="449" t="s">
        <v>480</v>
      </c>
      <c r="C14" s="53">
        <f ca="1">ROUND(C13*F14,0)</f>
        <v>999</v>
      </c>
      <c r="D14" s="451"/>
      <c r="E14" s="365"/>
      <c r="F14" s="453">
        <f>'数据-取费表'!B33</f>
        <v>0.03</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826</v>
      </c>
      <c r="D15" s="451"/>
      <c r="E15" s="365"/>
      <c r="F15" s="453">
        <f>'数据-取费表'!B34</f>
        <v>0.03</v>
      </c>
      <c r="G15" s="444" t="s">
        <v>502</v>
      </c>
      <c r="H15" s="447"/>
      <c r="I15" s="447"/>
      <c r="J15" s="447"/>
      <c r="K15" s="448"/>
    </row>
    <row r="16" spans="1:41" s="2118" customFormat="1" ht="13.5" customHeight="1">
      <c r="A16" s="1633" t="s">
        <v>1851</v>
      </c>
      <c r="B16" s="449" t="s">
        <v>484</v>
      </c>
      <c r="C16" s="53">
        <f ca="1">ROUND(D16*E16/10000,0)</f>
        <v>3126</v>
      </c>
      <c r="D16" s="451">
        <f ca="1">IF(B1="",'数据-汇总表'!E3,INDIRECT("'数据-取费表'!K"&amp;$K$1)+INDIRECT("'数据-取费表'!S"&amp;$K$1))</f>
        <v>156303.04999999999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500</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38752</v>
      </c>
      <c r="D18" s="461"/>
      <c r="E18" s="462"/>
      <c r="F18" s="462"/>
      <c r="G18" s="1327" t="s">
        <v>2432</v>
      </c>
      <c r="H18" s="447"/>
      <c r="I18" s="447"/>
      <c r="J18" s="447"/>
      <c r="K18" s="448"/>
    </row>
    <row r="19" spans="1:14" s="2120" customFormat="1" ht="13.5" customHeight="1">
      <c r="A19" s="1634" t="s">
        <v>1854</v>
      </c>
      <c r="B19" s="459" t="s">
        <v>493</v>
      </c>
      <c r="C19" s="460">
        <f ca="1">ROUND(C18*F19,0)</f>
        <v>775</v>
      </c>
      <c r="D19" s="462"/>
      <c r="E19" s="462"/>
      <c r="F19" s="466">
        <f>'数据-取费表'!B37</f>
        <v>0.02</v>
      </c>
      <c r="G19" s="444" t="s">
        <v>503</v>
      </c>
      <c r="H19" s="447"/>
      <c r="I19" s="447"/>
      <c r="J19" s="447"/>
      <c r="K19" s="448"/>
      <c r="L19" s="2122"/>
      <c r="M19" s="2122"/>
      <c r="N19" s="2122"/>
    </row>
    <row r="20" spans="1:14" s="2120" customFormat="1" ht="13.5" customHeight="1">
      <c r="A20" s="1634" t="s">
        <v>1855</v>
      </c>
      <c r="B20" s="459" t="s">
        <v>504</v>
      </c>
      <c r="C20" s="3055">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4" t="s">
        <v>1858</v>
      </c>
      <c r="B21" s="461" t="s">
        <v>494</v>
      </c>
      <c r="C21" s="470">
        <f ca="1">C22</f>
        <v>1400</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3" t="s">
        <v>1848</v>
      </c>
      <c r="B22" s="1328" t="s">
        <v>2435</v>
      </c>
      <c r="C22" s="487">
        <f ca="1">ROUND(IF('数据-取费表'!B22&lt;=1,(C18+C19)*F21*'数据-取费表'!B20/2,(C18+C19)*(POWER((1+F21),'数据-取费表'!B20/2)-1)),0)</f>
        <v>1400</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508</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7" t="s">
        <v>2831</v>
      </c>
      <c r="C24" s="478">
        <f ca="1">C25</f>
        <v>5534</v>
      </c>
      <c r="D24" s="489">
        <f ca="1">C26</f>
        <v>2.0999999999999999E-3</v>
      </c>
      <c r="E24" s="469" t="s">
        <v>507</v>
      </c>
      <c r="F24" s="479">
        <f ca="1">IF(B1="",'数据-取费表'!Q16,INDIRECT("'数据-取费表'!q"&amp;$K$1))</f>
        <v>0.14000000000000001</v>
      </c>
      <c r="G24" s="444"/>
      <c r="H24" s="447"/>
      <c r="I24" s="447"/>
      <c r="J24" s="447"/>
      <c r="K24" s="448"/>
    </row>
    <row r="25" spans="1:14" s="2121" customFormat="1" ht="13.5" customHeight="1">
      <c r="A25" s="1633" t="s">
        <v>1848</v>
      </c>
      <c r="B25" s="1328" t="s">
        <v>2436</v>
      </c>
      <c r="C25" s="490">
        <f ca="1">ROUND((C18+C19)*F24,0)</f>
        <v>5534</v>
      </c>
      <c r="D25" s="472"/>
      <c r="E25" s="473"/>
      <c r="F25" s="480"/>
      <c r="G25" s="1326" t="s">
        <v>2433</v>
      </c>
      <c r="H25" s="457"/>
      <c r="I25" s="457"/>
      <c r="J25" s="457"/>
      <c r="K25" s="458"/>
    </row>
    <row r="26" spans="1:14" s="2121" customFormat="1" ht="13.5" customHeight="1">
      <c r="A26" s="1633" t="s">
        <v>1849</v>
      </c>
      <c r="B26" s="1328" t="s">
        <v>509</v>
      </c>
      <c r="C26" s="491">
        <f ca="1">ROUND(F20*F24,4)</f>
        <v>2.0999999999999999E-3</v>
      </c>
      <c r="D26" s="472"/>
      <c r="E26" s="481"/>
      <c r="F26" s="480"/>
      <c r="G26" s="1326" t="s">
        <v>510</v>
      </c>
      <c r="H26" s="457"/>
      <c r="I26" s="457"/>
      <c r="J26" s="457"/>
      <c r="K26" s="458"/>
    </row>
    <row r="27" spans="1:14" s="2121" customFormat="1" ht="13.5" customHeight="1">
      <c r="A27" s="1637" t="s">
        <v>1867</v>
      </c>
      <c r="B27" s="459" t="s">
        <v>511</v>
      </c>
      <c r="C27" s="3056">
        <f>ROUND(F27/(1+'数据-取费表'!C42),4)</f>
        <v>5.33E-2</v>
      </c>
      <c r="D27" s="462" t="s">
        <v>2829</v>
      </c>
      <c r="E27" s="462"/>
      <c r="F27" s="466">
        <f>'数据-取费表'!B41</f>
        <v>5.6000000000000001E-2</v>
      </c>
      <c r="G27" s="1961" t="s">
        <v>2292</v>
      </c>
      <c r="H27" s="447"/>
      <c r="I27" s="447"/>
      <c r="J27" s="447"/>
      <c r="K27" s="448"/>
    </row>
    <row r="28" spans="1:14" s="2122" customFormat="1" ht="13.5" customHeight="1">
      <c r="A28" s="1637" t="s">
        <v>1868</v>
      </c>
      <c r="B28" s="476" t="s">
        <v>512</v>
      </c>
      <c r="C28" s="470">
        <f ca="1">ROUND((C18+C19+C21+C24)/(1-C20-D21-D24-C27),0)</f>
        <v>50006</v>
      </c>
      <c r="D28" s="477"/>
      <c r="E28" s="469"/>
      <c r="F28" s="471"/>
      <c r="G28" s="1327" t="s">
        <v>2434</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B13" zoomScale="85" zoomScaleNormal="95" zoomScaleSheetLayoutView="85" zoomScalePageLayoutView="95" workbookViewId="0">
      <selection activeCell="G28" sqref="G28"/>
    </sheetView>
  </sheetViews>
  <sheetFormatPr defaultColWidth="8.875" defaultRowHeight="14.25"/>
  <cols>
    <col min="1"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40965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2621</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6082</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405</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581" t="s">
        <v>522</v>
      </c>
      <c r="D6" s="3582"/>
      <c r="E6" s="3581" t="s">
        <v>523</v>
      </c>
      <c r="F6" s="3582"/>
      <c r="G6" s="3581" t="s">
        <v>524</v>
      </c>
      <c r="H6" s="3582"/>
      <c r="I6" s="3581" t="s">
        <v>525</v>
      </c>
      <c r="J6" s="3582"/>
      <c r="K6" s="514" t="s">
        <v>526</v>
      </c>
      <c r="L6" s="2134"/>
      <c r="M6" s="2133"/>
      <c r="N6" s="2133"/>
      <c r="O6" s="2135"/>
      <c r="P6" s="3583" t="s">
        <v>527</v>
      </c>
      <c r="Q6" s="3584"/>
      <c r="R6" s="3589" t="s">
        <v>523</v>
      </c>
      <c r="S6" s="3590"/>
      <c r="T6" s="3589" t="s">
        <v>524</v>
      </c>
      <c r="U6" s="3590"/>
      <c r="V6" s="3576" t="s">
        <v>525</v>
      </c>
      <c r="W6" s="3576"/>
      <c r="X6" s="1567"/>
      <c r="Y6" s="3589" t="s">
        <v>527</v>
      </c>
      <c r="Z6" s="3590"/>
      <c r="AA6" s="3578" t="s">
        <v>523</v>
      </c>
      <c r="AB6" s="3579" t="s">
        <v>524</v>
      </c>
      <c r="AC6" s="3578" t="s">
        <v>525</v>
      </c>
    </row>
    <row r="7" spans="1:30" ht="33" customHeight="1">
      <c r="A7" s="515"/>
      <c r="B7" s="516"/>
      <c r="C7" s="3599" t="s">
        <v>2920</v>
      </c>
      <c r="D7" s="3598"/>
      <c r="E7" s="3597" t="str">
        <f>土地案例!A2</f>
        <v>安阳市文峰区文明大道与兴泰路交叉口西南</v>
      </c>
      <c r="F7" s="3598"/>
      <c r="G7" s="3597" t="str">
        <f>土地案例!A3</f>
        <v>文峰区朝阳路与岳飞街交叉口东南</v>
      </c>
      <c r="H7" s="3598"/>
      <c r="I7" s="3597" t="str">
        <f>土地案例!A4</f>
        <v>安阳市北关区中华路与TD13号路交叉口西北</v>
      </c>
      <c r="J7" s="3598"/>
      <c r="K7" s="514"/>
      <c r="L7" s="2134"/>
      <c r="M7" s="2133"/>
      <c r="N7" s="2133"/>
      <c r="O7" s="2135"/>
      <c r="P7" s="3585"/>
      <c r="Q7" s="3586"/>
      <c r="R7" s="3591"/>
      <c r="S7" s="3592"/>
      <c r="T7" s="3591"/>
      <c r="U7" s="3592"/>
      <c r="V7" s="3576"/>
      <c r="W7" s="3576"/>
      <c r="X7" s="1567"/>
      <c r="Y7" s="3591"/>
      <c r="Z7" s="3592"/>
      <c r="AA7" s="3579"/>
      <c r="AB7" s="3579"/>
      <c r="AC7" s="3579"/>
    </row>
    <row r="8" spans="1:30" ht="33" customHeight="1" thickBot="1">
      <c r="A8" s="515"/>
      <c r="B8" s="516"/>
      <c r="C8" s="3600" t="s">
        <v>2924</v>
      </c>
      <c r="D8" s="3601"/>
      <c r="E8" s="3602" t="str">
        <f>土地案例!I2</f>
        <v>河南嘉洲房地产开发有限公司</v>
      </c>
      <c r="F8" s="3601"/>
      <c r="G8" s="3595" t="str">
        <f>土地案例!I3</f>
        <v>河南安创置业有限公司</v>
      </c>
      <c r="H8" s="3596"/>
      <c r="I8" s="3595" t="str">
        <f>土地案例!I4</f>
        <v>安阳市润城置业有限公司</v>
      </c>
      <c r="J8" s="3596"/>
      <c r="K8" s="514" t="s">
        <v>528</v>
      </c>
      <c r="L8" s="2134"/>
      <c r="M8" s="2133"/>
      <c r="N8" s="2133"/>
      <c r="O8" s="2135"/>
      <c r="P8" s="3587"/>
      <c r="Q8" s="3588"/>
      <c r="R8" s="3591"/>
      <c r="S8" s="3592"/>
      <c r="T8" s="3593"/>
      <c r="U8" s="3594"/>
      <c r="V8" s="3576"/>
      <c r="W8" s="3576"/>
      <c r="X8" s="1567"/>
      <c r="Y8" s="3593"/>
      <c r="Z8" s="3594"/>
      <c r="AA8" s="3580"/>
      <c r="AB8" s="3580"/>
      <c r="AC8" s="3580"/>
    </row>
    <row r="9" spans="1:30" s="1220" customFormat="1" ht="21" thickBot="1">
      <c r="A9" s="2937"/>
      <c r="B9" s="2944" t="s">
        <v>529</v>
      </c>
      <c r="C9" s="2936">
        <f>'数据-取费表'!B2</f>
        <v>43236</v>
      </c>
      <c r="D9" s="520">
        <v>100</v>
      </c>
      <c r="E9" s="521" t="str">
        <f>土地案例!H2</f>
        <v>2018-03-22</v>
      </c>
      <c r="F9" s="522">
        <f>SUMIF(72:72,YEAR(E9)&amp;"-"&amp;INT((MONTH(E9)+2)/3),73:73)</f>
        <v>99</v>
      </c>
      <c r="G9" s="523" t="str">
        <f>土地案例!H3</f>
        <v>2018-05-10</v>
      </c>
      <c r="H9" s="520">
        <f>SUMIF(72:72,YEAR(G9)&amp;"-"&amp;INT((MONTH(G9)+2)/3),73:73)</f>
        <v>100</v>
      </c>
      <c r="I9" s="523" t="str">
        <f>土地案例!H4</f>
        <v>2017-02-28</v>
      </c>
      <c r="J9" s="520">
        <f>SUMIF(72:72,YEAR(I9)&amp;"-"&amp;INT((MONTH(I9)+2)/3),73:73)</f>
        <v>95</v>
      </c>
      <c r="K9" s="524"/>
      <c r="L9" s="2136"/>
      <c r="M9" s="2133"/>
      <c r="N9" s="2133"/>
      <c r="O9" s="2137"/>
      <c r="P9" s="3608" t="s">
        <v>530</v>
      </c>
      <c r="Q9" s="3610"/>
      <c r="R9" s="1568" t="s">
        <v>8</v>
      </c>
      <c r="S9" s="1569">
        <f t="shared" ref="S9:S17" si="0">F9</f>
        <v>99</v>
      </c>
      <c r="T9" s="1568" t="s">
        <v>8</v>
      </c>
      <c r="U9" s="1569">
        <f t="shared" ref="U9:U17" si="1">H9</f>
        <v>100</v>
      </c>
      <c r="V9" s="1568" t="s">
        <v>8</v>
      </c>
      <c r="W9" s="1569">
        <f t="shared" ref="W9:W17" si="2">J9</f>
        <v>95</v>
      </c>
      <c r="X9" s="1570"/>
      <c r="Y9" s="3608" t="s">
        <v>530</v>
      </c>
      <c r="Z9" s="3609"/>
      <c r="AA9" s="1571">
        <f>D9/F9</f>
        <v>1.0101010101010102</v>
      </c>
      <c r="AB9" s="1571">
        <f>D9/H9</f>
        <v>1</v>
      </c>
      <c r="AC9" s="1571">
        <f>D9/J9</f>
        <v>1.0526315789473684</v>
      </c>
    </row>
    <row r="10" spans="1:30" s="1220" customFormat="1" ht="21" thickBot="1">
      <c r="A10" s="2938"/>
      <c r="B10" s="2945" t="s">
        <v>531</v>
      </c>
      <c r="C10" s="856" t="s">
        <v>532</v>
      </c>
      <c r="D10" s="520">
        <v>100</v>
      </c>
      <c r="E10" s="525" t="s">
        <v>2985</v>
      </c>
      <c r="F10" s="522">
        <f>SUMIF(75:75,E10,76:76)-SUMIF(75:75,C10,76:76)+100</f>
        <v>100</v>
      </c>
      <c r="G10" s="525" t="s">
        <v>2985</v>
      </c>
      <c r="H10" s="520">
        <f>SUMIF(75:75,G10,76:76)-SUMIF(75:75,C10,76:76)+100</f>
        <v>100</v>
      </c>
      <c r="I10" s="525" t="s">
        <v>2985</v>
      </c>
      <c r="J10" s="520">
        <f>SUMIF(75:75,I10,76:76)-SUMIF(75:75,C10,76:76)+100</f>
        <v>100</v>
      </c>
      <c r="K10" s="524"/>
      <c r="L10" s="2136"/>
      <c r="M10" s="2133"/>
      <c r="N10" s="2133"/>
      <c r="O10" s="2137"/>
      <c r="P10" s="3608" t="s">
        <v>533</v>
      </c>
      <c r="Q10" s="3609"/>
      <c r="R10" s="1568" t="s">
        <v>8</v>
      </c>
      <c r="S10" s="1569">
        <f t="shared" si="0"/>
        <v>100</v>
      </c>
      <c r="T10" s="1568" t="s">
        <v>8</v>
      </c>
      <c r="U10" s="1569">
        <f t="shared" si="1"/>
        <v>100</v>
      </c>
      <c r="V10" s="1568" t="s">
        <v>8</v>
      </c>
      <c r="W10" s="1569">
        <f t="shared" si="2"/>
        <v>100</v>
      </c>
      <c r="X10" s="1570"/>
      <c r="Y10" s="3608" t="s">
        <v>533</v>
      </c>
      <c r="Z10" s="3609"/>
      <c r="AA10" s="1571">
        <f t="shared" ref="AA10:AA47" si="3">D10/F10</f>
        <v>1</v>
      </c>
      <c r="AB10" s="1571">
        <f t="shared" ref="AB10:AB47" si="4">D10/H10</f>
        <v>1</v>
      </c>
      <c r="AC10" s="1571">
        <f t="shared" ref="AC10:AC47" si="5">D10/J10</f>
        <v>1</v>
      </c>
    </row>
    <row r="11" spans="1:30" s="1220" customFormat="1" ht="28.5">
      <c r="A11" s="2939"/>
      <c r="B11" s="2946" t="s">
        <v>2755</v>
      </c>
      <c r="C11" s="2933" t="s">
        <v>3136</v>
      </c>
      <c r="D11" s="254">
        <v>100</v>
      </c>
      <c r="E11" s="526" t="s">
        <v>3136</v>
      </c>
      <c r="F11" s="254">
        <f>SUMIF(77:77,E11,78:78)-SUMIF(77:77,C11,78:78)+100</f>
        <v>100</v>
      </c>
      <c r="G11" s="526" t="s">
        <v>3085</v>
      </c>
      <c r="H11" s="254">
        <f>SUMIF(77:77,G11,78:78)-SUMIF(77:77,C11,78:78)+100</f>
        <v>100</v>
      </c>
      <c r="I11" s="526" t="s">
        <v>3146</v>
      </c>
      <c r="J11" s="254">
        <f>SUMIF(77:77,I11,78:78)-SUMIF(77:77,C11,78:78)+100</f>
        <v>100</v>
      </c>
      <c r="K11" s="524"/>
      <c r="L11" s="2136"/>
      <c r="M11" s="2133"/>
      <c r="N11" s="2133"/>
      <c r="O11" s="2138"/>
      <c r="P11" s="3575" t="s">
        <v>535</v>
      </c>
      <c r="Q11" s="1151" t="str">
        <f t="shared" ref="Q11:Q17" si="6">B11</f>
        <v>用途</v>
      </c>
      <c r="R11" s="1568" t="s">
        <v>8</v>
      </c>
      <c r="S11" s="1569">
        <f t="shared" si="0"/>
        <v>100</v>
      </c>
      <c r="T11" s="1568" t="s">
        <v>8</v>
      </c>
      <c r="U11" s="1569">
        <f t="shared" si="1"/>
        <v>100</v>
      </c>
      <c r="V11" s="1568" t="s">
        <v>8</v>
      </c>
      <c r="W11" s="1569">
        <f t="shared" si="2"/>
        <v>100</v>
      </c>
      <c r="X11" s="1570"/>
      <c r="Y11" s="3521" t="s">
        <v>536</v>
      </c>
      <c r="Z11" s="1150" t="str">
        <f t="shared" ref="Z11:Z17" si="7">Q11</f>
        <v>用途</v>
      </c>
      <c r="AA11" s="1571">
        <f t="shared" si="3"/>
        <v>1</v>
      </c>
      <c r="AB11" s="1571">
        <f t="shared" si="4"/>
        <v>1</v>
      </c>
      <c r="AC11" s="1571">
        <f t="shared" si="5"/>
        <v>1</v>
      </c>
    </row>
    <row r="12" spans="1:30" s="1338" customFormat="1" ht="27">
      <c r="A12" s="2940"/>
      <c r="B12" s="2945" t="s">
        <v>2756</v>
      </c>
      <c r="C12" s="910"/>
      <c r="D12" s="255">
        <v>100</v>
      </c>
      <c r="E12" s="529"/>
      <c r="F12" s="255">
        <f>ROUND(100/'数据-取费表'!G16,0)</f>
        <v>100</v>
      </c>
      <c r="G12" s="530" t="s">
        <v>3063</v>
      </c>
      <c r="H12" s="255">
        <f>ROUND(100/'数据-取费表'!G16,0)</f>
        <v>100</v>
      </c>
      <c r="I12" s="530" t="s">
        <v>3062</v>
      </c>
      <c r="J12" s="255">
        <f>ROUND(100/'数据-取费表'!G16,0)</f>
        <v>100</v>
      </c>
      <c r="K12" s="531"/>
      <c r="L12" s="2139"/>
      <c r="M12" s="2133"/>
      <c r="N12" s="2133"/>
      <c r="O12" s="2140"/>
      <c r="P12" s="3575"/>
      <c r="Q12" s="1151" t="str">
        <f t="shared" si="6"/>
        <v>土地使用年限（年）</v>
      </c>
      <c r="R12" s="1568" t="s">
        <v>8</v>
      </c>
      <c r="S12" s="1569">
        <f t="shared" si="0"/>
        <v>100</v>
      </c>
      <c r="T12" s="1568" t="s">
        <v>8</v>
      </c>
      <c r="U12" s="1569">
        <f t="shared" si="1"/>
        <v>100</v>
      </c>
      <c r="V12" s="1568" t="s">
        <v>8</v>
      </c>
      <c r="W12" s="1569">
        <f t="shared" si="2"/>
        <v>100</v>
      </c>
      <c r="X12" s="1570"/>
      <c r="Y12" s="3521"/>
      <c r="Z12" s="1150" t="str">
        <f t="shared" si="7"/>
        <v>土地使用年限（年）</v>
      </c>
      <c r="AA12" s="1571">
        <f t="shared" si="3"/>
        <v>1</v>
      </c>
      <c r="AB12" s="1571">
        <f t="shared" si="4"/>
        <v>1</v>
      </c>
      <c r="AC12" s="1571">
        <f t="shared" si="5"/>
        <v>1</v>
      </c>
    </row>
    <row r="13" spans="1:30" ht="20.25">
      <c r="A13" s="2941"/>
      <c r="B13" s="2945" t="s">
        <v>2757</v>
      </c>
      <c r="C13" s="534">
        <f>'数据-汇总表'!I6</f>
        <v>1.92</v>
      </c>
      <c r="D13" s="255">
        <v>100</v>
      </c>
      <c r="E13" s="533">
        <v>2.5</v>
      </c>
      <c r="F13" s="255">
        <f>LOOKUP(E13,82:82,83:83)-LOOKUP(C13,82:82,83:83)+100</f>
        <v>97</v>
      </c>
      <c r="G13" s="534">
        <v>2.5</v>
      </c>
      <c r="H13" s="255">
        <f>LOOKUP(G13,82:82,83:83)-LOOKUP(C13,82:82,83:83)+100</f>
        <v>97</v>
      </c>
      <c r="I13" s="533">
        <v>2.5</v>
      </c>
      <c r="J13" s="255">
        <f>LOOKUP(I13,82:82,83:83)-LOOKUP(C13,82:82,83:83)+100</f>
        <v>97</v>
      </c>
      <c r="K13" s="535">
        <v>3</v>
      </c>
      <c r="L13" s="2141"/>
      <c r="M13" s="2133"/>
      <c r="N13" s="2133"/>
      <c r="O13" s="2142"/>
      <c r="P13" s="3575"/>
      <c r="Q13" s="1151" t="str">
        <f t="shared" si="6"/>
        <v>容积率</v>
      </c>
      <c r="R13" s="1568" t="s">
        <v>8</v>
      </c>
      <c r="S13" s="1569">
        <f t="shared" si="0"/>
        <v>97</v>
      </c>
      <c r="T13" s="1568" t="s">
        <v>8</v>
      </c>
      <c r="U13" s="1569">
        <f t="shared" si="1"/>
        <v>97</v>
      </c>
      <c r="V13" s="1568" t="s">
        <v>8</v>
      </c>
      <c r="W13" s="1569">
        <f t="shared" si="2"/>
        <v>97</v>
      </c>
      <c r="X13" s="1570"/>
      <c r="Y13" s="3521"/>
      <c r="Z13" s="1150" t="str">
        <f t="shared" si="7"/>
        <v>容积率</v>
      </c>
      <c r="AA13" s="1571">
        <f t="shared" si="3"/>
        <v>1.0309278350515463</v>
      </c>
      <c r="AB13" s="1571">
        <f t="shared" si="4"/>
        <v>1.0309278350515463</v>
      </c>
      <c r="AC13" s="1571">
        <f t="shared" si="5"/>
        <v>1.0309278350515463</v>
      </c>
    </row>
    <row r="14" spans="1:30" s="1220" customFormat="1" ht="21" thickBot="1">
      <c r="A14" s="2938"/>
      <c r="B14" s="2947" t="s">
        <v>2758</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575"/>
      <c r="Q14" s="1151" t="str">
        <f t="shared" si="6"/>
        <v>配建</v>
      </c>
      <c r="R14" s="1568" t="s">
        <v>8</v>
      </c>
      <c r="S14" s="1569">
        <f t="shared" si="0"/>
        <v>100</v>
      </c>
      <c r="T14" s="1568" t="s">
        <v>8</v>
      </c>
      <c r="U14" s="1569">
        <f t="shared" si="1"/>
        <v>100</v>
      </c>
      <c r="V14" s="1568" t="s">
        <v>8</v>
      </c>
      <c r="W14" s="1569">
        <f t="shared" si="2"/>
        <v>100</v>
      </c>
      <c r="X14" s="1570"/>
      <c r="Y14" s="3521"/>
      <c r="Z14" s="1150" t="str">
        <f t="shared" si="7"/>
        <v>配建</v>
      </c>
      <c r="AA14" s="1571">
        <f>D14/F14</f>
        <v>1</v>
      </c>
      <c r="AB14" s="1571">
        <f>D14/H14</f>
        <v>1</v>
      </c>
      <c r="AC14" s="1571">
        <f>D14/J14</f>
        <v>1</v>
      </c>
    </row>
    <row r="15" spans="1:30" ht="20.25" hidden="1">
      <c r="A15" s="2942"/>
      <c r="B15" s="2948"/>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575"/>
      <c r="Q15" s="1151">
        <f t="shared" si="6"/>
        <v>0</v>
      </c>
      <c r="R15" s="1568" t="s">
        <v>8</v>
      </c>
      <c r="S15" s="1569">
        <f t="shared" si="0"/>
        <v>100</v>
      </c>
      <c r="T15" s="1568" t="s">
        <v>8</v>
      </c>
      <c r="U15" s="1569">
        <f t="shared" si="1"/>
        <v>100</v>
      </c>
      <c r="V15" s="1568" t="s">
        <v>8</v>
      </c>
      <c r="W15" s="1569">
        <f t="shared" si="2"/>
        <v>100</v>
      </c>
      <c r="X15" s="1570"/>
      <c r="Y15" s="3521"/>
      <c r="Z15" s="1150">
        <f t="shared" si="7"/>
        <v>0</v>
      </c>
      <c r="AA15" s="1571">
        <f>D15/F15</f>
        <v>1</v>
      </c>
      <c r="AB15" s="1571">
        <f>D15/H15</f>
        <v>1</v>
      </c>
      <c r="AC15" s="1571">
        <f>D15/J15</f>
        <v>1</v>
      </c>
    </row>
    <row r="16" spans="1:30" ht="21" hidden="1" thickBot="1">
      <c r="A16" s="2943"/>
      <c r="B16" s="2949"/>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575"/>
      <c r="Q16" s="1151">
        <f t="shared" si="6"/>
        <v>0</v>
      </c>
      <c r="R16" s="1568" t="s">
        <v>8</v>
      </c>
      <c r="S16" s="1569">
        <f t="shared" si="0"/>
        <v>100</v>
      </c>
      <c r="T16" s="1568" t="s">
        <v>8</v>
      </c>
      <c r="U16" s="1569">
        <f t="shared" si="1"/>
        <v>100</v>
      </c>
      <c r="V16" s="1568" t="s">
        <v>8</v>
      </c>
      <c r="W16" s="1569">
        <f t="shared" si="2"/>
        <v>100</v>
      </c>
      <c r="X16" s="1570"/>
      <c r="Y16" s="3521"/>
      <c r="Z16" s="1150">
        <f t="shared" si="7"/>
        <v>0</v>
      </c>
      <c r="AA16" s="1571">
        <f>D16/F16</f>
        <v>1</v>
      </c>
      <c r="AB16" s="1571">
        <f>D16/H16</f>
        <v>1</v>
      </c>
      <c r="AC16" s="1571">
        <f>D16/J16</f>
        <v>1</v>
      </c>
    </row>
    <row r="17" spans="1:29" ht="85.5">
      <c r="A17" s="2935" t="s">
        <v>2753</v>
      </c>
      <c r="B17" s="578" t="s">
        <v>295</v>
      </c>
      <c r="C17" s="548" t="str">
        <f>估价对象房地状况!C15</f>
        <v>周边居住用地比例、居住小区规模和社区发展完善程度（居住用地比例适宜，较多住宅项目，但尚未开发完成，社区发展完善程度较差）</v>
      </c>
      <c r="D17" s="551">
        <v>100</v>
      </c>
      <c r="E17" s="552"/>
      <c r="F17" s="549">
        <f>SUMIF(90:90,E18,91:91)-SUMIF(90:90,C18,91:91)+100</f>
        <v>105</v>
      </c>
      <c r="G17" s="550"/>
      <c r="H17" s="549">
        <f>SUMIF(90:90,G18,91:91)-SUMIF(90:90,C18,91:91)+100</f>
        <v>100</v>
      </c>
      <c r="I17" s="552"/>
      <c r="J17" s="549">
        <f>SUMIF(90:90,I18,91:91)-SUMIF(90:90,C18,91:91)+100</f>
        <v>105</v>
      </c>
      <c r="K17" s="535">
        <v>5</v>
      </c>
      <c r="L17" s="2143"/>
      <c r="M17" s="2133"/>
      <c r="N17" s="2133"/>
      <c r="O17" s="2142"/>
      <c r="P17" s="3611" t="s">
        <v>540</v>
      </c>
      <c r="Q17" s="1572" t="str">
        <f t="shared" si="6"/>
        <v>居住社区成熟度</v>
      </c>
      <c r="R17" s="1573" t="s">
        <v>8</v>
      </c>
      <c r="S17" s="1574">
        <f t="shared" si="0"/>
        <v>105</v>
      </c>
      <c r="T17" s="1573" t="s">
        <v>8</v>
      </c>
      <c r="U17" s="1574">
        <f t="shared" si="1"/>
        <v>100</v>
      </c>
      <c r="V17" s="1573" t="s">
        <v>8</v>
      </c>
      <c r="W17" s="1574">
        <f t="shared" si="2"/>
        <v>105</v>
      </c>
      <c r="X17" s="1567"/>
      <c r="Y17" s="3611" t="s">
        <v>540</v>
      </c>
      <c r="Z17" s="1575" t="str">
        <f t="shared" si="7"/>
        <v>居住社区成熟度</v>
      </c>
      <c r="AA17" s="1576">
        <f t="shared" si="3"/>
        <v>0.95238095238095233</v>
      </c>
      <c r="AB17" s="1576">
        <f t="shared" si="4"/>
        <v>1</v>
      </c>
      <c r="AC17" s="1576">
        <f t="shared" si="5"/>
        <v>0.95238095238095233</v>
      </c>
    </row>
    <row r="18" spans="1:29" ht="20.25">
      <c r="A18" s="532"/>
      <c r="B18" s="553"/>
      <c r="C18" s="554" t="s">
        <v>3017</v>
      </c>
      <c r="D18" s="557"/>
      <c r="E18" s="576" t="s">
        <v>3019</v>
      </c>
      <c r="F18" s="555"/>
      <c r="G18" s="554" t="s">
        <v>3017</v>
      </c>
      <c r="H18" s="559"/>
      <c r="I18" s="554" t="s">
        <v>3019</v>
      </c>
      <c r="J18" s="555"/>
      <c r="K18" s="531"/>
      <c r="L18" s="2143"/>
      <c r="M18" s="2133"/>
      <c r="N18" s="2133"/>
      <c r="O18" s="2142"/>
      <c r="P18" s="3612"/>
      <c r="Q18" s="1572"/>
      <c r="R18" s="1573"/>
      <c r="S18" s="1574"/>
      <c r="T18" s="1573"/>
      <c r="U18" s="1574"/>
      <c r="V18" s="1573"/>
      <c r="W18" s="1574"/>
      <c r="X18" s="1567"/>
      <c r="Y18" s="3612"/>
      <c r="Z18" s="1575"/>
      <c r="AA18" s="1576">
        <v>1</v>
      </c>
      <c r="AB18" s="1576">
        <v>1</v>
      </c>
      <c r="AC18" s="1576">
        <v>1</v>
      </c>
    </row>
    <row r="19" spans="1:29" ht="57">
      <c r="A19" s="532"/>
      <c r="B19" s="560" t="s">
        <v>541</v>
      </c>
      <c r="C19" s="561" t="str">
        <f>估价对象房地状况!C16</f>
        <v>XX商圈，周边商业氛围，人流量（城乡一体化示范区 住宅底商 氛围较差 人流量较少）</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612"/>
      <c r="Q19" s="1572" t="str">
        <f>B19</f>
        <v>商业繁华度</v>
      </c>
      <c r="R19" s="1573" t="s">
        <v>8</v>
      </c>
      <c r="S19" s="1574">
        <f>F19</f>
        <v>100</v>
      </c>
      <c r="T19" s="1573" t="s">
        <v>8</v>
      </c>
      <c r="U19" s="1574">
        <f>H19</f>
        <v>100</v>
      </c>
      <c r="V19" s="1573" t="s">
        <v>8</v>
      </c>
      <c r="W19" s="1574">
        <f>J19</f>
        <v>100</v>
      </c>
      <c r="X19" s="1567"/>
      <c r="Y19" s="3612"/>
      <c r="Z19" s="1575" t="str">
        <f>Q19</f>
        <v>商业繁华度</v>
      </c>
      <c r="AA19" s="1576">
        <f t="shared" si="3"/>
        <v>1</v>
      </c>
      <c r="AB19" s="1576">
        <f t="shared" si="4"/>
        <v>1</v>
      </c>
      <c r="AC19" s="1576">
        <f t="shared" si="5"/>
        <v>1</v>
      </c>
    </row>
    <row r="20" spans="1:29" ht="20.25">
      <c r="A20" s="532"/>
      <c r="B20" s="566"/>
      <c r="C20" s="567" t="s">
        <v>3017</v>
      </c>
      <c r="D20" s="563"/>
      <c r="E20" s="873" t="s">
        <v>3017</v>
      </c>
      <c r="F20" s="559"/>
      <c r="G20" s="567" t="s">
        <v>3017</v>
      </c>
      <c r="H20" s="555"/>
      <c r="I20" s="567" t="s">
        <v>3017</v>
      </c>
      <c r="J20" s="555"/>
      <c r="K20" s="531"/>
      <c r="L20" s="2143"/>
      <c r="M20" s="2133"/>
      <c r="N20" s="2133"/>
      <c r="O20" s="2142"/>
      <c r="P20" s="3612"/>
      <c r="Q20" s="1572"/>
      <c r="R20" s="1573"/>
      <c r="S20" s="1574"/>
      <c r="T20" s="1573"/>
      <c r="U20" s="1574"/>
      <c r="V20" s="1573"/>
      <c r="W20" s="1574"/>
      <c r="X20" s="1567"/>
      <c r="Y20" s="3612"/>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12"/>
      <c r="Q21" s="1572" t="str">
        <f>B21</f>
        <v>办公集聚程度</v>
      </c>
      <c r="R21" s="1573" t="s">
        <v>8</v>
      </c>
      <c r="S21" s="1574">
        <f>F21</f>
        <v>100</v>
      </c>
      <c r="T21" s="1573" t="s">
        <v>8</v>
      </c>
      <c r="U21" s="1574">
        <f>H21</f>
        <v>100</v>
      </c>
      <c r="V21" s="1573" t="s">
        <v>8</v>
      </c>
      <c r="W21" s="1574">
        <f>J21</f>
        <v>100</v>
      </c>
      <c r="X21" s="1567"/>
      <c r="Y21" s="3612"/>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612"/>
      <c r="Q22" s="1572"/>
      <c r="R22" s="1573"/>
      <c r="S22" s="1574"/>
      <c r="T22" s="1573"/>
      <c r="U22" s="1574"/>
      <c r="V22" s="1573"/>
      <c r="W22" s="1574"/>
      <c r="X22" s="1567"/>
      <c r="Y22" s="3612"/>
      <c r="Z22" s="1575"/>
      <c r="AA22" s="1576">
        <v>1</v>
      </c>
      <c r="AB22" s="1576">
        <v>1</v>
      </c>
      <c r="AC22" s="1576">
        <v>1</v>
      </c>
    </row>
    <row r="23" spans="1:29" ht="85.5">
      <c r="A23" s="532"/>
      <c r="B23" s="560" t="s">
        <v>543</v>
      </c>
      <c r="C23" s="573" t="str">
        <f>估价对象房地状况!C18</f>
        <v>周边道路状况、公共交通通达情况、停车便捷程度（北至文峰大道 南至文明大道 均为城市主干道 南距安阳东站直线1.5公里 y1路 11路 16路）</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612"/>
      <c r="Q23" s="1572" t="str">
        <f>B23</f>
        <v>交通便捷度</v>
      </c>
      <c r="R23" s="1573" t="s">
        <v>8</v>
      </c>
      <c r="S23" s="1574">
        <f>F23</f>
        <v>100</v>
      </c>
      <c r="T23" s="1573" t="s">
        <v>8</v>
      </c>
      <c r="U23" s="1574">
        <f>H23</f>
        <v>100</v>
      </c>
      <c r="V23" s="1573" t="s">
        <v>8</v>
      </c>
      <c r="W23" s="1574">
        <f>J23</f>
        <v>100</v>
      </c>
      <c r="X23" s="1567"/>
      <c r="Y23" s="3612"/>
      <c r="Z23" s="1575" t="str">
        <f>Q23</f>
        <v>交通便捷度</v>
      </c>
      <c r="AA23" s="1576">
        <f t="shared" si="3"/>
        <v>1</v>
      </c>
      <c r="AB23" s="1576">
        <f t="shared" si="4"/>
        <v>1</v>
      </c>
      <c r="AC23" s="1576">
        <f t="shared" si="5"/>
        <v>1</v>
      </c>
    </row>
    <row r="24" spans="1:29" ht="20.25">
      <c r="A24" s="532"/>
      <c r="B24" s="578"/>
      <c r="C24" s="554" t="s">
        <v>3019</v>
      </c>
      <c r="D24" s="557"/>
      <c r="E24" s="576" t="s">
        <v>3019</v>
      </c>
      <c r="F24" s="555"/>
      <c r="G24" s="554" t="s">
        <v>3019</v>
      </c>
      <c r="H24" s="555"/>
      <c r="I24" s="554" t="s">
        <v>3019</v>
      </c>
      <c r="J24" s="555"/>
      <c r="K24" s="531"/>
      <c r="L24" s="2143"/>
      <c r="M24" s="2133"/>
      <c r="N24" s="2133"/>
      <c r="O24" s="2142"/>
      <c r="P24" s="3612"/>
      <c r="Q24" s="1572"/>
      <c r="R24" s="1573"/>
      <c r="S24" s="1574"/>
      <c r="T24" s="1573"/>
      <c r="U24" s="1574"/>
      <c r="V24" s="1573"/>
      <c r="W24" s="1574"/>
      <c r="X24" s="1567"/>
      <c r="Y24" s="3612"/>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c r="N25" s="2133"/>
      <c r="O25" s="2142"/>
      <c r="P25" s="3612"/>
      <c r="Q25" s="1572" t="str">
        <f t="shared" ref="Q25:Q39" si="8">B25</f>
        <v>区域土地利用方向</v>
      </c>
      <c r="R25" s="1573" t="s">
        <v>8</v>
      </c>
      <c r="S25" s="1574">
        <f>F25</f>
        <v>100</v>
      </c>
      <c r="T25" s="1573" t="s">
        <v>8</v>
      </c>
      <c r="U25" s="1574">
        <f>H25</f>
        <v>100</v>
      </c>
      <c r="V25" s="1573" t="s">
        <v>8</v>
      </c>
      <c r="W25" s="1574">
        <f>J25</f>
        <v>100</v>
      </c>
      <c r="X25" s="1567"/>
      <c r="Y25" s="3612"/>
      <c r="Z25" s="1575" t="str">
        <f>Q25</f>
        <v>区域土地利用方向</v>
      </c>
      <c r="AA25" s="1576">
        <f t="shared" si="3"/>
        <v>1</v>
      </c>
      <c r="AB25" s="1576">
        <f t="shared" si="4"/>
        <v>1</v>
      </c>
      <c r="AC25" s="1576">
        <f t="shared" si="5"/>
        <v>1</v>
      </c>
    </row>
    <row r="26" spans="1:29" ht="20.25">
      <c r="A26" s="515"/>
      <c r="B26" s="1007"/>
      <c r="C26" s="554" t="s">
        <v>3019</v>
      </c>
      <c r="D26" s="557"/>
      <c r="E26" s="576" t="s">
        <v>3019</v>
      </c>
      <c r="F26" s="555"/>
      <c r="G26" s="554" t="s">
        <v>3019</v>
      </c>
      <c r="H26" s="555"/>
      <c r="I26" s="554" t="s">
        <v>3019</v>
      </c>
      <c r="J26" s="555"/>
      <c r="K26" s="531"/>
      <c r="L26" s="2143"/>
      <c r="M26" s="2133"/>
      <c r="N26" s="2133"/>
      <c r="O26" s="2142"/>
      <c r="P26" s="3612"/>
      <c r="Q26" s="1572"/>
      <c r="R26" s="1573"/>
      <c r="S26" s="1574"/>
      <c r="T26" s="1573"/>
      <c r="U26" s="1574"/>
      <c r="V26" s="1573"/>
      <c r="W26" s="1574"/>
      <c r="X26" s="1567"/>
      <c r="Y26" s="3612"/>
      <c r="Z26" s="1575"/>
      <c r="AA26" s="1576"/>
      <c r="AB26" s="1576"/>
      <c r="AC26" s="1576"/>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612"/>
      <c r="Q27" s="1572" t="str">
        <f t="shared" si="8"/>
        <v>自然及人文环境状况</v>
      </c>
      <c r="R27" s="1573" t="s">
        <v>8</v>
      </c>
      <c r="S27" s="1574">
        <f>F27</f>
        <v>100</v>
      </c>
      <c r="T27" s="1573" t="s">
        <v>8</v>
      </c>
      <c r="U27" s="1574">
        <f>H27</f>
        <v>100</v>
      </c>
      <c r="V27" s="1573" t="s">
        <v>8</v>
      </c>
      <c r="W27" s="1574">
        <f>J27</f>
        <v>100</v>
      </c>
      <c r="X27" s="1567"/>
      <c r="Y27" s="3612"/>
      <c r="Z27" s="1575" t="str">
        <f>Q27</f>
        <v>自然及人文环境状况</v>
      </c>
      <c r="AA27" s="1576">
        <f t="shared" si="3"/>
        <v>1</v>
      </c>
      <c r="AB27" s="1576">
        <f t="shared" si="4"/>
        <v>1</v>
      </c>
      <c r="AC27" s="1576">
        <f t="shared" si="5"/>
        <v>1</v>
      </c>
    </row>
    <row r="28" spans="1:29" ht="20.25">
      <c r="A28" s="515"/>
      <c r="B28" s="566"/>
      <c r="C28" s="554" t="s">
        <v>3019</v>
      </c>
      <c r="D28" s="557"/>
      <c r="E28" s="554" t="s">
        <v>3019</v>
      </c>
      <c r="F28" s="555"/>
      <c r="G28" s="554" t="s">
        <v>3019</v>
      </c>
      <c r="H28" s="555"/>
      <c r="I28" s="554" t="s">
        <v>3019</v>
      </c>
      <c r="J28" s="555"/>
      <c r="K28" s="531"/>
      <c r="L28" s="2143"/>
      <c r="M28" s="2133"/>
      <c r="N28" s="2133"/>
      <c r="O28" s="2142"/>
      <c r="P28" s="3612"/>
      <c r="Q28" s="1572"/>
      <c r="R28" s="1573"/>
      <c r="S28" s="1574"/>
      <c r="T28" s="1573"/>
      <c r="U28" s="1574"/>
      <c r="V28" s="1573"/>
      <c r="W28" s="1574"/>
      <c r="X28" s="1567"/>
      <c r="Y28" s="3612"/>
      <c r="Z28" s="1575"/>
      <c r="AA28" s="1576">
        <v>1</v>
      </c>
      <c r="AB28" s="1576">
        <v>1</v>
      </c>
      <c r="AC28" s="1576">
        <v>1</v>
      </c>
    </row>
    <row r="29" spans="1:29" s="1220" customFormat="1" ht="20.25">
      <c r="A29" s="577"/>
      <c r="B29" s="2616" t="s">
        <v>2548</v>
      </c>
      <c r="C29" s="573">
        <f>估价对象房地状况!C21</f>
        <v>0</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36"/>
      <c r="M29" s="2133"/>
      <c r="N29" s="2133"/>
      <c r="O29" s="2138"/>
      <c r="P29" s="3612"/>
      <c r="Q29" s="1151" t="str">
        <f t="shared" si="8"/>
        <v>公共配套设施</v>
      </c>
      <c r="R29" s="1568" t="s">
        <v>8</v>
      </c>
      <c r="S29" s="1569">
        <f>F29</f>
        <v>103</v>
      </c>
      <c r="T29" s="1568" t="s">
        <v>8</v>
      </c>
      <c r="U29" s="1569">
        <f>H29</f>
        <v>103</v>
      </c>
      <c r="V29" s="1568" t="s">
        <v>8</v>
      </c>
      <c r="W29" s="1569">
        <f>J29</f>
        <v>103</v>
      </c>
      <c r="X29" s="1570"/>
      <c r="Y29" s="3612"/>
      <c r="Z29" s="1150" t="str">
        <f>Q29</f>
        <v>公共配套设施</v>
      </c>
      <c r="AA29" s="1576">
        <f>D29/F29</f>
        <v>0.970873786407767</v>
      </c>
      <c r="AB29" s="1576">
        <f>D29/H29</f>
        <v>0.970873786407767</v>
      </c>
      <c r="AC29" s="1576">
        <f>D29/J29</f>
        <v>0.970873786407767</v>
      </c>
    </row>
    <row r="30" spans="1:29" s="1220" customFormat="1" ht="20.25">
      <c r="A30" s="577"/>
      <c r="B30" s="566"/>
      <c r="C30" s="579" t="s">
        <v>3017</v>
      </c>
      <c r="D30" s="557"/>
      <c r="E30" s="579" t="s">
        <v>3019</v>
      </c>
      <c r="F30" s="555"/>
      <c r="G30" s="579" t="s">
        <v>3019</v>
      </c>
      <c r="H30" s="555"/>
      <c r="I30" s="579" t="s">
        <v>3019</v>
      </c>
      <c r="J30" s="555"/>
      <c r="K30" s="531"/>
      <c r="L30" s="2136"/>
      <c r="M30" s="2133"/>
      <c r="N30" s="2133"/>
      <c r="O30" s="2138"/>
      <c r="P30" s="3612"/>
      <c r="Q30" s="1151"/>
      <c r="R30" s="1568"/>
      <c r="S30" s="1569"/>
      <c r="T30" s="1568"/>
      <c r="U30" s="1569"/>
      <c r="V30" s="1568"/>
      <c r="W30" s="1569"/>
      <c r="X30" s="1570"/>
      <c r="Y30" s="3612"/>
      <c r="Z30" s="1150"/>
      <c r="AA30" s="1576">
        <v>1</v>
      </c>
      <c r="AB30" s="1576">
        <v>1</v>
      </c>
      <c r="AC30" s="1576">
        <v>1</v>
      </c>
    </row>
    <row r="31" spans="1:29" s="1220" customFormat="1" ht="20.25">
      <c r="A31" s="577"/>
      <c r="B31" s="2616" t="s">
        <v>2549</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612"/>
      <c r="Q31" s="2603" t="str">
        <f t="shared" ref="Q31" si="9">B31</f>
        <v>基础设施水平</v>
      </c>
      <c r="R31" s="1568" t="s">
        <v>8</v>
      </c>
      <c r="S31" s="1569">
        <f>F31</f>
        <v>100</v>
      </c>
      <c r="T31" s="1568" t="s">
        <v>8</v>
      </c>
      <c r="U31" s="1569">
        <f>H31</f>
        <v>100</v>
      </c>
      <c r="V31" s="1568" t="s">
        <v>8</v>
      </c>
      <c r="W31" s="1569">
        <f>J31</f>
        <v>100</v>
      </c>
      <c r="X31" s="1570"/>
      <c r="Y31" s="3612"/>
      <c r="Z31" s="2600" t="str">
        <f>Q31</f>
        <v>基础设施水平</v>
      </c>
      <c r="AA31" s="1576">
        <f>D31/F31</f>
        <v>1</v>
      </c>
      <c r="AB31" s="1576">
        <f>D31/H31</f>
        <v>1</v>
      </c>
      <c r="AC31" s="1576">
        <f>D31/J31</f>
        <v>1</v>
      </c>
    </row>
    <row r="32" spans="1:29" s="1220" customFormat="1" ht="20.25">
      <c r="A32" s="577"/>
      <c r="B32" s="566"/>
      <c r="C32" s="579" t="s">
        <v>3020</v>
      </c>
      <c r="D32" s="557"/>
      <c r="E32" s="2617" t="s">
        <v>3020</v>
      </c>
      <c r="F32" s="555"/>
      <c r="G32" s="579" t="s">
        <v>3020</v>
      </c>
      <c r="H32" s="555"/>
      <c r="I32" s="579" t="s">
        <v>3020</v>
      </c>
      <c r="J32" s="555"/>
      <c r="K32" s="531"/>
      <c r="L32" s="2136"/>
      <c r="M32" s="2133"/>
      <c r="N32" s="2133"/>
      <c r="O32" s="2138"/>
      <c r="P32" s="3612"/>
      <c r="Q32" s="2603"/>
      <c r="R32" s="1568"/>
      <c r="S32" s="1569"/>
      <c r="T32" s="1568"/>
      <c r="U32" s="1569"/>
      <c r="V32" s="1568"/>
      <c r="W32" s="1569"/>
      <c r="X32" s="1570"/>
      <c r="Y32" s="3612"/>
      <c r="Z32" s="2600"/>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61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12"/>
      <c r="Z33" s="1575" t="str">
        <f t="shared" ref="Z33:Z47" si="13">Q33</f>
        <v>临街状况</v>
      </c>
      <c r="AA33" s="1576">
        <f t="shared" si="3"/>
        <v>1</v>
      </c>
      <c r="AB33" s="1576">
        <f t="shared" si="4"/>
        <v>1</v>
      </c>
      <c r="AC33" s="1576">
        <f t="shared" si="5"/>
        <v>1</v>
      </c>
    </row>
    <row r="34" spans="1:29" ht="27">
      <c r="A34" s="532"/>
      <c r="B34" s="578" t="s">
        <v>548</v>
      </c>
      <c r="C34" s="3195" t="s">
        <v>3522</v>
      </c>
      <c r="D34" s="563">
        <v>100</v>
      </c>
      <c r="E34" s="3206" t="s">
        <v>3523</v>
      </c>
      <c r="F34" s="559">
        <f>SUMIF(108:108,E35,109:109)-SUMIF(108:108,C35,109:109)+100</f>
        <v>100</v>
      </c>
      <c r="G34" s="3195" t="s">
        <v>3522</v>
      </c>
      <c r="H34" s="559">
        <f>SUMIF(108:108,G35,109:109)-SUMIF(108:108,C35,109:109)+100</f>
        <v>100</v>
      </c>
      <c r="I34" s="3195" t="s">
        <v>3538</v>
      </c>
      <c r="J34" s="559">
        <f>SUMIF(108:108,I35,109:109)-SUMIF(108:108,C35,109:109)+100</f>
        <v>100</v>
      </c>
      <c r="K34" s="535">
        <v>2</v>
      </c>
      <c r="L34" s="2143"/>
      <c r="M34" s="2133"/>
      <c r="N34" s="2133"/>
      <c r="O34" s="2142"/>
      <c r="P34" s="3612"/>
      <c r="Q34" s="1572" t="str">
        <f t="shared" si="8"/>
        <v>毗邻道路的类型与等级</v>
      </c>
      <c r="R34" s="1573" t="s">
        <v>8</v>
      </c>
      <c r="S34" s="1574">
        <f t="shared" si="10"/>
        <v>100</v>
      </c>
      <c r="T34" s="1573" t="s">
        <v>8</v>
      </c>
      <c r="U34" s="1574">
        <f t="shared" si="11"/>
        <v>100</v>
      </c>
      <c r="V34" s="1573" t="s">
        <v>8</v>
      </c>
      <c r="W34" s="1574">
        <f t="shared" si="12"/>
        <v>100</v>
      </c>
      <c r="X34" s="1567"/>
      <c r="Y34" s="3612"/>
      <c r="Z34" s="1575" t="str">
        <f t="shared" si="13"/>
        <v>毗邻道路的类型与等级</v>
      </c>
      <c r="AA34" s="1576">
        <f t="shared" si="3"/>
        <v>1</v>
      </c>
      <c r="AB34" s="1576">
        <f t="shared" si="4"/>
        <v>1</v>
      </c>
      <c r="AC34" s="1576">
        <f t="shared" si="5"/>
        <v>1</v>
      </c>
    </row>
    <row r="35" spans="1:29" ht="21" thickBot="1">
      <c r="A35" s="532"/>
      <c r="B35" s="566"/>
      <c r="C35" s="554" t="s">
        <v>3013</v>
      </c>
      <c r="D35" s="557"/>
      <c r="E35" s="576" t="s">
        <v>3013</v>
      </c>
      <c r="F35" s="555"/>
      <c r="G35" s="576" t="s">
        <v>3013</v>
      </c>
      <c r="H35" s="555"/>
      <c r="I35" s="576" t="s">
        <v>3013</v>
      </c>
      <c r="J35" s="555"/>
      <c r="K35" s="581"/>
      <c r="L35" s="2143"/>
      <c r="M35" s="2133"/>
      <c r="N35" s="2133"/>
      <c r="O35" s="2142"/>
      <c r="P35" s="3612"/>
      <c r="Q35" s="1572"/>
      <c r="R35" s="1573"/>
      <c r="S35" s="1574"/>
      <c r="T35" s="1573"/>
      <c r="U35" s="1574"/>
      <c r="V35" s="1573"/>
      <c r="W35" s="1574"/>
      <c r="X35" s="1567"/>
      <c r="Y35" s="3612"/>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12"/>
      <c r="Q36" s="1572" t="str">
        <f t="shared" si="8"/>
        <v>土地级别</v>
      </c>
      <c r="R36" s="1573" t="s">
        <v>8</v>
      </c>
      <c r="S36" s="1574">
        <f t="shared" si="10"/>
        <v>100</v>
      </c>
      <c r="T36" s="1573" t="s">
        <v>8</v>
      </c>
      <c r="U36" s="1574">
        <f t="shared" si="11"/>
        <v>100</v>
      </c>
      <c r="V36" s="1573" t="s">
        <v>8</v>
      </c>
      <c r="W36" s="1574">
        <f t="shared" si="12"/>
        <v>100</v>
      </c>
      <c r="X36" s="1567"/>
      <c r="Y36" s="3612"/>
      <c r="Z36" s="1575" t="str">
        <f t="shared" si="13"/>
        <v>土地级别</v>
      </c>
      <c r="AA36" s="1576">
        <f t="shared" si="3"/>
        <v>1</v>
      </c>
      <c r="AB36" s="1576">
        <f t="shared" si="4"/>
        <v>1</v>
      </c>
      <c r="AC36" s="1576">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12"/>
      <c r="Q37" s="1572">
        <f t="shared" si="8"/>
        <v>0</v>
      </c>
      <c r="R37" s="1573" t="s">
        <v>8</v>
      </c>
      <c r="S37" s="1574">
        <f t="shared" si="10"/>
        <v>100</v>
      </c>
      <c r="T37" s="1573" t="s">
        <v>8</v>
      </c>
      <c r="U37" s="1574">
        <f t="shared" si="11"/>
        <v>100</v>
      </c>
      <c r="V37" s="1573" t="s">
        <v>8</v>
      </c>
      <c r="W37" s="1574">
        <f t="shared" si="12"/>
        <v>100</v>
      </c>
      <c r="X37" s="1567"/>
      <c r="Y37" s="3612"/>
      <c r="Z37" s="1575">
        <f t="shared" si="13"/>
        <v>0</v>
      </c>
      <c r="AA37" s="1576">
        <f t="shared" si="3"/>
        <v>1</v>
      </c>
      <c r="AB37" s="1576">
        <f t="shared" si="4"/>
        <v>1</v>
      </c>
      <c r="AC37" s="1576">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13" t="s">
        <v>550</v>
      </c>
      <c r="Q38" s="1572">
        <f t="shared" si="8"/>
        <v>0</v>
      </c>
      <c r="R38" s="1573" t="s">
        <v>8</v>
      </c>
      <c r="S38" s="1574">
        <f t="shared" si="10"/>
        <v>100</v>
      </c>
      <c r="T38" s="1573" t="s">
        <v>8</v>
      </c>
      <c r="U38" s="1574">
        <f t="shared" si="11"/>
        <v>100</v>
      </c>
      <c r="V38" s="1573" t="s">
        <v>8</v>
      </c>
      <c r="W38" s="1574">
        <f t="shared" si="12"/>
        <v>100</v>
      </c>
      <c r="X38" s="1567"/>
      <c r="Y38" s="3614"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14"/>
      <c r="Q39" s="1572">
        <f t="shared" si="8"/>
        <v>0</v>
      </c>
      <c r="R39" s="1577" t="s">
        <v>8</v>
      </c>
      <c r="S39" s="1578">
        <f t="shared" si="10"/>
        <v>100</v>
      </c>
      <c r="T39" s="1577" t="s">
        <v>8</v>
      </c>
      <c r="U39" s="1578">
        <f t="shared" si="11"/>
        <v>100</v>
      </c>
      <c r="V39" s="1577" t="s">
        <v>8</v>
      </c>
      <c r="W39" s="1578">
        <f t="shared" si="12"/>
        <v>100</v>
      </c>
      <c r="X39" s="1579"/>
      <c r="Y39" s="3614"/>
      <c r="Z39" s="1580">
        <f t="shared" si="13"/>
        <v>0</v>
      </c>
      <c r="AA39" s="1576">
        <f t="shared" si="3"/>
        <v>1</v>
      </c>
      <c r="AB39" s="1576">
        <f t="shared" si="4"/>
        <v>1</v>
      </c>
      <c r="AC39" s="1576">
        <f t="shared" si="5"/>
        <v>1</v>
      </c>
    </row>
    <row r="40" spans="1:29" ht="20.25">
      <c r="A40" s="2932" t="s">
        <v>2754</v>
      </c>
      <c r="B40" s="595" t="s">
        <v>552</v>
      </c>
      <c r="C40" s="3214">
        <f>'数据-汇总表'!D3</f>
        <v>67358.31</v>
      </c>
      <c r="D40" s="943">
        <v>100</v>
      </c>
      <c r="E40" s="596">
        <f>土地案例!E2</f>
        <v>28470.82</v>
      </c>
      <c r="F40" s="597">
        <f>LOOKUP(E40,119:119,120:120)-LOOKUP(C40,119:119,120:120)+100</f>
        <v>100</v>
      </c>
      <c r="G40" s="596">
        <f>土地案例!E3</f>
        <v>16426.82</v>
      </c>
      <c r="H40" s="597">
        <f>LOOKUP(G40,119:119,120:120)-LOOKUP(C40,119:119,120:120)+100</f>
        <v>100</v>
      </c>
      <c r="I40" s="598">
        <f>土地案例!E4</f>
        <v>25262.23</v>
      </c>
      <c r="J40" s="597">
        <f>LOOKUP(I40,119:119,120:120)-LOOKUP(C40,119:119,120:120)+100</f>
        <v>100</v>
      </c>
      <c r="K40" s="581"/>
      <c r="L40" s="2143"/>
      <c r="M40" s="2133"/>
      <c r="N40" s="2133"/>
      <c r="O40" s="2142"/>
      <c r="P40" s="3614"/>
      <c r="Q40" s="1572" t="str">
        <f>B40</f>
        <v>宗地面积</v>
      </c>
      <c r="R40" s="1573" t="s">
        <v>8</v>
      </c>
      <c r="S40" s="1574">
        <f t="shared" si="10"/>
        <v>100</v>
      </c>
      <c r="T40" s="1573" t="s">
        <v>8</v>
      </c>
      <c r="U40" s="1574">
        <f t="shared" si="11"/>
        <v>100</v>
      </c>
      <c r="V40" s="1573" t="s">
        <v>8</v>
      </c>
      <c r="W40" s="1574">
        <f t="shared" si="12"/>
        <v>100</v>
      </c>
      <c r="X40" s="1567"/>
      <c r="Y40" s="3614"/>
      <c r="Z40" s="1575" t="str">
        <f t="shared" si="13"/>
        <v>宗地面积</v>
      </c>
      <c r="AA40" s="1576">
        <f t="shared" si="3"/>
        <v>1</v>
      </c>
      <c r="AB40" s="1576">
        <f t="shared" si="4"/>
        <v>1</v>
      </c>
      <c r="AC40" s="1576">
        <f t="shared" si="5"/>
        <v>1</v>
      </c>
    </row>
    <row r="41" spans="1:29" ht="20.25">
      <c r="A41" s="594"/>
      <c r="B41" s="527" t="s">
        <v>553</v>
      </c>
      <c r="C41" s="599" t="s">
        <v>3021</v>
      </c>
      <c r="D41" s="575">
        <v>100</v>
      </c>
      <c r="E41" s="599" t="s">
        <v>3021</v>
      </c>
      <c r="F41" s="540">
        <f>SUMIF(121:121,E41,122:122)-SUMIF(121:121,C41,122:122)+100</f>
        <v>100</v>
      </c>
      <c r="G41" s="599" t="s">
        <v>3021</v>
      </c>
      <c r="H41" s="540">
        <f>SUMIF(121:121,G41,122:122)-SUMIF(121:121,C41,122:122)+100</f>
        <v>100</v>
      </c>
      <c r="I41" s="599" t="s">
        <v>3021</v>
      </c>
      <c r="J41" s="540">
        <f>SUMIF(121:121,I41,122:122)-SUMIF(121:121,C41,122:122)+100</f>
        <v>100</v>
      </c>
      <c r="K41" s="584">
        <v>2</v>
      </c>
      <c r="L41" s="2143"/>
      <c r="M41" s="2133"/>
      <c r="N41" s="2133"/>
      <c r="O41" s="2142"/>
      <c r="P41" s="3614"/>
      <c r="Q41" s="1572" t="str">
        <f t="shared" ref="Q41:Q47" si="14">B41</f>
        <v>宗地形状</v>
      </c>
      <c r="R41" s="1573" t="s">
        <v>8</v>
      </c>
      <c r="S41" s="1574">
        <f t="shared" si="10"/>
        <v>100</v>
      </c>
      <c r="T41" s="1573" t="s">
        <v>8</v>
      </c>
      <c r="U41" s="1574">
        <f t="shared" si="11"/>
        <v>100</v>
      </c>
      <c r="V41" s="1573" t="s">
        <v>8</v>
      </c>
      <c r="W41" s="1574">
        <f t="shared" si="12"/>
        <v>100</v>
      </c>
      <c r="X41" s="1567"/>
      <c r="Y41" s="3614"/>
      <c r="Z41" s="1575" t="str">
        <f t="shared" si="13"/>
        <v>宗地形状</v>
      </c>
      <c r="AA41" s="1576">
        <f t="shared" si="3"/>
        <v>1</v>
      </c>
      <c r="AB41" s="1576">
        <f t="shared" si="4"/>
        <v>1</v>
      </c>
      <c r="AC41" s="1576">
        <f t="shared" si="5"/>
        <v>1</v>
      </c>
    </row>
    <row r="42" spans="1:29" ht="20.25" hidden="1">
      <c r="A42" s="594"/>
      <c r="B42" s="527" t="s">
        <v>554</v>
      </c>
      <c r="C42" s="599"/>
      <c r="D42" s="575">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14"/>
      <c r="Q42" s="1572" t="str">
        <f t="shared" si="14"/>
        <v>临街宽度及深度</v>
      </c>
      <c r="R42" s="1573" t="s">
        <v>8</v>
      </c>
      <c r="S42" s="1574">
        <f t="shared" si="10"/>
        <v>100</v>
      </c>
      <c r="T42" s="1573" t="s">
        <v>8</v>
      </c>
      <c r="U42" s="1574">
        <f t="shared" si="11"/>
        <v>100</v>
      </c>
      <c r="V42" s="1573" t="s">
        <v>8</v>
      </c>
      <c r="W42" s="1574">
        <f t="shared" si="12"/>
        <v>100</v>
      </c>
      <c r="X42" s="1567"/>
      <c r="Y42" s="3614"/>
      <c r="Z42" s="1575" t="str">
        <f t="shared" si="13"/>
        <v>临街宽度及深度</v>
      </c>
      <c r="AA42" s="1576">
        <f t="shared" si="3"/>
        <v>1</v>
      </c>
      <c r="AB42" s="1576">
        <f t="shared" si="4"/>
        <v>1</v>
      </c>
      <c r="AC42" s="1576">
        <f t="shared" si="5"/>
        <v>1</v>
      </c>
    </row>
    <row r="43" spans="1:29" s="1220" customFormat="1" ht="20.25">
      <c r="A43" s="600"/>
      <c r="B43" s="1896" t="s">
        <v>2424</v>
      </c>
      <c r="C43" s="601"/>
      <c r="D43" s="863">
        <v>100</v>
      </c>
      <c r="E43" s="601"/>
      <c r="F43" s="540">
        <f>SUMIF(125:125,E43,126:126)-SUMIF(125:125,C43,126:126)+100</f>
        <v>100</v>
      </c>
      <c r="G43" s="601"/>
      <c r="H43" s="540">
        <f>SUMIF(125:125,G43,126:126)-SUMIF(125:125,C43,126:126)+100</f>
        <v>100</v>
      </c>
      <c r="I43" s="601"/>
      <c r="J43" s="540">
        <f>SUMIF(125:125,I43,126:126)-SUMIF(125:125,C43,126:126)+100</f>
        <v>100</v>
      </c>
      <c r="K43" s="584">
        <v>2</v>
      </c>
      <c r="L43" s="2136"/>
      <c r="M43" s="2133"/>
      <c r="N43" s="2133"/>
      <c r="O43" s="2138"/>
      <c r="P43" s="3614"/>
      <c r="Q43" s="1572" t="str">
        <f t="shared" si="14"/>
        <v>宗地开发程度</v>
      </c>
      <c r="R43" s="1568" t="s">
        <v>8</v>
      </c>
      <c r="S43" s="1569">
        <f t="shared" si="10"/>
        <v>100</v>
      </c>
      <c r="T43" s="1568" t="s">
        <v>8</v>
      </c>
      <c r="U43" s="1569">
        <f t="shared" si="11"/>
        <v>100</v>
      </c>
      <c r="V43" s="1568" t="s">
        <v>8</v>
      </c>
      <c r="W43" s="1569">
        <f t="shared" si="12"/>
        <v>100</v>
      </c>
      <c r="X43" s="1570"/>
      <c r="Y43" s="3614"/>
      <c r="Z43" s="1150" t="str">
        <f t="shared" si="13"/>
        <v>宗地开发程度</v>
      </c>
      <c r="AA43" s="1571">
        <f t="shared" si="3"/>
        <v>1</v>
      </c>
      <c r="AB43" s="1571">
        <f t="shared" si="4"/>
        <v>1</v>
      </c>
      <c r="AC43" s="1571">
        <f t="shared" si="5"/>
        <v>1</v>
      </c>
    </row>
    <row r="44" spans="1:29" ht="21" thickBot="1">
      <c r="A44" s="594"/>
      <c r="B44" s="527" t="s">
        <v>555</v>
      </c>
      <c r="C44" s="599" t="s">
        <v>3019</v>
      </c>
      <c r="D44" s="575">
        <v>100</v>
      </c>
      <c r="E44" s="3199" t="s">
        <v>3019</v>
      </c>
      <c r="F44" s="546">
        <f>SUMIF(127:127,E44,128:128)-SUMIF(127:127,C44,128:128)+100</f>
        <v>100</v>
      </c>
      <c r="G44" s="599" t="s">
        <v>3019</v>
      </c>
      <c r="H44" s="540">
        <f>SUMIF(127:127,G44,128:128)-SUMIF(127:127,C44,128:128)+100</f>
        <v>100</v>
      </c>
      <c r="I44" s="599" t="s">
        <v>3019</v>
      </c>
      <c r="J44" s="540">
        <f>SUMIF(127:127,I44,128:128)-SUMIF(127:127,C44,128:128)+100</f>
        <v>100</v>
      </c>
      <c r="K44" s="584">
        <v>2</v>
      </c>
      <c r="L44" s="2143"/>
      <c r="M44" s="2133"/>
      <c r="N44" s="2133"/>
      <c r="O44" s="2142"/>
      <c r="P44" s="3614" t="s">
        <v>550</v>
      </c>
      <c r="Q44" s="1572" t="str">
        <f t="shared" si="14"/>
        <v>工程地质条件</v>
      </c>
      <c r="R44" s="1573" t="s">
        <v>8</v>
      </c>
      <c r="S44" s="1574">
        <f t="shared" si="10"/>
        <v>100</v>
      </c>
      <c r="T44" s="1573" t="s">
        <v>8</v>
      </c>
      <c r="U44" s="1574">
        <f t="shared" si="11"/>
        <v>100</v>
      </c>
      <c r="V44" s="1573" t="s">
        <v>8</v>
      </c>
      <c r="W44" s="1574">
        <f t="shared" si="12"/>
        <v>100</v>
      </c>
      <c r="X44" s="1567"/>
      <c r="Y44" s="3614" t="s">
        <v>550</v>
      </c>
      <c r="Z44" s="1575" t="str">
        <f t="shared" si="13"/>
        <v>工程地质条件</v>
      </c>
      <c r="AA44" s="1576">
        <f t="shared" si="3"/>
        <v>1</v>
      </c>
      <c r="AB44" s="1576">
        <f t="shared" si="4"/>
        <v>1</v>
      </c>
      <c r="AC44" s="1576">
        <f t="shared" si="5"/>
        <v>1</v>
      </c>
    </row>
    <row r="45" spans="1:29" ht="20.25" hidden="1">
      <c r="A45" s="594"/>
      <c r="B45" s="602"/>
      <c r="C45" s="542"/>
      <c r="D45" s="540">
        <v>100</v>
      </c>
      <c r="E45" s="3205"/>
      <c r="F45" s="555">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14"/>
      <c r="Q45" s="1572">
        <f t="shared" si="14"/>
        <v>0</v>
      </c>
      <c r="R45" s="1573" t="s">
        <v>8</v>
      </c>
      <c r="S45" s="1574">
        <f t="shared" si="10"/>
        <v>100</v>
      </c>
      <c r="T45" s="1573" t="s">
        <v>8</v>
      </c>
      <c r="U45" s="1574">
        <f t="shared" si="11"/>
        <v>100</v>
      </c>
      <c r="V45" s="1573" t="s">
        <v>8</v>
      </c>
      <c r="W45" s="1574">
        <f t="shared" si="12"/>
        <v>100</v>
      </c>
      <c r="X45" s="1567"/>
      <c r="Y45" s="3614"/>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14"/>
      <c r="Q46" s="1572">
        <f t="shared" si="14"/>
        <v>0</v>
      </c>
      <c r="R46" s="1573" t="s">
        <v>8</v>
      </c>
      <c r="S46" s="1574">
        <f t="shared" si="10"/>
        <v>100</v>
      </c>
      <c r="T46" s="1573" t="s">
        <v>8</v>
      </c>
      <c r="U46" s="1574">
        <f t="shared" si="11"/>
        <v>100</v>
      </c>
      <c r="V46" s="1573" t="s">
        <v>8</v>
      </c>
      <c r="W46" s="1574">
        <f t="shared" si="12"/>
        <v>100</v>
      </c>
      <c r="X46" s="1567"/>
      <c r="Y46" s="3614"/>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14"/>
      <c r="Q47" s="1572">
        <f t="shared" si="14"/>
        <v>0</v>
      </c>
      <c r="R47" s="1577" t="s">
        <v>8</v>
      </c>
      <c r="S47" s="1578">
        <f t="shared" si="10"/>
        <v>100</v>
      </c>
      <c r="T47" s="1577" t="s">
        <v>8</v>
      </c>
      <c r="U47" s="1578">
        <f t="shared" si="11"/>
        <v>100</v>
      </c>
      <c r="V47" s="1577" t="s">
        <v>8</v>
      </c>
      <c r="W47" s="1578">
        <f t="shared" si="12"/>
        <v>100</v>
      </c>
      <c r="X47" s="1579"/>
      <c r="Y47" s="3614"/>
      <c r="Z47" s="1580">
        <f t="shared" si="13"/>
        <v>0</v>
      </c>
      <c r="AA47" s="1576">
        <f t="shared" si="3"/>
        <v>1</v>
      </c>
      <c r="AB47" s="1576">
        <f t="shared" si="4"/>
        <v>1</v>
      </c>
      <c r="AC47" s="1576">
        <f t="shared" si="5"/>
        <v>1</v>
      </c>
    </row>
    <row r="48" spans="1:29" ht="20.25">
      <c r="A48" s="607" t="s">
        <v>556</v>
      </c>
      <c r="B48" s="608" t="s">
        <v>2974</v>
      </c>
      <c r="C48" s="609" t="s">
        <v>1</v>
      </c>
      <c r="D48" s="610"/>
      <c r="E48" s="611">
        <v>3916</v>
      </c>
      <c r="F48" s="612"/>
      <c r="G48" s="613">
        <v>3509</v>
      </c>
      <c r="H48" s="614"/>
      <c r="I48" s="611">
        <v>2535</v>
      </c>
      <c r="J48" s="614"/>
      <c r="K48" s="1340"/>
      <c r="L48" s="2145"/>
      <c r="M48" s="2133"/>
      <c r="N48" s="2133"/>
      <c r="O48" s="2146"/>
      <c r="P48" s="3575" t="str">
        <f>A48</f>
        <v>成交单价</v>
      </c>
      <c r="Q48" s="3575"/>
      <c r="R48" s="3576">
        <f>E48</f>
        <v>3916</v>
      </c>
      <c r="S48" s="3576"/>
      <c r="T48" s="3576">
        <f>G48</f>
        <v>3509</v>
      </c>
      <c r="U48" s="3576"/>
      <c r="V48" s="3576">
        <f>I48</f>
        <v>2535</v>
      </c>
      <c r="W48" s="3576"/>
      <c r="X48" s="1559"/>
      <c r="Y48" s="1581"/>
      <c r="Z48" s="1559"/>
      <c r="AA48" s="1559"/>
      <c r="AB48" s="1559"/>
      <c r="AC48" s="1559"/>
    </row>
    <row r="49" spans="1:29" ht="21" thickBot="1">
      <c r="A49" s="615" t="s">
        <v>2692</v>
      </c>
      <c r="B49" s="616"/>
      <c r="C49" s="617">
        <f>R50</f>
        <v>3276</v>
      </c>
      <c r="D49" s="618"/>
      <c r="E49" s="617">
        <f>R49</f>
        <v>3771</v>
      </c>
      <c r="F49" s="619"/>
      <c r="G49" s="620">
        <f>T49</f>
        <v>3512</v>
      </c>
      <c r="H49" s="618"/>
      <c r="I49" s="617">
        <f>V49</f>
        <v>2544</v>
      </c>
      <c r="J49" s="618"/>
      <c r="K49" s="1341"/>
      <c r="L49" s="2145"/>
      <c r="M49" s="2133"/>
      <c r="N49" s="2133"/>
      <c r="O49" s="2146"/>
      <c r="P49" s="3575" t="str">
        <f>A49</f>
        <v>比较价格（元/平方米）</v>
      </c>
      <c r="Q49" s="3575"/>
      <c r="R49" s="3577">
        <f>ROUND(PRODUCT(R48,AA9:AA47),0)</f>
        <v>3771</v>
      </c>
      <c r="S49" s="3577"/>
      <c r="T49" s="3577">
        <f>ROUND(PRODUCT(T48,AB9:AB47),0)</f>
        <v>3512</v>
      </c>
      <c r="U49" s="3577"/>
      <c r="V49" s="3577">
        <f>ROUND(PRODUCT(V48,AC9:AC47),0)</f>
        <v>2544</v>
      </c>
      <c r="W49" s="3577"/>
      <c r="X49" s="1559"/>
      <c r="Y49" s="1559"/>
      <c r="Z49" s="1559"/>
      <c r="AA49" s="1559"/>
      <c r="AB49" s="1559"/>
      <c r="AC49" s="1559"/>
    </row>
    <row r="50" spans="1:29" ht="21" thickBot="1">
      <c r="A50" s="621" t="s">
        <v>2926</v>
      </c>
      <c r="B50" s="622"/>
      <c r="C50" s="623">
        <f>R50</f>
        <v>3276</v>
      </c>
      <c r="D50" s="623"/>
      <c r="E50" s="623"/>
      <c r="F50" s="623"/>
      <c r="G50" s="623"/>
      <c r="H50" s="623"/>
      <c r="I50" s="623"/>
      <c r="J50" s="623"/>
      <c r="K50" s="1342"/>
      <c r="L50" s="2145"/>
      <c r="M50" s="2133"/>
      <c r="N50" s="2133"/>
      <c r="O50" s="2146"/>
      <c r="P50" s="3572" t="str">
        <f>A50</f>
        <v>估价对象XX用房的比较价格（楼面单价，元/平方米）</v>
      </c>
      <c r="Q50" s="3573"/>
      <c r="R50" s="3574">
        <f>ROUND(AVERAGE(R49:V49),0)</f>
        <v>3276</v>
      </c>
      <c r="S50" s="3574"/>
      <c r="T50" s="3574"/>
      <c r="U50" s="3574"/>
      <c r="V50" s="3574"/>
      <c r="W50" s="3574"/>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3.8451339167329568E-2</v>
      </c>
      <c r="F53" s="627" t="str">
        <f>IF(OR(E53&gt;=0.3,E53&lt;=-0.3),"超过30%","")</f>
        <v/>
      </c>
      <c r="G53" s="626">
        <f>IF(G48&lt;G49,G49/G48-1,G48/G49-1)</f>
        <v>8.5494442861211439E-4</v>
      </c>
      <c r="H53" s="627" t="str">
        <f>IF(OR(G53&gt;=0.3,G53&lt;=-0.3),"超过30%","")</f>
        <v/>
      </c>
      <c r="I53" s="626">
        <f>IF(I48&lt;I49,I49/I48-1,I48/I49-1)</f>
        <v>3.5502958579882726E-3</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7.3747152619590084E-2</v>
      </c>
      <c r="F54" s="627" t="str">
        <f>IF(OR(E54&gt;=0.2,E54&lt;=-0.2),"超过20%","")</f>
        <v/>
      </c>
      <c r="G54" s="626">
        <f>IF(G49&lt;I49,I49/G49-1,G49/I49-1)</f>
        <v>0.38050314465408808</v>
      </c>
      <c r="H54" s="627" t="str">
        <f>IF(OR(G54&gt;=0.2,G54&lt;=-0.2),"超过20%","")</f>
        <v>超过20%</v>
      </c>
      <c r="I54" s="626">
        <f>IF(I49&lt;E49,E49/I49-1,I49/E49-1)</f>
        <v>0.48231132075471694</v>
      </c>
      <c r="J54" s="627" t="str">
        <f>IF(OR(I54&gt;=0.2,I54&lt;=-0.2),"超过20%","")</f>
        <v>超过20%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0.11598746081504707</v>
      </c>
      <c r="F55" s="627" t="str">
        <f>IF(OR(E55&gt;=0.3,E55&lt;=-0.3),"超过30%","")</f>
        <v/>
      </c>
      <c r="G55" s="626">
        <f>IF(G48&lt;I48,I48/G48-1,G48/I48-1)</f>
        <v>0.38422090729783043</v>
      </c>
      <c r="H55" s="627" t="str">
        <f>IF(OR(G55&gt;=0.3,G55&lt;=-0.3),"超过30%","")</f>
        <v>超过30%</v>
      </c>
      <c r="I55" s="626">
        <f>IF(I48&lt;E48,E48/I48-1,I48/E48-1)</f>
        <v>0.54477317554240634</v>
      </c>
      <c r="J55" s="627" t="str">
        <f>IF(OR(I55&gt;=0.3,I55&lt;=-0.3),"超过30%","")</f>
        <v>超过30%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2294</v>
      </c>
      <c r="E57" s="631" t="s">
        <v>562</v>
      </c>
      <c r="F57" s="632" t="s">
        <v>563</v>
      </c>
      <c r="G57" s="3603" t="s">
        <v>2282</v>
      </c>
      <c r="H57" s="3604"/>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3276</v>
      </c>
      <c r="C58" s="635">
        <v>1</v>
      </c>
      <c r="D58" s="2229">
        <v>1</v>
      </c>
      <c r="E58" s="635">
        <f>'数据-汇总表'!E8+'数据-汇总表'!E9</f>
        <v>125045.5</v>
      </c>
      <c r="F58" s="636">
        <f t="shared" ref="F58:F67" si="15">ROUND(B58*E58/10000,0)</f>
        <v>40965</v>
      </c>
      <c r="G58" s="3605"/>
      <c r="H58" s="360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607"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607"/>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607"/>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607"/>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16614.109999999997</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141659.60999999999</v>
      </c>
      <c r="F68" s="644">
        <f>IF(B48="楼面地价",SUM(F58:F67),ROUND(C50*E68/10000,0))</f>
        <v>40965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2532</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922</v>
      </c>
      <c r="B73" s="479" t="str">
        <f>"北京市平均增长率"&amp;TEXT(SUMIF(基准地价!N21:N25,A73,基准地价!P21:P25),"0.00%")</f>
        <v>北京市平均增长率2.50%</v>
      </c>
      <c r="C73" s="894">
        <v>100</v>
      </c>
      <c r="D73" s="3192">
        <f>C73-$C$74</f>
        <v>99</v>
      </c>
      <c r="E73" s="3192">
        <f t="shared" ref="E73:N73" si="20">D73-$C$74</f>
        <v>98</v>
      </c>
      <c r="F73" s="3192">
        <f t="shared" si="20"/>
        <v>97</v>
      </c>
      <c r="G73" s="3192">
        <f t="shared" si="20"/>
        <v>96</v>
      </c>
      <c r="H73" s="3192">
        <f t="shared" si="20"/>
        <v>95</v>
      </c>
      <c r="I73" s="3192">
        <f t="shared" si="20"/>
        <v>94</v>
      </c>
      <c r="J73" s="3192">
        <f t="shared" si="20"/>
        <v>93</v>
      </c>
      <c r="K73" s="3192">
        <f t="shared" si="20"/>
        <v>92</v>
      </c>
      <c r="L73" s="3192">
        <f t="shared" si="20"/>
        <v>91</v>
      </c>
      <c r="M73" s="3192">
        <f t="shared" si="20"/>
        <v>90</v>
      </c>
      <c r="N73" s="3192">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2646</v>
      </c>
      <c r="B74" s="2830"/>
      <c r="C74" s="2815">
        <v>1</v>
      </c>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57">
      <c r="A77" s="664" t="s">
        <v>577</v>
      </c>
      <c r="B77" s="665" t="s">
        <v>534</v>
      </c>
      <c r="C77" s="3193"/>
      <c r="D77" s="3193" t="str">
        <f>土地案例!D2</f>
        <v>住宅、商业</v>
      </c>
      <c r="E77" s="598" t="str">
        <f>土地案例!D3</f>
        <v>其他普通商品住房用地</v>
      </c>
      <c r="F77" s="598" t="str">
        <f>土地案例!D4</f>
        <v>城镇住宅用地兼容其它商服用地</v>
      </c>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v>100</v>
      </c>
      <c r="E78" s="671">
        <v>100</v>
      </c>
      <c r="F78" s="671">
        <v>100</v>
      </c>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29.25" thickTop="1">
      <c r="A81" s="669"/>
      <c r="B81" s="681" t="s">
        <v>538</v>
      </c>
      <c r="C81" s="682" t="str">
        <f>C82&amp;"（含）"&amp;"-"&amp;D82</f>
        <v>1（含）-2</v>
      </c>
      <c r="D81" s="682" t="str">
        <f t="shared" ref="D81:L81" si="21">D82&amp;"（含）"&amp;"-"&amp;E82</f>
        <v>2（含）-3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2</v>
      </c>
      <c r="E82" s="541">
        <v>3</v>
      </c>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2550</v>
      </c>
      <c r="C104" s="2623" t="s">
        <v>2551</v>
      </c>
      <c r="D104" s="2623" t="s">
        <v>2552</v>
      </c>
      <c r="E104" s="2623" t="s">
        <v>2553</v>
      </c>
      <c r="F104" s="2623" t="s">
        <v>2554</v>
      </c>
      <c r="G104" s="2623"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94" t="s">
        <v>3012</v>
      </c>
      <c r="D108" s="3194" t="s">
        <v>3014</v>
      </c>
      <c r="E108" s="3194" t="s">
        <v>3015</v>
      </c>
      <c r="F108" s="3194" t="s">
        <v>3016</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117" t="str">
        <f t="shared" si="26"/>
        <v>(含)-</v>
      </c>
      <c r="K118" s="3117" t="str">
        <f t="shared" si="26"/>
        <v>(含)-</v>
      </c>
      <c r="L118" s="3118" t="str">
        <f t="shared" si="26"/>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6" t="s">
        <v>3022</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5" t="s">
        <v>3023</v>
      </c>
      <c r="D125" s="1375" t="s">
        <v>3517</v>
      </c>
      <c r="E125" s="1375" t="s">
        <v>3518</v>
      </c>
      <c r="F125" s="1375" t="s">
        <v>3519</v>
      </c>
      <c r="G125" s="1375" t="s">
        <v>3520</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94" t="s">
        <v>3024</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6" sqref="I6:L6"/>
    </sheetView>
  </sheetViews>
  <sheetFormatPr defaultColWidth="8.875" defaultRowHeight="14.25"/>
  <cols>
    <col min="1" max="1" width="13.37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581" t="s">
        <v>522</v>
      </c>
      <c r="D6" s="3582"/>
      <c r="E6" s="3618" t="s">
        <v>523</v>
      </c>
      <c r="F6" s="3619"/>
      <c r="G6" s="3581" t="s">
        <v>524</v>
      </c>
      <c r="H6" s="3582"/>
      <c r="I6" s="3581" t="s">
        <v>525</v>
      </c>
      <c r="J6" s="3582"/>
      <c r="K6" s="514" t="s">
        <v>526</v>
      </c>
      <c r="L6" s="2134"/>
      <c r="M6" s="2135"/>
      <c r="N6" s="2135"/>
      <c r="O6" s="2135"/>
      <c r="P6" s="3583" t="s">
        <v>527</v>
      </c>
      <c r="Q6" s="3584"/>
      <c r="R6" s="3589" t="s">
        <v>523</v>
      </c>
      <c r="S6" s="3590"/>
      <c r="T6" s="3589" t="s">
        <v>524</v>
      </c>
      <c r="U6" s="3590"/>
      <c r="V6" s="3576" t="s">
        <v>525</v>
      </c>
      <c r="W6" s="3576"/>
      <c r="X6" s="1567"/>
      <c r="Y6" s="3589" t="s">
        <v>527</v>
      </c>
      <c r="Z6" s="3590"/>
      <c r="AA6" s="3578" t="s">
        <v>523</v>
      </c>
      <c r="AB6" s="3579" t="s">
        <v>524</v>
      </c>
      <c r="AC6" s="3578" t="s">
        <v>525</v>
      </c>
    </row>
    <row r="7" spans="1:29" ht="15">
      <c r="A7" s="515"/>
      <c r="B7" s="516"/>
      <c r="C7" s="3599" t="s">
        <v>2920</v>
      </c>
      <c r="D7" s="3598"/>
      <c r="E7" s="3620" t="s">
        <v>2921</v>
      </c>
      <c r="F7" s="3621"/>
      <c r="G7" s="3599" t="s">
        <v>2922</v>
      </c>
      <c r="H7" s="3598"/>
      <c r="I7" s="3599" t="s">
        <v>2923</v>
      </c>
      <c r="J7" s="3598"/>
      <c r="K7" s="514"/>
      <c r="L7" s="2134"/>
      <c r="M7" s="2135"/>
      <c r="N7" s="2135"/>
      <c r="O7" s="2135"/>
      <c r="P7" s="3585"/>
      <c r="Q7" s="3586"/>
      <c r="R7" s="3591"/>
      <c r="S7" s="3592"/>
      <c r="T7" s="3591"/>
      <c r="U7" s="3592"/>
      <c r="V7" s="3576"/>
      <c r="W7" s="3576"/>
      <c r="X7" s="1567"/>
      <c r="Y7" s="3591"/>
      <c r="Z7" s="3592"/>
      <c r="AA7" s="3579"/>
      <c r="AB7" s="3579"/>
      <c r="AC7" s="3579"/>
    </row>
    <row r="8" spans="1:29" ht="15.75" thickBot="1">
      <c r="A8" s="517"/>
      <c r="B8" s="518"/>
      <c r="C8" s="3615" t="s">
        <v>2924</v>
      </c>
      <c r="D8" s="3596"/>
      <c r="E8" s="3616" t="s">
        <v>2924</v>
      </c>
      <c r="F8" s="3617"/>
      <c r="G8" s="3615" t="s">
        <v>2924</v>
      </c>
      <c r="H8" s="3596"/>
      <c r="I8" s="3615" t="s">
        <v>2924</v>
      </c>
      <c r="J8" s="3596"/>
      <c r="K8" s="514" t="s">
        <v>528</v>
      </c>
      <c r="L8" s="2134"/>
      <c r="M8" s="2135"/>
      <c r="N8" s="2135"/>
      <c r="O8" s="2135"/>
      <c r="P8" s="3587"/>
      <c r="Q8" s="3588"/>
      <c r="R8" s="3591"/>
      <c r="S8" s="3592"/>
      <c r="T8" s="3593"/>
      <c r="U8" s="3594"/>
      <c r="V8" s="3576"/>
      <c r="W8" s="3576"/>
      <c r="X8" s="1567"/>
      <c r="Y8" s="3593"/>
      <c r="Z8" s="3594"/>
      <c r="AA8" s="3580"/>
      <c r="AB8" s="3580"/>
      <c r="AC8" s="3580"/>
    </row>
    <row r="9" spans="1:29" s="1220" customFormat="1" ht="15.75" thickBot="1">
      <c r="A9" s="2937"/>
      <c r="B9" s="2944" t="s">
        <v>529</v>
      </c>
      <c r="C9" s="519">
        <f>'数据-取费表'!B2</f>
        <v>43236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08" t="s">
        <v>530</v>
      </c>
      <c r="Q9" s="3610"/>
      <c r="R9" s="1568" t="s">
        <v>8</v>
      </c>
      <c r="S9" s="1569">
        <f t="shared" ref="S9:S17" si="0">F9</f>
        <v>0</v>
      </c>
      <c r="T9" s="1568" t="s">
        <v>8</v>
      </c>
      <c r="U9" s="1569">
        <f t="shared" ref="U9:U17" si="1">H9</f>
        <v>0</v>
      </c>
      <c r="V9" s="1568" t="s">
        <v>8</v>
      </c>
      <c r="W9" s="1569">
        <f t="shared" ref="W9:W17" si="2">J9</f>
        <v>0</v>
      </c>
      <c r="X9" s="1570"/>
      <c r="Y9" s="3608" t="s">
        <v>530</v>
      </c>
      <c r="Z9" s="3609"/>
      <c r="AA9" s="1571" t="e">
        <f>D9/F9</f>
        <v>#DIV/0!</v>
      </c>
      <c r="AB9" s="1571" t="e">
        <f>D9/H9</f>
        <v>#DIV/0!</v>
      </c>
      <c r="AC9" s="1571"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08" t="s">
        <v>533</v>
      </c>
      <c r="Q10" s="3609"/>
      <c r="R10" s="1568" t="s">
        <v>8</v>
      </c>
      <c r="S10" s="1569">
        <f t="shared" si="0"/>
        <v>0</v>
      </c>
      <c r="T10" s="1568" t="s">
        <v>8</v>
      </c>
      <c r="U10" s="1569">
        <f t="shared" si="1"/>
        <v>0</v>
      </c>
      <c r="V10" s="1568" t="s">
        <v>8</v>
      </c>
      <c r="W10" s="1569">
        <f t="shared" si="2"/>
        <v>0</v>
      </c>
      <c r="X10" s="1570"/>
      <c r="Y10" s="3608" t="s">
        <v>533</v>
      </c>
      <c r="Z10" s="3609"/>
      <c r="AA10" s="1571" t="e">
        <f t="shared" ref="AA10:AA42" si="3">D10/F10</f>
        <v>#DIV/0!</v>
      </c>
      <c r="AB10" s="1571" t="e">
        <f t="shared" ref="AB10:AB42" si="4">D10/H10</f>
        <v>#DIV/0!</v>
      </c>
      <c r="AC10" s="1571" t="e">
        <f t="shared" ref="AC10:AC42" si="5">D10/J10</f>
        <v>#DIV/0!</v>
      </c>
    </row>
    <row r="11" spans="1:29" s="1220" customFormat="1" ht="15">
      <c r="A11" s="2939"/>
      <c r="B11" s="2946"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575" t="s">
        <v>535</v>
      </c>
      <c r="Q11" s="1151" t="str">
        <f t="shared" ref="Q11:Q17" si="6">B11</f>
        <v>用途</v>
      </c>
      <c r="R11" s="1568" t="s">
        <v>8</v>
      </c>
      <c r="S11" s="1569">
        <f t="shared" si="0"/>
        <v>100</v>
      </c>
      <c r="T11" s="1568" t="s">
        <v>8</v>
      </c>
      <c r="U11" s="1569">
        <f t="shared" si="1"/>
        <v>100</v>
      </c>
      <c r="V11" s="1568" t="s">
        <v>8</v>
      </c>
      <c r="W11" s="1569">
        <f t="shared" si="2"/>
        <v>100</v>
      </c>
      <c r="X11" s="1570"/>
      <c r="Y11" s="3521" t="s">
        <v>536</v>
      </c>
      <c r="Z11" s="1150" t="str">
        <f t="shared" ref="Z11:Z17" si="7">Q11</f>
        <v>用途</v>
      </c>
      <c r="AA11" s="1571">
        <f t="shared" si="3"/>
        <v>1</v>
      </c>
      <c r="AB11" s="1571">
        <f t="shared" si="4"/>
        <v>1</v>
      </c>
      <c r="AC11" s="1571">
        <f t="shared" si="5"/>
        <v>1</v>
      </c>
    </row>
    <row r="12" spans="1:29" s="1338" customFormat="1" ht="27">
      <c r="A12" s="2940"/>
      <c r="B12" s="2945" t="s">
        <v>2756</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575"/>
      <c r="Q12" s="1151" t="str">
        <f t="shared" si="6"/>
        <v>土地使用年限（年）</v>
      </c>
      <c r="R12" s="1568" t="s">
        <v>8</v>
      </c>
      <c r="S12" s="1569">
        <f t="shared" si="0"/>
        <v>100</v>
      </c>
      <c r="T12" s="1568" t="s">
        <v>8</v>
      </c>
      <c r="U12" s="1569">
        <f t="shared" si="1"/>
        <v>100</v>
      </c>
      <c r="V12" s="1568" t="s">
        <v>8</v>
      </c>
      <c r="W12" s="1569">
        <f t="shared" si="2"/>
        <v>100</v>
      </c>
      <c r="X12" s="1570"/>
      <c r="Y12" s="3521"/>
      <c r="Z12" s="1150" t="str">
        <f t="shared" si="7"/>
        <v>土地使用年限（年）</v>
      </c>
      <c r="AA12" s="1571">
        <f t="shared" si="3"/>
        <v>1</v>
      </c>
      <c r="AB12" s="1571">
        <f t="shared" si="4"/>
        <v>1</v>
      </c>
      <c r="AC12" s="1571">
        <f t="shared" si="5"/>
        <v>1</v>
      </c>
    </row>
    <row r="13" spans="1:29" ht="15">
      <c r="A13" s="2941"/>
      <c r="B13" s="294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575"/>
      <c r="Q13" s="1151" t="str">
        <f t="shared" si="6"/>
        <v>容积率</v>
      </c>
      <c r="R13" s="1568" t="s">
        <v>8</v>
      </c>
      <c r="S13" s="1569" t="e">
        <f t="shared" si="0"/>
        <v>#N/A</v>
      </c>
      <c r="T13" s="1568" t="s">
        <v>8</v>
      </c>
      <c r="U13" s="1569" t="e">
        <f t="shared" si="1"/>
        <v>#N/A</v>
      </c>
      <c r="V13" s="1568" t="s">
        <v>8</v>
      </c>
      <c r="W13" s="1569" t="e">
        <f t="shared" si="2"/>
        <v>#N/A</v>
      </c>
      <c r="X13" s="1570"/>
      <c r="Y13" s="3521"/>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575"/>
      <c r="Q14" s="1151">
        <f t="shared" si="6"/>
        <v>111</v>
      </c>
      <c r="R14" s="1568" t="s">
        <v>8</v>
      </c>
      <c r="S14" s="1569">
        <f t="shared" si="0"/>
        <v>100</v>
      </c>
      <c r="T14" s="1568" t="s">
        <v>8</v>
      </c>
      <c r="U14" s="1569">
        <f t="shared" si="1"/>
        <v>100</v>
      </c>
      <c r="V14" s="1568" t="s">
        <v>8</v>
      </c>
      <c r="W14" s="1569">
        <f t="shared" si="2"/>
        <v>100</v>
      </c>
      <c r="X14" s="1570"/>
      <c r="Y14" s="3521"/>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575"/>
      <c r="Q15" s="1151">
        <f t="shared" si="6"/>
        <v>111</v>
      </c>
      <c r="R15" s="1568" t="s">
        <v>8</v>
      </c>
      <c r="S15" s="1569">
        <f t="shared" si="0"/>
        <v>100</v>
      </c>
      <c r="T15" s="1568" t="s">
        <v>8</v>
      </c>
      <c r="U15" s="1569">
        <f t="shared" si="1"/>
        <v>100</v>
      </c>
      <c r="V15" s="1568" t="s">
        <v>8</v>
      </c>
      <c r="W15" s="1569">
        <f t="shared" si="2"/>
        <v>100</v>
      </c>
      <c r="X15" s="1570"/>
      <c r="Y15" s="3521"/>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575"/>
      <c r="Q16" s="1151">
        <f t="shared" si="6"/>
        <v>111</v>
      </c>
      <c r="R16" s="1568" t="s">
        <v>8</v>
      </c>
      <c r="S16" s="1569">
        <f t="shared" si="0"/>
        <v>100</v>
      </c>
      <c r="T16" s="1568" t="s">
        <v>8</v>
      </c>
      <c r="U16" s="1569">
        <f t="shared" si="1"/>
        <v>100</v>
      </c>
      <c r="V16" s="1568" t="s">
        <v>8</v>
      </c>
      <c r="W16" s="1569">
        <f t="shared" si="2"/>
        <v>100</v>
      </c>
      <c r="X16" s="1570"/>
      <c r="Y16" s="3521"/>
      <c r="Z16" s="1150">
        <f t="shared" si="7"/>
        <v>111</v>
      </c>
      <c r="AA16" s="1571">
        <f t="shared" si="3"/>
        <v>1</v>
      </c>
      <c r="AB16" s="1571">
        <f t="shared" si="4"/>
        <v>1</v>
      </c>
      <c r="AC16" s="1571">
        <f t="shared" si="5"/>
        <v>1</v>
      </c>
    </row>
    <row r="17" spans="1:29" ht="15">
      <c r="A17" s="2935" t="s">
        <v>2753</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11" t="s">
        <v>540</v>
      </c>
      <c r="Q17" s="1572" t="str">
        <f t="shared" si="6"/>
        <v>产业集聚程度</v>
      </c>
      <c r="R17" s="1573" t="s">
        <v>8</v>
      </c>
      <c r="S17" s="1574">
        <f t="shared" si="0"/>
        <v>100</v>
      </c>
      <c r="T17" s="1573" t="s">
        <v>8</v>
      </c>
      <c r="U17" s="1574">
        <f t="shared" si="1"/>
        <v>100</v>
      </c>
      <c r="V17" s="1573" t="s">
        <v>8</v>
      </c>
      <c r="W17" s="1574">
        <f t="shared" si="2"/>
        <v>100</v>
      </c>
      <c r="X17" s="1567"/>
      <c r="Y17" s="361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12"/>
      <c r="Q18" s="1572"/>
      <c r="R18" s="1573"/>
      <c r="S18" s="1574"/>
      <c r="T18" s="1573"/>
      <c r="U18" s="1574"/>
      <c r="V18" s="1573"/>
      <c r="W18" s="1574"/>
      <c r="X18" s="1567"/>
      <c r="Y18" s="3612"/>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12"/>
      <c r="Q19" s="1572" t="str">
        <f>B19</f>
        <v>交通便捷度</v>
      </c>
      <c r="R19" s="1573" t="s">
        <v>8</v>
      </c>
      <c r="S19" s="1574">
        <f>F19</f>
        <v>100</v>
      </c>
      <c r="T19" s="1573" t="s">
        <v>8</v>
      </c>
      <c r="U19" s="1574">
        <f>H19</f>
        <v>100</v>
      </c>
      <c r="V19" s="1573" t="s">
        <v>8</v>
      </c>
      <c r="W19" s="1574">
        <f>J19</f>
        <v>100</v>
      </c>
      <c r="X19" s="1567"/>
      <c r="Y19" s="3612"/>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612"/>
      <c r="Q20" s="1572"/>
      <c r="R20" s="1573"/>
      <c r="S20" s="1574"/>
      <c r="T20" s="1573"/>
      <c r="U20" s="1574"/>
      <c r="V20" s="1573"/>
      <c r="W20" s="1574"/>
      <c r="X20" s="1567"/>
      <c r="Y20" s="361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612"/>
      <c r="Q21" s="1572" t="str">
        <f t="shared" ref="Q21:Q35" si="8">B21</f>
        <v>区域土地利用方向</v>
      </c>
      <c r="R21" s="1573" t="s">
        <v>8</v>
      </c>
      <c r="S21" s="1574">
        <f>F21</f>
        <v>100</v>
      </c>
      <c r="T21" s="1573" t="s">
        <v>8</v>
      </c>
      <c r="U21" s="1574">
        <f>H21</f>
        <v>100</v>
      </c>
      <c r="V21" s="1573" t="s">
        <v>8</v>
      </c>
      <c r="W21" s="1574">
        <f>J21</f>
        <v>100</v>
      </c>
      <c r="X21" s="1567"/>
      <c r="Y21" s="361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612"/>
      <c r="Q22" s="1572"/>
      <c r="R22" s="1573"/>
      <c r="S22" s="1574"/>
      <c r="T22" s="1573"/>
      <c r="U22" s="1574"/>
      <c r="V22" s="1573"/>
      <c r="W22" s="1574"/>
      <c r="X22" s="1567"/>
      <c r="Y22" s="3612"/>
      <c r="Z22" s="1575"/>
      <c r="AA22" s="1576"/>
      <c r="AB22" s="1576"/>
      <c r="AC22" s="1576"/>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12"/>
      <c r="Q23" s="1572" t="str">
        <f t="shared" si="8"/>
        <v>环境状况</v>
      </c>
      <c r="R23" s="1573" t="s">
        <v>8</v>
      </c>
      <c r="S23" s="1574">
        <f>F23</f>
        <v>100</v>
      </c>
      <c r="T23" s="1573" t="s">
        <v>8</v>
      </c>
      <c r="U23" s="1574">
        <f>H23</f>
        <v>100</v>
      </c>
      <c r="V23" s="1573" t="s">
        <v>8</v>
      </c>
      <c r="W23" s="1574">
        <f>J23</f>
        <v>100</v>
      </c>
      <c r="X23" s="1567"/>
      <c r="Y23" s="361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12"/>
      <c r="Q24" s="1572"/>
      <c r="R24" s="1573"/>
      <c r="S24" s="1574"/>
      <c r="T24" s="1573"/>
      <c r="U24" s="1574"/>
      <c r="V24" s="1573"/>
      <c r="W24" s="1574"/>
      <c r="X24" s="1567"/>
      <c r="Y24" s="3612"/>
      <c r="Z24" s="1575"/>
      <c r="AA24" s="1576">
        <v>1</v>
      </c>
      <c r="AB24" s="1576">
        <v>1</v>
      </c>
      <c r="AC24" s="1576">
        <v>1</v>
      </c>
    </row>
    <row r="25" spans="1:29" s="1220" customFormat="1" ht="15">
      <c r="A25" s="577"/>
      <c r="B25" s="2618" t="s">
        <v>2548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12"/>
      <c r="Q25" s="1151" t="str">
        <f t="shared" si="8"/>
        <v>公共配套设施</v>
      </c>
      <c r="R25" s="1568" t="s">
        <v>8</v>
      </c>
      <c r="S25" s="1569">
        <f>F25</f>
        <v>100</v>
      </c>
      <c r="T25" s="1568" t="s">
        <v>8</v>
      </c>
      <c r="U25" s="1569">
        <f>H25</f>
        <v>100</v>
      </c>
      <c r="V25" s="1568" t="s">
        <v>8</v>
      </c>
      <c r="W25" s="1569">
        <f>J25</f>
        <v>100</v>
      </c>
      <c r="X25" s="1570"/>
      <c r="Y25" s="3612"/>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612"/>
      <c r="Q26" s="1151"/>
      <c r="R26" s="1568"/>
      <c r="S26" s="1569"/>
      <c r="T26" s="1568"/>
      <c r="U26" s="1569"/>
      <c r="V26" s="1568"/>
      <c r="W26" s="1569"/>
      <c r="X26" s="1570"/>
      <c r="Y26" s="3612"/>
      <c r="Z26" s="1150"/>
      <c r="AA26" s="1571">
        <v>1</v>
      </c>
      <c r="AB26" s="1571">
        <v>1</v>
      </c>
      <c r="AC26" s="1571">
        <v>1</v>
      </c>
    </row>
    <row r="27" spans="1:29" s="1220" customFormat="1" ht="15">
      <c r="A27" s="577"/>
      <c r="B27" s="2618" t="s">
        <v>2549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12"/>
      <c r="Q27" s="2603" t="str">
        <f t="shared" ref="Q27" si="9">B27</f>
        <v>基础设施水平</v>
      </c>
      <c r="R27" s="1568" t="s">
        <v>8</v>
      </c>
      <c r="S27" s="1569">
        <f>F27</f>
        <v>100</v>
      </c>
      <c r="T27" s="1568" t="s">
        <v>8</v>
      </c>
      <c r="U27" s="1569">
        <f>H27</f>
        <v>100</v>
      </c>
      <c r="V27" s="1568" t="s">
        <v>8</v>
      </c>
      <c r="W27" s="1569">
        <f>J27</f>
        <v>100</v>
      </c>
      <c r="X27" s="1570"/>
      <c r="Y27" s="3612"/>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612"/>
      <c r="Q28" s="2603"/>
      <c r="R28" s="1568"/>
      <c r="S28" s="1569"/>
      <c r="T28" s="1568"/>
      <c r="U28" s="1569"/>
      <c r="V28" s="1568"/>
      <c r="W28" s="1569"/>
      <c r="X28" s="1570"/>
      <c r="Y28" s="3612"/>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1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12"/>
      <c r="Z29" s="1575" t="str">
        <f t="shared" ref="Z29:Z42" si="13">Q29</f>
        <v>临街状况</v>
      </c>
      <c r="AA29" s="1576">
        <f t="shared" si="3"/>
        <v>1</v>
      </c>
      <c r="AB29" s="1576">
        <f t="shared" si="4"/>
        <v>1</v>
      </c>
      <c r="AC29" s="1576">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12"/>
      <c r="Q30" s="1572" t="str">
        <f t="shared" si="8"/>
        <v>毗邻道路的类型与等级</v>
      </c>
      <c r="R30" s="1573" t="s">
        <v>8</v>
      </c>
      <c r="S30" s="1574">
        <f t="shared" si="10"/>
        <v>100</v>
      </c>
      <c r="T30" s="1573" t="s">
        <v>8</v>
      </c>
      <c r="U30" s="1574">
        <f t="shared" si="11"/>
        <v>100</v>
      </c>
      <c r="V30" s="1573" t="s">
        <v>8</v>
      </c>
      <c r="W30" s="1574">
        <f t="shared" si="12"/>
        <v>100</v>
      </c>
      <c r="X30" s="1567"/>
      <c r="Y30" s="361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612"/>
      <c r="Q31" s="1572"/>
      <c r="R31" s="1573"/>
      <c r="S31" s="1574"/>
      <c r="T31" s="1573"/>
      <c r="U31" s="1574"/>
      <c r="V31" s="1573"/>
      <c r="W31" s="1574"/>
      <c r="X31" s="1567"/>
      <c r="Y31" s="3612"/>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12"/>
      <c r="Q32" s="1572" t="str">
        <f t="shared" si="8"/>
        <v>土地级别</v>
      </c>
      <c r="R32" s="1573" t="s">
        <v>8</v>
      </c>
      <c r="S32" s="1574">
        <f t="shared" si="10"/>
        <v>100</v>
      </c>
      <c r="T32" s="1573" t="s">
        <v>8</v>
      </c>
      <c r="U32" s="1574">
        <f t="shared" si="11"/>
        <v>100</v>
      </c>
      <c r="V32" s="1573" t="s">
        <v>8</v>
      </c>
      <c r="W32" s="1574">
        <f t="shared" si="12"/>
        <v>100</v>
      </c>
      <c r="X32" s="1567"/>
      <c r="Y32" s="361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12"/>
      <c r="Q33" s="1572">
        <f t="shared" si="8"/>
        <v>111</v>
      </c>
      <c r="R33" s="1573" t="s">
        <v>8</v>
      </c>
      <c r="S33" s="1574">
        <f t="shared" si="10"/>
        <v>100</v>
      </c>
      <c r="T33" s="1573" t="s">
        <v>8</v>
      </c>
      <c r="U33" s="1574">
        <f t="shared" si="11"/>
        <v>100</v>
      </c>
      <c r="V33" s="1573" t="s">
        <v>8</v>
      </c>
      <c r="W33" s="1574">
        <f t="shared" si="12"/>
        <v>100</v>
      </c>
      <c r="X33" s="1567"/>
      <c r="Y33" s="361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13" t="s">
        <v>550</v>
      </c>
      <c r="Q34" s="1572">
        <f t="shared" si="8"/>
        <v>111</v>
      </c>
      <c r="R34" s="1573" t="s">
        <v>8</v>
      </c>
      <c r="S34" s="1574">
        <f t="shared" si="10"/>
        <v>100</v>
      </c>
      <c r="T34" s="1573" t="s">
        <v>8</v>
      </c>
      <c r="U34" s="1574">
        <f t="shared" si="11"/>
        <v>100</v>
      </c>
      <c r="V34" s="1573" t="s">
        <v>8</v>
      </c>
      <c r="W34" s="1574">
        <f t="shared" si="12"/>
        <v>100</v>
      </c>
      <c r="X34" s="1567"/>
      <c r="Y34" s="3614" t="s">
        <v>550</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14"/>
      <c r="Q35" s="1572">
        <f t="shared" si="8"/>
        <v>111</v>
      </c>
      <c r="R35" s="1577" t="s">
        <v>8</v>
      </c>
      <c r="S35" s="1578">
        <f t="shared" si="10"/>
        <v>100</v>
      </c>
      <c r="T35" s="1577" t="s">
        <v>8</v>
      </c>
      <c r="U35" s="1578">
        <f t="shared" si="11"/>
        <v>100</v>
      </c>
      <c r="V35" s="1577" t="s">
        <v>8</v>
      </c>
      <c r="W35" s="1578">
        <f t="shared" si="12"/>
        <v>100</v>
      </c>
      <c r="X35" s="1579"/>
      <c r="Y35" s="3614"/>
      <c r="Z35" s="1580">
        <f t="shared" si="13"/>
        <v>111</v>
      </c>
      <c r="AA35" s="1576">
        <f t="shared" si="3"/>
        <v>1</v>
      </c>
      <c r="AB35" s="1576">
        <f t="shared" si="4"/>
        <v>1</v>
      </c>
      <c r="AC35" s="1576">
        <f t="shared" si="5"/>
        <v>1</v>
      </c>
    </row>
    <row r="36" spans="1:29" ht="15">
      <c r="A36" s="293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14"/>
      <c r="Q36" s="1572" t="str">
        <f>B36</f>
        <v>宗地面积</v>
      </c>
      <c r="R36" s="1573" t="s">
        <v>8</v>
      </c>
      <c r="S36" s="1574" t="e">
        <f t="shared" si="10"/>
        <v>#N/A</v>
      </c>
      <c r="T36" s="1573" t="s">
        <v>8</v>
      </c>
      <c r="U36" s="1574" t="e">
        <f t="shared" si="11"/>
        <v>#N/A</v>
      </c>
      <c r="V36" s="1573" t="s">
        <v>8</v>
      </c>
      <c r="W36" s="1574" t="e">
        <f t="shared" si="12"/>
        <v>#N/A</v>
      </c>
      <c r="X36" s="1567"/>
      <c r="Y36" s="361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14"/>
      <c r="Q37" s="1572" t="str">
        <f t="shared" ref="Q37:Q42" si="14">B37</f>
        <v>宗地形状</v>
      </c>
      <c r="R37" s="1573" t="s">
        <v>8</v>
      </c>
      <c r="S37" s="1574">
        <f t="shared" si="10"/>
        <v>100</v>
      </c>
      <c r="T37" s="1573" t="s">
        <v>8</v>
      </c>
      <c r="U37" s="1574">
        <f t="shared" si="11"/>
        <v>100</v>
      </c>
      <c r="V37" s="1573" t="s">
        <v>8</v>
      </c>
      <c r="W37" s="1574">
        <f t="shared" si="12"/>
        <v>100</v>
      </c>
      <c r="X37" s="1567"/>
      <c r="Y37" s="3614"/>
      <c r="Z37" s="1575" t="str">
        <f t="shared" si="13"/>
        <v>宗地形状</v>
      </c>
      <c r="AA37" s="1576">
        <f t="shared" si="3"/>
        <v>1</v>
      </c>
      <c r="AB37" s="1576">
        <f t="shared" si="4"/>
        <v>1</v>
      </c>
      <c r="AC37" s="1576">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14"/>
      <c r="Q38" s="1572" t="str">
        <f t="shared" si="14"/>
        <v>宗地开发程度</v>
      </c>
      <c r="R38" s="1568" t="s">
        <v>8</v>
      </c>
      <c r="S38" s="1569">
        <f t="shared" si="10"/>
        <v>100</v>
      </c>
      <c r="T38" s="1568" t="s">
        <v>8</v>
      </c>
      <c r="U38" s="1569">
        <f t="shared" si="11"/>
        <v>100</v>
      </c>
      <c r="V38" s="1568" t="s">
        <v>8</v>
      </c>
      <c r="W38" s="1569">
        <f t="shared" si="12"/>
        <v>100</v>
      </c>
      <c r="X38" s="1570"/>
      <c r="Y38" s="3614"/>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14" t="s">
        <v>601</v>
      </c>
      <c r="Q39" s="1572" t="str">
        <f t="shared" si="14"/>
        <v>工程地质条件</v>
      </c>
      <c r="R39" s="1573" t="s">
        <v>8</v>
      </c>
      <c r="S39" s="1574">
        <f t="shared" si="10"/>
        <v>100</v>
      </c>
      <c r="T39" s="1573" t="s">
        <v>8</v>
      </c>
      <c r="U39" s="1574">
        <f t="shared" si="11"/>
        <v>100</v>
      </c>
      <c r="V39" s="1573" t="s">
        <v>8</v>
      </c>
      <c r="W39" s="1574">
        <f t="shared" si="12"/>
        <v>100</v>
      </c>
      <c r="X39" s="1567"/>
      <c r="Y39" s="361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14"/>
      <c r="Q40" s="1572">
        <f t="shared" si="14"/>
        <v>111</v>
      </c>
      <c r="R40" s="1573" t="s">
        <v>8</v>
      </c>
      <c r="S40" s="1574">
        <f t="shared" si="10"/>
        <v>100</v>
      </c>
      <c r="T40" s="1573" t="s">
        <v>8</v>
      </c>
      <c r="U40" s="1574">
        <f t="shared" si="11"/>
        <v>100</v>
      </c>
      <c r="V40" s="1573" t="s">
        <v>8</v>
      </c>
      <c r="W40" s="1574">
        <f t="shared" si="12"/>
        <v>100</v>
      </c>
      <c r="X40" s="1567"/>
      <c r="Y40" s="361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14"/>
      <c r="Q41" s="1572">
        <f t="shared" si="14"/>
        <v>111</v>
      </c>
      <c r="R41" s="1573" t="s">
        <v>8</v>
      </c>
      <c r="S41" s="1574">
        <f t="shared" si="10"/>
        <v>100</v>
      </c>
      <c r="T41" s="1573" t="s">
        <v>8</v>
      </c>
      <c r="U41" s="1574">
        <f t="shared" si="11"/>
        <v>100</v>
      </c>
      <c r="V41" s="1573" t="s">
        <v>8</v>
      </c>
      <c r="W41" s="1574">
        <f t="shared" si="12"/>
        <v>100</v>
      </c>
      <c r="X41" s="1567"/>
      <c r="Y41" s="3614"/>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14"/>
      <c r="Q42" s="1572">
        <f t="shared" si="14"/>
        <v>111</v>
      </c>
      <c r="R42" s="1577" t="s">
        <v>8</v>
      </c>
      <c r="S42" s="1578">
        <f t="shared" si="10"/>
        <v>100</v>
      </c>
      <c r="T42" s="1577" t="s">
        <v>8</v>
      </c>
      <c r="U42" s="1578">
        <f t="shared" si="11"/>
        <v>100</v>
      </c>
      <c r="V42" s="1577" t="s">
        <v>8</v>
      </c>
      <c r="W42" s="1578">
        <f t="shared" si="12"/>
        <v>100</v>
      </c>
      <c r="X42" s="1579"/>
      <c r="Y42" s="3614"/>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40"/>
      <c r="L43" s="2145"/>
      <c r="M43" s="2135"/>
      <c r="N43" s="2135"/>
      <c r="O43" s="2146"/>
      <c r="P43" s="3575" t="str">
        <f>A43</f>
        <v>成交单价</v>
      </c>
      <c r="Q43" s="3575"/>
      <c r="R43" s="3576">
        <f>E43</f>
        <v>0</v>
      </c>
      <c r="S43" s="3576"/>
      <c r="T43" s="3576">
        <f>G43</f>
        <v>0</v>
      </c>
      <c r="U43" s="3576"/>
      <c r="V43" s="3576">
        <f>I43</f>
        <v>0</v>
      </c>
      <c r="W43" s="3576"/>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575" t="str">
        <f>A44</f>
        <v>比较价格（元/平方米）</v>
      </c>
      <c r="Q44" s="3575"/>
      <c r="R44" s="3577" t="e">
        <f>ROUND(PRODUCT(R43,AA9:AA42),0)</f>
        <v>#DIV/0!</v>
      </c>
      <c r="S44" s="3577"/>
      <c r="T44" s="3577" t="e">
        <f>ROUND(PRODUCT(T43,AB9:AB42),0)</f>
        <v>#DIV/0!</v>
      </c>
      <c r="U44" s="3577"/>
      <c r="V44" s="3577" t="e">
        <f>ROUND(PRODUCT(V43,AC9:AC42),0)</f>
        <v>#DIV/0!</v>
      </c>
      <c r="W44" s="3577"/>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2"/>
      <c r="L45" s="2145"/>
      <c r="M45" s="2135"/>
      <c r="N45" s="2135"/>
      <c r="O45" s="2146"/>
      <c r="P45" s="3572" t="str">
        <f>A45</f>
        <v>估价对象XX用房的比较价格（楼面单价，元/平方米）</v>
      </c>
      <c r="Q45" s="3573"/>
      <c r="R45" s="3574" t="e">
        <f>ROUND(AVERAGE(R44:V44),0)</f>
        <v>#DIV/0!</v>
      </c>
      <c r="S45" s="3574"/>
      <c r="T45" s="3574"/>
      <c r="U45" s="3574"/>
      <c r="V45" s="3574"/>
      <c r="W45" s="3574"/>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2294</v>
      </c>
      <c r="E52" s="631" t="s">
        <v>562</v>
      </c>
      <c r="F52" s="1952" t="s">
        <v>563</v>
      </c>
      <c r="G52" s="3622" t="s">
        <v>2285</v>
      </c>
      <c r="H52" s="3623"/>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125045.5</v>
      </c>
      <c r="F53" s="1951" t="e">
        <f t="shared" ref="F53:F62" si="15">ROUND(B53*E53/10000,0)</f>
        <v>#DIV/0!</v>
      </c>
      <c r="G53" s="3624"/>
      <c r="H53" s="362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626"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62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62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62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16614.109999999997</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67358.31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2533</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2648</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2550</v>
      </c>
      <c r="C95" s="2623" t="s">
        <v>2551</v>
      </c>
      <c r="D95" s="2623" t="s">
        <v>2552</v>
      </c>
      <c r="E95" s="2623" t="s">
        <v>2553</v>
      </c>
      <c r="F95" s="2623" t="s">
        <v>2554</v>
      </c>
      <c r="G95" s="2623"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6" sqref="I6:L6"/>
    </sheetView>
  </sheetViews>
  <sheetFormatPr defaultColWidth="12" defaultRowHeight="12"/>
  <cols>
    <col min="1" max="1" width="9.625" style="1404" customWidth="1"/>
    <col min="2" max="2" width="19.125" style="1528" customWidth="1"/>
    <col min="3" max="4" width="12" style="1405"/>
    <col min="5" max="5" width="14.625" style="1405" customWidth="1"/>
    <col min="6" max="8" width="12" style="1405"/>
    <col min="9" max="9" width="12.1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2426</v>
      </c>
      <c r="D1" s="1521">
        <f>SUM(D29:D30,D33:D39)</f>
        <v>0</v>
      </c>
      <c r="E1" s="1406" t="s">
        <v>2427</v>
      </c>
      <c r="F1" s="2477"/>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61" t="s">
        <v>2761</v>
      </c>
      <c r="S1" s="2961" t="s">
        <v>2762</v>
      </c>
      <c r="T1" s="2961" t="s">
        <v>2783</v>
      </c>
      <c r="U1" s="2961" t="s">
        <v>2784</v>
      </c>
      <c r="V1" s="2961" t="s">
        <v>2785</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2927</v>
      </c>
      <c r="G3" s="1039">
        <f>IF(F3="宗地容积率",'数据-汇总表'!I4,IF(F3="估价对象容积率",'数据-汇总表'!I6,'数据-汇总表'!I7))</f>
        <v>1.92</v>
      </c>
      <c r="H3" s="1414" t="s">
        <v>928</v>
      </c>
      <c r="I3" s="1040">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49">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636" t="str">
        <f>IF(E2="商业",IF(C8="不临58条商业街","",2),"")</f>
        <v/>
      </c>
      <c r="B7" s="1427" t="s">
        <v>931</v>
      </c>
      <c r="C7" s="1043" t="e">
        <f>IF(C8="不临58条商业街",1,ROUND(1+(1.6*E8+1.2*E9+0.8*E10+0.4*E11)*C9,4))</f>
        <v>#DIV/0!</v>
      </c>
      <c r="D7" s="1428" t="s">
        <v>932</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2764</v>
      </c>
      <c r="X7" s="2952">
        <f>G2</f>
        <v>0</v>
      </c>
      <c r="Y7" s="2952" t="s">
        <v>2765</v>
      </c>
      <c r="Z7" s="2953">
        <f>G3</f>
        <v>1.92</v>
      </c>
      <c r="AA7" s="2193"/>
      <c r="AB7" s="2193"/>
      <c r="AC7" s="2194"/>
      <c r="AD7" s="2954"/>
      <c r="AE7" s="2954"/>
      <c r="AF7" s="2954"/>
      <c r="AG7" s="2954"/>
      <c r="AH7" s="2954"/>
      <c r="AI7" s="2954"/>
      <c r="AJ7" s="2955"/>
    </row>
    <row r="8" spans="1:39" ht="15">
      <c r="A8" s="3637"/>
      <c r="B8" s="1414" t="s">
        <v>933</v>
      </c>
      <c r="C8" s="1529"/>
      <c r="D8" s="1045" t="s">
        <v>934</v>
      </c>
      <c r="E8" s="1046"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628" t="s">
        <v>2782</v>
      </c>
      <c r="X8" s="3629"/>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637"/>
      <c r="B9" s="1414" t="s">
        <v>936</v>
      </c>
      <c r="C9" s="1047">
        <f>SUMIF(修正!C59:C119,C8,修正!E59:E119)</f>
        <v>0</v>
      </c>
      <c r="D9" s="1048" t="s">
        <v>937</v>
      </c>
      <c r="E9" s="1048"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627" t="s">
        <v>2778</v>
      </c>
      <c r="X9" s="2956" t="s">
        <v>2779</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637"/>
      <c r="B10" s="1414" t="s">
        <v>939</v>
      </c>
      <c r="C10" s="1048">
        <f>SUMIF(修正!C59:C119,C8,修正!F59:F119)</f>
        <v>0</v>
      </c>
      <c r="D10" s="1048" t="s">
        <v>940</v>
      </c>
      <c r="E10" s="1048"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62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637"/>
      <c r="B11" s="1435" t="s">
        <v>942</v>
      </c>
      <c r="C11" s="1049">
        <f>C10/4</f>
        <v>0</v>
      </c>
      <c r="D11" s="1049" t="s">
        <v>943</v>
      </c>
      <c r="E11" s="1049"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627" t="s">
        <v>2780</v>
      </c>
      <c r="X11" s="1048" t="s">
        <v>2765</v>
      </c>
      <c r="Y11" s="1653">
        <f>$G$3</f>
        <v>1.92</v>
      </c>
      <c r="Z11" s="1653">
        <f t="shared" ref="Z11:AJ11" si="3">$G$3</f>
        <v>1.92</v>
      </c>
      <c r="AA11" s="1653">
        <f t="shared" si="3"/>
        <v>1.92</v>
      </c>
      <c r="AB11" s="1653">
        <f t="shared" si="3"/>
        <v>1.92</v>
      </c>
      <c r="AC11" s="1653">
        <f t="shared" si="3"/>
        <v>1.92</v>
      </c>
      <c r="AD11" s="1653">
        <f t="shared" si="3"/>
        <v>1.92</v>
      </c>
      <c r="AE11" s="1653">
        <f t="shared" si="3"/>
        <v>1.92</v>
      </c>
      <c r="AF11" s="1653">
        <f t="shared" si="3"/>
        <v>1.92</v>
      </c>
      <c r="AG11" s="1653">
        <f t="shared" si="3"/>
        <v>1.92</v>
      </c>
      <c r="AH11" s="1653">
        <f t="shared" si="3"/>
        <v>1.92</v>
      </c>
      <c r="AI11" s="1653">
        <f t="shared" si="3"/>
        <v>1.92</v>
      </c>
      <c r="AJ11" s="1653">
        <f t="shared" si="3"/>
        <v>1.92</v>
      </c>
    </row>
    <row r="12" spans="1:39" ht="25.5" thickBot="1">
      <c r="A12" s="3636" t="s">
        <v>1871</v>
      </c>
      <c r="B12" s="1439" t="s">
        <v>945</v>
      </c>
      <c r="C12" s="1043">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627"/>
      <c r="X12" s="2959" t="s">
        <v>2781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638"/>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627"/>
      <c r="X13" s="2959"/>
      <c r="Y13" s="2958">
        <f>(-0.163*(Y12^2)-0.59*Y12+7617)*(10^(-4))/Y11</f>
        <v>0.39671875000000006</v>
      </c>
      <c r="Z13" s="2958">
        <f t="shared" ref="Z13:AJ13" si="5">(-0.163*(Z12^2)-0.59*Z12+7617)*(10^(-4))/Z11</f>
        <v>0.39671875000000006</v>
      </c>
      <c r="AA13" s="2958">
        <f t="shared" si="5"/>
        <v>0.39671875000000006</v>
      </c>
      <c r="AB13" s="2958">
        <f t="shared" si="5"/>
        <v>0.39671875000000006</v>
      </c>
      <c r="AC13" s="2958">
        <f t="shared" si="5"/>
        <v>0.39671875000000006</v>
      </c>
      <c r="AD13" s="2958">
        <f t="shared" si="5"/>
        <v>0.39671875000000006</v>
      </c>
      <c r="AE13" s="2958">
        <f t="shared" si="5"/>
        <v>0.39671875000000006</v>
      </c>
      <c r="AF13" s="2958">
        <f t="shared" si="5"/>
        <v>0.39671875000000006</v>
      </c>
      <c r="AG13" s="2958">
        <f t="shared" si="5"/>
        <v>0.39671875000000006</v>
      </c>
      <c r="AH13" s="2958">
        <f t="shared" si="5"/>
        <v>0.39671875000000006</v>
      </c>
      <c r="AI13" s="2958">
        <f t="shared" si="5"/>
        <v>0.39671875000000006</v>
      </c>
      <c r="AJ13" s="2958">
        <f t="shared" si="5"/>
        <v>0.39671875000000006</v>
      </c>
    </row>
    <row r="14" spans="1:39" ht="12.75" customHeight="1" thickBot="1">
      <c r="A14" s="3638"/>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639"/>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636"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637"/>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ROUND(IF(H19="按公示增长率计算",SUMPRODUCT((地价!A3:A22=YEAR(G19)&amp;"-"&amp;ROUNDUP(MONTH(G19)/3,0))*(地价!X2:AB2=E2)*(地价!X3:AB22)),IF(H19="地价指数",M20/M19,(1+I19)^O19)),4)</f>
        <v>#DIV/0!</v>
      </c>
      <c r="D19" s="1474" t="s">
        <v>957</v>
      </c>
      <c r="E19" s="1058">
        <v>41640</v>
      </c>
      <c r="F19" s="1474" t="s">
        <v>958</v>
      </c>
      <c r="G19" s="1059">
        <f>'数据-取费表'!B2</f>
        <v>43236</v>
      </c>
      <c r="H19" s="1475" t="s">
        <v>2928</v>
      </c>
      <c r="I19" s="2809" t="str">
        <f>IF(H19="季度增幅（自定义）",SUMIF(N21:N24,E2,O21:O24),"")</f>
        <v/>
      </c>
      <c r="J19" s="1471"/>
      <c r="K19" s="1481"/>
      <c r="L19" s="3065" t="s">
        <v>2840</v>
      </c>
      <c r="M19" s="3066">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20">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7" t="s">
        <v>2841</v>
      </c>
      <c r="M20" s="3068">
        <f>ROUND(SUMPRODUCT((地价!A4:A22=YEAR(G19)&amp;"-"&amp;ROUNDUP(MONTH(G19)/3,0))*(地价!B2:F2=E2)*(地价!B4:F22)),0)</f>
        <v>0</v>
      </c>
      <c r="N20" s="2814" t="s">
        <v>2645</v>
      </c>
      <c r="O20" s="2812" t="s">
        <v>2644</v>
      </c>
      <c r="P20" s="2813" t="s">
        <v>2649</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2760</v>
      </c>
      <c r="C21" s="1158">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2647</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642" t="s">
        <v>2955</v>
      </c>
      <c r="B33" s="1524" t="s">
        <v>999</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643"/>
      <c r="B34" s="1445" t="s">
        <v>1000</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643"/>
      <c r="B35" s="1445" t="s">
        <v>1001</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644"/>
      <c r="B36" s="1445" t="s">
        <v>1002</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2251</v>
      </c>
      <c r="G46" s="2456" t="s">
        <v>1014</v>
      </c>
      <c r="H46" s="2439" t="s">
        <v>2418</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XX商圈，周边商业氛围，人流量（城乡一体化示范区 住宅底商 氛围较差 人流量较少）</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7" t="s">
        <v>1021</v>
      </c>
      <c r="B48" s="2433" t="str">
        <f>估价对象房地状况!C18</f>
        <v>周边道路状况、公共交通通达情况、停车便捷程度（北至文峰大道 南至文明大道 均为城市主干道 南距安阳东站直线1.5公里 y1路 11路 16路）</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22" t="s">
        <v>2930</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21" t="s">
        <v>2929</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f>估价对象房地状况!C21</f>
        <v>0</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f>估价对象房地状况!C22</f>
        <v>0</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1028</v>
      </c>
      <c r="B55" s="2437">
        <f>估价对象房地状况!C20</f>
        <v>0</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2418</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1030</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7" t="s">
        <v>1021</v>
      </c>
      <c r="B59" s="2433" t="str">
        <f>估价对象房地状况!C18</f>
        <v>周边道路状况、公共交通通达情况、停车便捷程度（北至文峰大道 南至文明大道 均为城市主干道 南距安阳东站直线1.5公里 y1路 11路 16路）</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22" t="s">
        <v>2931</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21" t="s">
        <v>2929</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f>估价对象房地状况!C21</f>
        <v>0</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f>估价对象房地状况!C22</f>
        <v>0</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1028</v>
      </c>
      <c r="B66" s="2438">
        <f>估价对象房地状况!C20</f>
        <v>0</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2253</v>
      </c>
      <c r="G68" s="2456" t="s">
        <v>1014</v>
      </c>
      <c r="H68" s="2439" t="s">
        <v>2418</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1032</v>
      </c>
      <c r="B69" s="2436" t="str">
        <f>估价对象房地状况!C15</f>
        <v>周边居住用地比例、居住小区规模和社区发展完善程度（居住用地比例适宜，较多住宅项目，但尚未开发完成，社区发展完善程度较差）</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7" t="s">
        <v>1033</v>
      </c>
      <c r="B70" s="2433" t="str">
        <f>估价对象房地状况!C18</f>
        <v>周边道路状况、公共交通通达情况、停车便捷程度（北至文峰大道 南至文明大道 均为城市主干道 南距安阳东站直线1.5公里 y1路 11路 16路）</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f>估价对象房地状况!C21</f>
        <v>0</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f>估价对象房地状况!C22</f>
        <v>0</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21" t="s">
        <v>2929</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1028</v>
      </c>
      <c r="B76" s="2436">
        <f>估价对象房地状况!C20</f>
        <v>0</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2254</v>
      </c>
      <c r="G79" s="2456" t="s">
        <v>1014</v>
      </c>
      <c r="H79" s="2439" t="s">
        <v>2418</v>
      </c>
      <c r="I79" s="2456" t="s">
        <v>1012</v>
      </c>
      <c r="J79" s="2459" t="s">
        <v>1015</v>
      </c>
      <c r="K79" s="2459" t="s">
        <v>1016</v>
      </c>
      <c r="L79" s="2459" t="s">
        <v>1017</v>
      </c>
      <c r="M79" s="2459" t="s">
        <v>1018</v>
      </c>
      <c r="N79" s="2459" t="s">
        <v>1019</v>
      </c>
      <c r="AC79" s="1405"/>
      <c r="AD79" s="1404"/>
      <c r="AJ79" s="1403"/>
      <c r="AN79" s="1404"/>
    </row>
    <row r="80" spans="1:40" ht="24">
      <c r="A80" s="1067" t="s">
        <v>1037</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7" t="s">
        <v>1033</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1026</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1027</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1025</v>
      </c>
      <c r="B86" s="3121" t="s">
        <v>2929</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1038</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640" t="s">
        <v>1633</v>
      </c>
      <c r="B90" s="3640"/>
      <c r="C90" s="3640"/>
      <c r="D90" s="3640"/>
      <c r="E90" s="3640"/>
      <c r="F90" s="3640"/>
      <c r="G90" s="3640"/>
      <c r="H90" s="3640"/>
      <c r="I90" s="3640"/>
      <c r="J90" s="3640"/>
      <c r="K90" s="2475"/>
      <c r="L90" s="2475"/>
      <c r="M90" s="2475"/>
      <c r="N90" s="2475"/>
    </row>
    <row r="91" spans="1:40">
      <c r="A91" s="3641" t="s">
        <v>1443</v>
      </c>
      <c r="B91" s="3641" t="s">
        <v>1634</v>
      </c>
      <c r="C91" s="1140" t="s">
        <v>1635</v>
      </c>
      <c r="D91" s="1141"/>
      <c r="E91" s="1141"/>
      <c r="F91" s="1141"/>
      <c r="G91" s="1141"/>
      <c r="H91" s="1141"/>
      <c r="I91" s="1141"/>
      <c r="J91" s="1142"/>
      <c r="K91" s="1134"/>
      <c r="L91" s="1134"/>
      <c r="M91" s="1134"/>
      <c r="N91" s="1134"/>
    </row>
    <row r="92" spans="1:40">
      <c r="A92" s="3641"/>
      <c r="B92" s="3641"/>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63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63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63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63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63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63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631"/>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63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630" t="s">
        <v>1637</v>
      </c>
      <c r="B101" s="1147" t="s">
        <v>905</v>
      </c>
      <c r="C101" s="1148">
        <f>$G$3</f>
        <v>1.92</v>
      </c>
      <c r="D101" s="1148">
        <f t="shared" ref="D101:N101" si="31">$G$3</f>
        <v>1.92</v>
      </c>
      <c r="E101" s="1148">
        <f t="shared" si="31"/>
        <v>1.92</v>
      </c>
      <c r="F101" s="1148">
        <f t="shared" si="31"/>
        <v>1.92</v>
      </c>
      <c r="G101" s="1148">
        <f t="shared" si="31"/>
        <v>1.92</v>
      </c>
      <c r="H101" s="1148">
        <f t="shared" si="31"/>
        <v>1.92</v>
      </c>
      <c r="I101" s="1148">
        <f t="shared" si="31"/>
        <v>1.92</v>
      </c>
      <c r="J101" s="1148">
        <f t="shared" si="31"/>
        <v>1.92</v>
      </c>
      <c r="K101" s="1148">
        <f t="shared" si="31"/>
        <v>1.92</v>
      </c>
      <c r="L101" s="1148">
        <f t="shared" si="31"/>
        <v>1.92</v>
      </c>
      <c r="M101" s="1148">
        <f t="shared" si="31"/>
        <v>1.92</v>
      </c>
      <c r="N101" s="1148">
        <f t="shared" si="31"/>
        <v>1.92</v>
      </c>
    </row>
    <row r="102" spans="1:14">
      <c r="A102" s="3631"/>
      <c r="B102" s="1143">
        <v>1</v>
      </c>
      <c r="C102" s="1144">
        <f>1.9362/C101</f>
        <v>1.0084375000000001</v>
      </c>
      <c r="D102" s="1144">
        <f>1.9362/D101</f>
        <v>1.0084375000000001</v>
      </c>
      <c r="E102" s="1144">
        <f>1.8629/E101</f>
        <v>0.97026041666666674</v>
      </c>
      <c r="F102" s="1144">
        <f>1.8629/F101</f>
        <v>0.97026041666666674</v>
      </c>
      <c r="G102" s="1144">
        <f>1.8629/G101</f>
        <v>0.97026041666666674</v>
      </c>
      <c r="H102" s="1144">
        <f>1.8629/H101</f>
        <v>0.97026041666666674</v>
      </c>
      <c r="I102" s="1144">
        <f>1.8629/I101</f>
        <v>0.97026041666666674</v>
      </c>
      <c r="J102" s="1144">
        <f>1.942/J101</f>
        <v>1.0114583333333333</v>
      </c>
      <c r="K102" s="1144">
        <f>1.942/K101</f>
        <v>1.0114583333333333</v>
      </c>
      <c r="L102" s="1144">
        <f>1.942/L101</f>
        <v>1.0114583333333333</v>
      </c>
      <c r="M102" s="1144">
        <f>1.942/M101</f>
        <v>1.0114583333333333</v>
      </c>
      <c r="N102" s="1144">
        <f>1.942/N101</f>
        <v>1.0114583333333333</v>
      </c>
    </row>
    <row r="103" spans="1:14">
      <c r="A103" s="3631"/>
      <c r="B103" s="1143">
        <v>2</v>
      </c>
      <c r="C103" s="1144">
        <f>1.4198/C101</f>
        <v>0.73947916666666669</v>
      </c>
      <c r="D103" s="1144">
        <f>1.4198/D101</f>
        <v>0.73947916666666669</v>
      </c>
      <c r="E103" s="1144">
        <f>1.3372/E101</f>
        <v>0.69645833333333329</v>
      </c>
      <c r="F103" s="1144">
        <f>1.3372/F101</f>
        <v>0.69645833333333329</v>
      </c>
      <c r="G103" s="1144">
        <f>1.3372/G101</f>
        <v>0.69645833333333329</v>
      </c>
      <c r="H103" s="1144">
        <f>1.3372/H101</f>
        <v>0.69645833333333329</v>
      </c>
      <c r="I103" s="1144">
        <f>1.3372/I101</f>
        <v>0.69645833333333329</v>
      </c>
      <c r="J103" s="1144">
        <f>1.2799/J101</f>
        <v>0.66661458333333334</v>
      </c>
      <c r="K103" s="1144">
        <f>1.2799/K101</f>
        <v>0.66661458333333334</v>
      </c>
      <c r="L103" s="1144">
        <f>1.2799/L101</f>
        <v>0.66661458333333334</v>
      </c>
      <c r="M103" s="1144">
        <f>1.2799/M101</f>
        <v>0.66661458333333334</v>
      </c>
      <c r="N103" s="1144">
        <f>1.2799/N101</f>
        <v>0.66661458333333334</v>
      </c>
    </row>
    <row r="104" spans="1:14">
      <c r="A104" s="3631"/>
      <c r="B104" s="1143">
        <v>3</v>
      </c>
      <c r="C104" s="1144">
        <f>1.1594/C101</f>
        <v>0.60385416666666669</v>
      </c>
      <c r="D104" s="1144">
        <f>1.1594/D101</f>
        <v>0.60385416666666669</v>
      </c>
      <c r="E104" s="1144">
        <f>1.0788/E101</f>
        <v>0.56187500000000001</v>
      </c>
      <c r="F104" s="1144">
        <f>1.0788/F101</f>
        <v>0.56187500000000001</v>
      </c>
      <c r="G104" s="1144">
        <f>1.0788/G101</f>
        <v>0.56187500000000001</v>
      </c>
      <c r="H104" s="1144">
        <f>1.0788/H101</f>
        <v>0.56187500000000001</v>
      </c>
      <c r="I104" s="1144">
        <f>1.0788/I101</f>
        <v>0.56187500000000001</v>
      </c>
      <c r="J104" s="1144">
        <f>1.0072/J101</f>
        <v>0.5245833333333334</v>
      </c>
      <c r="K104" s="1144">
        <f>1.0072/K101</f>
        <v>0.5245833333333334</v>
      </c>
      <c r="L104" s="1144">
        <f>1.0072/L101</f>
        <v>0.5245833333333334</v>
      </c>
      <c r="M104" s="1144">
        <f>1.0072/M101</f>
        <v>0.5245833333333334</v>
      </c>
      <c r="N104" s="1144">
        <f>1.0072/N101</f>
        <v>0.5245833333333334</v>
      </c>
    </row>
    <row r="105" spans="1:14">
      <c r="A105" s="3631"/>
      <c r="B105" s="1143">
        <v>4</v>
      </c>
      <c r="C105" s="1144">
        <f>0.9622/C101</f>
        <v>0.5011458333333334</v>
      </c>
      <c r="D105" s="1144">
        <f>0.9622/D101</f>
        <v>0.5011458333333334</v>
      </c>
      <c r="E105" s="1144">
        <f>0.8656/E101</f>
        <v>0.45083333333333336</v>
      </c>
      <c r="F105" s="1144">
        <f>0.8656/F101</f>
        <v>0.45083333333333336</v>
      </c>
      <c r="G105" s="1144">
        <f>0.8656/G101</f>
        <v>0.45083333333333336</v>
      </c>
      <c r="H105" s="1144">
        <f>0.8656/H101</f>
        <v>0.45083333333333336</v>
      </c>
      <c r="I105" s="1144">
        <f>0.8656/I101</f>
        <v>0.45083333333333336</v>
      </c>
      <c r="J105" s="1144">
        <f>0.7525/J101</f>
        <v>0.39192708333333331</v>
      </c>
      <c r="K105" s="1144">
        <f>0.7525/K101</f>
        <v>0.39192708333333331</v>
      </c>
      <c r="L105" s="1144">
        <f>0.7525/L101</f>
        <v>0.39192708333333331</v>
      </c>
      <c r="M105" s="1144">
        <f>0.7525/M101</f>
        <v>0.39192708333333331</v>
      </c>
      <c r="N105" s="1144">
        <f>0.7525/N101</f>
        <v>0.39192708333333331</v>
      </c>
    </row>
    <row r="106" spans="1:14">
      <c r="A106" s="3631"/>
      <c r="B106" s="1143">
        <v>5</v>
      </c>
      <c r="C106" s="1144">
        <f>0.8417/C101</f>
        <v>0.43838541666666669</v>
      </c>
      <c r="D106" s="1144">
        <f>0.8417/D101</f>
        <v>0.43838541666666669</v>
      </c>
      <c r="E106" s="1144">
        <f>0.7371/E101</f>
        <v>0.38390625</v>
      </c>
      <c r="F106" s="1144">
        <f>0.7371/F101</f>
        <v>0.38390625</v>
      </c>
      <c r="G106" s="1144">
        <f>0.7371/G101</f>
        <v>0.38390625</v>
      </c>
      <c r="H106" s="1144">
        <f>0.7371/H101</f>
        <v>0.38390625</v>
      </c>
      <c r="I106" s="1144">
        <f>0.7371/I101</f>
        <v>0.38390625</v>
      </c>
      <c r="J106" s="1144">
        <f>0.5659/J101</f>
        <v>0.29473958333333333</v>
      </c>
      <c r="K106" s="1144">
        <f>0.5659/K101</f>
        <v>0.29473958333333333</v>
      </c>
      <c r="L106" s="1144">
        <f>0.5659/L101</f>
        <v>0.29473958333333333</v>
      </c>
      <c r="M106" s="1144">
        <f>0.5659/M101</f>
        <v>0.29473958333333333</v>
      </c>
      <c r="N106" s="1144">
        <f>0.5659/N101</f>
        <v>0.29473958333333333</v>
      </c>
    </row>
    <row r="107" spans="1:14">
      <c r="A107" s="3631"/>
      <c r="B107" s="1143">
        <v>6</v>
      </c>
      <c r="C107" s="1144">
        <f>0.7608/C101</f>
        <v>0.39625000000000005</v>
      </c>
      <c r="D107" s="1144">
        <f>0.7608/D101</f>
        <v>0.39625000000000005</v>
      </c>
      <c r="E107" s="1144">
        <f>0.6482/E101</f>
        <v>0.33760416666666671</v>
      </c>
      <c r="F107" s="1144">
        <f>0.6482/F101</f>
        <v>0.33760416666666671</v>
      </c>
      <c r="G107" s="1144">
        <f>0.6482/G101</f>
        <v>0.33760416666666671</v>
      </c>
      <c r="H107" s="1144">
        <f>0.6482/H101</f>
        <v>0.33760416666666671</v>
      </c>
      <c r="I107" s="1144">
        <f>0.6482/I101</f>
        <v>0.33760416666666671</v>
      </c>
      <c r="J107" s="1144">
        <f>0.4525/J101</f>
        <v>0.23567708333333334</v>
      </c>
      <c r="K107" s="1144">
        <f>0.4525/K101</f>
        <v>0.23567708333333334</v>
      </c>
      <c r="L107" s="1144">
        <f>0.4525/L101</f>
        <v>0.23567708333333334</v>
      </c>
      <c r="M107" s="1144">
        <f>0.4525/M101</f>
        <v>0.23567708333333334</v>
      </c>
      <c r="N107" s="1144">
        <f>0.4525/N101</f>
        <v>0.23567708333333334</v>
      </c>
    </row>
    <row r="108" spans="1:14">
      <c r="A108" s="3631"/>
      <c r="B108" s="3633"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632"/>
      <c r="B109" s="3634"/>
      <c r="C109" s="1146">
        <f>(-0.163*(C108^2)-0.59*C108+7617)*(10^(-4))/C101</f>
        <v>0.39592958333333333</v>
      </c>
      <c r="D109" s="1146">
        <f>(-0.163*(D108^2)-0.59*D108+7617)*(10^(-4))/D101</f>
        <v>0.39592958333333333</v>
      </c>
      <c r="E109" s="1146">
        <f>(-0.161*(E108^2)-7.509*E108+6533)*(10^(-4))/E101</f>
        <v>0.33659500000000003</v>
      </c>
      <c r="F109" s="1146">
        <f>(-0.161*(F108^2)-7.509*F108+6533)*(10^(-4))/F101</f>
        <v>0.33659500000000003</v>
      </c>
      <c r="G109" s="1146">
        <f>(-0.161*(G108^2)-7.509*G108+6533)*(10^(-4))/G101</f>
        <v>0.33659500000000003</v>
      </c>
      <c r="H109" s="1146">
        <f>(-0.161*(H108^2)-7.509*H108+6533)*(10^(-4))/H101</f>
        <v>0.33659500000000003</v>
      </c>
      <c r="I109" s="1146">
        <f>(-0.161*(I108^2)-7.509*I108+6533)*(10^(-4))/I101</f>
        <v>0.33659500000000003</v>
      </c>
      <c r="J109" s="1146">
        <f>(-0.214*(J108^2)-21.991*J108+4665)*(10^(-4))/J101</f>
        <v>0.23309250000000004</v>
      </c>
      <c r="K109" s="1146">
        <f>(-0.214*(K108^2)-21.991*K108+4665)*(10^(-4))/K101</f>
        <v>0.23309250000000004</v>
      </c>
      <c r="L109" s="1146">
        <f>(-0.214*(L108^2)-21.991*L108+4665)*(10^(-4))/L101</f>
        <v>0.23309250000000004</v>
      </c>
      <c r="M109" s="1146">
        <f>(-0.214*(M108^2)-21.991*M108+4665)*(10^(-4))/M101</f>
        <v>0.23309250000000004</v>
      </c>
      <c r="N109" s="1146">
        <f>(-0.214*(N108^2)-21.991*N108+4665)*(10^(-4))/N101</f>
        <v>0.23309250000000004</v>
      </c>
    </row>
    <row r="110" spans="1:14">
      <c r="A110" s="3635" t="s">
        <v>1639</v>
      </c>
      <c r="B110" s="3635"/>
      <c r="C110" s="3635"/>
      <c r="D110" s="3635"/>
      <c r="E110" s="3635"/>
      <c r="F110" s="3635"/>
      <c r="G110" s="3635"/>
      <c r="H110" s="3635"/>
      <c r="I110" s="3635"/>
      <c r="J110" s="3635"/>
      <c r="K110" s="2473"/>
      <c r="L110" s="2473"/>
      <c r="M110" s="2473"/>
      <c r="N110" s="2473"/>
    </row>
    <row r="112" spans="1:14" ht="12.75" thickBot="1"/>
    <row r="113" spans="1:13" ht="25.5" thickBot="1">
      <c r="A113" s="1016" t="s">
        <v>895</v>
      </c>
      <c r="B113" s="2476">
        <f>G3</f>
        <v>1.92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0.91549999999999998</v>
      </c>
      <c r="C115" s="1030">
        <f>B115</f>
        <v>0.91549999999999998</v>
      </c>
      <c r="D115" s="1030">
        <f>ROUND(0.8331-0.0109*B113,4)</f>
        <v>0.81220000000000003</v>
      </c>
      <c r="E115" s="1030">
        <f>D115</f>
        <v>0.81220000000000003</v>
      </c>
      <c r="F115" s="1030">
        <f>E115</f>
        <v>0.81220000000000003</v>
      </c>
      <c r="G115" s="1030">
        <f>F115</f>
        <v>0.81220000000000003</v>
      </c>
      <c r="H115" s="1030">
        <f>G115</f>
        <v>0.81220000000000003</v>
      </c>
      <c r="I115" s="1030">
        <f>ROUND(0.689-0.0155*B113,4)</f>
        <v>0.65920000000000001</v>
      </c>
      <c r="J115" s="1030">
        <f t="shared" ref="J115:M118" si="33">I115</f>
        <v>0.65920000000000001</v>
      </c>
      <c r="K115" s="1030">
        <f t="shared" si="33"/>
        <v>0.65920000000000001</v>
      </c>
      <c r="L115" s="1030">
        <f t="shared" si="33"/>
        <v>0.65920000000000001</v>
      </c>
      <c r="M115" s="1031">
        <f t="shared" si="33"/>
        <v>0.65920000000000001</v>
      </c>
    </row>
    <row r="116" spans="1:13" ht="12.75">
      <c r="A116" s="1029" t="s">
        <v>900</v>
      </c>
      <c r="B116" s="1030">
        <f>ROUND(0.949-0.012*B113,4)</f>
        <v>0.92600000000000005</v>
      </c>
      <c r="C116" s="1030">
        <f>B116</f>
        <v>0.92600000000000005</v>
      </c>
      <c r="D116" s="1030">
        <f>ROUND(0.8567-0.013*B113,4)</f>
        <v>0.83169999999999999</v>
      </c>
      <c r="E116" s="1030">
        <f t="shared" ref="E116:H117" si="34">D116</f>
        <v>0.83169999999999999</v>
      </c>
      <c r="F116" s="1030">
        <f t="shared" si="34"/>
        <v>0.83169999999999999</v>
      </c>
      <c r="G116" s="1030">
        <f t="shared" si="34"/>
        <v>0.83169999999999999</v>
      </c>
      <c r="H116" s="1030">
        <f t="shared" si="34"/>
        <v>0.83169999999999999</v>
      </c>
      <c r="I116" s="1030">
        <f>ROUND(0.7694-0.014*B113,4)</f>
        <v>0.74250000000000005</v>
      </c>
      <c r="J116" s="1030">
        <f t="shared" si="33"/>
        <v>0.74250000000000005</v>
      </c>
      <c r="K116" s="1030">
        <f t="shared" si="33"/>
        <v>0.74250000000000005</v>
      </c>
      <c r="L116" s="1030">
        <f t="shared" si="33"/>
        <v>0.74250000000000005</v>
      </c>
      <c r="M116" s="1031">
        <f t="shared" si="33"/>
        <v>0.74250000000000005</v>
      </c>
    </row>
    <row r="117" spans="1:13" ht="12.75">
      <c r="A117" s="1032" t="s">
        <v>901</v>
      </c>
      <c r="B117" s="1030">
        <f>ROUND(0.8808-0.006*B113,4)</f>
        <v>0.86929999999999996</v>
      </c>
      <c r="C117" s="1030">
        <f>B117</f>
        <v>0.86929999999999996</v>
      </c>
      <c r="D117" s="1030">
        <f>ROUND(0.8748-0.008*B113,4)</f>
        <v>0.85940000000000005</v>
      </c>
      <c r="E117" s="1030">
        <f t="shared" si="34"/>
        <v>0.85940000000000005</v>
      </c>
      <c r="F117" s="1030">
        <f t="shared" si="34"/>
        <v>0.85940000000000005</v>
      </c>
      <c r="G117" s="1030">
        <f t="shared" si="34"/>
        <v>0.85940000000000005</v>
      </c>
      <c r="H117" s="1030">
        <f t="shared" si="34"/>
        <v>0.85940000000000005</v>
      </c>
      <c r="I117" s="1030">
        <f>ROUND(0.7412-0.0095*B113,4)</f>
        <v>0.72299999999999998</v>
      </c>
      <c r="J117" s="1030">
        <f t="shared" si="33"/>
        <v>0.72299999999999998</v>
      </c>
      <c r="K117" s="1030">
        <f t="shared" si="33"/>
        <v>0.72299999999999998</v>
      </c>
      <c r="L117" s="1030">
        <f t="shared" si="33"/>
        <v>0.72299999999999998</v>
      </c>
      <c r="M117" s="1031">
        <f t="shared" si="33"/>
        <v>0.72299999999999998</v>
      </c>
    </row>
    <row r="118" spans="1:13" ht="13.5" thickBot="1">
      <c r="A118" s="1033" t="s">
        <v>902</v>
      </c>
      <c r="B118" s="1034">
        <f>ROUND(0.7275-0.01*B113,4)</f>
        <v>0.70830000000000004</v>
      </c>
      <c r="C118" s="1034">
        <f>B118</f>
        <v>0.70830000000000004</v>
      </c>
      <c r="D118" s="1034">
        <f>ROUND(0.7043-0.012*B113,4)</f>
        <v>0.68130000000000002</v>
      </c>
      <c r="E118" s="1034">
        <f>D118</f>
        <v>0.68130000000000002</v>
      </c>
      <c r="F118" s="1034">
        <f>E118</f>
        <v>0.68130000000000002</v>
      </c>
      <c r="G118" s="1034">
        <f>ROUND(0.6299-0.0122*B113,4)</f>
        <v>0.60650000000000004</v>
      </c>
      <c r="H118" s="1034">
        <f>G118</f>
        <v>0.60650000000000004</v>
      </c>
      <c r="I118" s="1034">
        <f>ROUND(0.5667-0.0136*B113,4)</f>
        <v>0.54059999999999997</v>
      </c>
      <c r="J118" s="1034">
        <f t="shared" si="33"/>
        <v>0.54059999999999997</v>
      </c>
      <c r="K118" s="1034">
        <f t="shared" si="33"/>
        <v>0.54059999999999997</v>
      </c>
      <c r="L118" s="1034">
        <f t="shared" si="33"/>
        <v>0.54059999999999997</v>
      </c>
      <c r="M118" s="1035">
        <f t="shared" si="33"/>
        <v>0.54059999999999997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641" t="s">
        <v>1007</v>
      </c>
      <c r="B18" s="1154" t="s">
        <v>1446</v>
      </c>
      <c r="C18" s="1131" t="s">
        <v>1447</v>
      </c>
      <c r="D18" s="1132"/>
      <c r="E18" s="1154">
        <v>1</v>
      </c>
      <c r="F18" s="1133" t="s">
        <v>1448</v>
      </c>
      <c r="G18" s="1134"/>
      <c r="H18" s="1105"/>
      <c r="I18" s="1105"/>
    </row>
    <row r="19" spans="1:9" s="1599" customFormat="1" ht="19.5" customHeight="1">
      <c r="A19" s="3641"/>
      <c r="B19" s="3641" t="s">
        <v>1449</v>
      </c>
      <c r="C19" s="1131" t="s">
        <v>1450</v>
      </c>
      <c r="D19" s="1132"/>
      <c r="E19" s="1154">
        <v>0.9</v>
      </c>
      <c r="F19" s="1133" t="s">
        <v>1451</v>
      </c>
      <c r="G19" s="1134"/>
      <c r="H19" s="1105"/>
      <c r="I19" s="1105"/>
    </row>
    <row r="20" spans="1:9" s="1599" customFormat="1" ht="19.5" customHeight="1">
      <c r="A20" s="3641"/>
      <c r="B20" s="3641"/>
      <c r="C20" s="1131" t="s">
        <v>1452</v>
      </c>
      <c r="D20" s="1132"/>
      <c r="E20" s="1154">
        <v>1.1000000000000001</v>
      </c>
      <c r="F20" s="1133" t="s">
        <v>1453</v>
      </c>
      <c r="G20" s="1134"/>
      <c r="H20" s="1105"/>
      <c r="I20" s="1105"/>
    </row>
    <row r="21" spans="1:9" s="1599" customFormat="1" ht="19.5" customHeight="1">
      <c r="A21" s="3641"/>
      <c r="B21" s="3641"/>
      <c r="C21" s="1131" t="s">
        <v>1454</v>
      </c>
      <c r="D21" s="1132"/>
      <c r="E21" s="1154">
        <v>0.8</v>
      </c>
      <c r="F21" s="1133" t="s">
        <v>1455</v>
      </c>
      <c r="G21" s="1134"/>
      <c r="H21" s="1105"/>
      <c r="I21" s="1105"/>
    </row>
    <row r="22" spans="1:9" s="1599" customFormat="1" ht="19.5" customHeight="1">
      <c r="A22" s="3641"/>
      <c r="B22" s="3641"/>
      <c r="C22" s="1131" t="s">
        <v>1456</v>
      </c>
      <c r="D22" s="1132"/>
      <c r="E22" s="1154">
        <v>0.5</v>
      </c>
      <c r="F22" s="1133"/>
      <c r="G22" s="1134"/>
      <c r="H22" s="1105"/>
      <c r="I22" s="1105"/>
    </row>
    <row r="23" spans="1:9" s="1599" customFormat="1" ht="19.5" customHeight="1">
      <c r="A23" s="3641" t="s">
        <v>1029</v>
      </c>
      <c r="B23" s="1154" t="s">
        <v>1446</v>
      </c>
      <c r="C23" s="1131" t="s">
        <v>1457</v>
      </c>
      <c r="D23" s="1132"/>
      <c r="E23" s="1154">
        <v>1</v>
      </c>
      <c r="F23" s="1133" t="s">
        <v>1458</v>
      </c>
      <c r="G23" s="1134"/>
      <c r="H23" s="1105"/>
      <c r="I23" s="1105"/>
    </row>
    <row r="24" spans="1:9" s="1599" customFormat="1" ht="19.5" customHeight="1">
      <c r="A24" s="3641"/>
      <c r="B24" s="3641" t="s">
        <v>1449</v>
      </c>
      <c r="C24" s="1131" t="s">
        <v>1459</v>
      </c>
      <c r="D24" s="1132"/>
      <c r="E24" s="1154">
        <v>0.5</v>
      </c>
      <c r="F24" s="1133"/>
      <c r="G24" s="1134"/>
      <c r="H24" s="1105"/>
      <c r="I24" s="1105"/>
    </row>
    <row r="25" spans="1:9" s="1599" customFormat="1" ht="19.5" customHeight="1">
      <c r="A25" s="3641"/>
      <c r="B25" s="3641"/>
      <c r="C25" s="1131" t="s">
        <v>1460</v>
      </c>
      <c r="D25" s="1132"/>
      <c r="E25" s="1154">
        <v>1.1000000000000001</v>
      </c>
      <c r="F25" s="1133"/>
      <c r="G25" s="1134"/>
      <c r="H25" s="1105"/>
      <c r="I25" s="1105"/>
    </row>
    <row r="26" spans="1:9" s="1599" customFormat="1" ht="19.5" customHeight="1">
      <c r="A26" s="3641"/>
      <c r="B26" s="3641"/>
      <c r="C26" s="1131" t="s">
        <v>1461</v>
      </c>
      <c r="D26" s="1132"/>
      <c r="E26" s="1154">
        <v>1.1000000000000001</v>
      </c>
      <c r="F26" s="1133"/>
      <c r="G26" s="1134"/>
      <c r="H26" s="1105"/>
      <c r="I26" s="1105"/>
    </row>
    <row r="27" spans="1:9" s="1599" customFormat="1" ht="19.5" customHeight="1">
      <c r="A27" s="3641"/>
      <c r="B27" s="3641"/>
      <c r="C27" s="1131" t="s">
        <v>1462</v>
      </c>
      <c r="D27" s="1132"/>
      <c r="E27" s="1154">
        <v>0.9</v>
      </c>
      <c r="F27" s="1133" t="s">
        <v>1463</v>
      </c>
      <c r="G27" s="1134"/>
      <c r="H27" s="1105"/>
      <c r="I27" s="1105"/>
    </row>
    <row r="28" spans="1:9" s="1599" customFormat="1" ht="19.5" customHeight="1">
      <c r="A28" s="3641"/>
      <c r="B28" s="3641"/>
      <c r="C28" s="1131" t="s">
        <v>1464</v>
      </c>
      <c r="D28" s="1132"/>
      <c r="E28" s="1154">
        <v>0.9</v>
      </c>
      <c r="F28" s="1133" t="s">
        <v>1465</v>
      </c>
      <c r="G28" s="1134"/>
      <c r="H28" s="1105"/>
      <c r="I28" s="1105"/>
    </row>
    <row r="29" spans="1:9" s="1599" customFormat="1" ht="19.5" customHeight="1">
      <c r="A29" s="3641"/>
      <c r="B29" s="3641"/>
      <c r="C29" s="1131" t="s">
        <v>1466</v>
      </c>
      <c r="D29" s="1132"/>
      <c r="E29" s="1154">
        <v>0.9</v>
      </c>
      <c r="F29" s="1133" t="s">
        <v>1467</v>
      </c>
      <c r="G29" s="1134"/>
      <c r="H29" s="1105"/>
      <c r="I29" s="1105"/>
    </row>
    <row r="30" spans="1:9" s="1599" customFormat="1" ht="19.5" customHeight="1">
      <c r="A30" s="3641"/>
      <c r="B30" s="3641"/>
      <c r="C30" s="1131" t="s">
        <v>1468</v>
      </c>
      <c r="D30" s="1132"/>
      <c r="E30" s="1154">
        <v>0.9</v>
      </c>
      <c r="F30" s="1133" t="s">
        <v>1469</v>
      </c>
      <c r="G30" s="1134"/>
      <c r="H30" s="1105"/>
      <c r="I30" s="1105"/>
    </row>
    <row r="31" spans="1:9" s="1599" customFormat="1" ht="19.5" customHeight="1">
      <c r="A31" s="3641"/>
      <c r="B31" s="3641"/>
      <c r="C31" s="1131" t="s">
        <v>1470</v>
      </c>
      <c r="D31" s="1132"/>
      <c r="E31" s="1154">
        <v>0.8</v>
      </c>
      <c r="F31" s="1133" t="s">
        <v>1471</v>
      </c>
      <c r="G31" s="1134"/>
      <c r="H31" s="1105"/>
      <c r="I31" s="1105"/>
    </row>
    <row r="32" spans="1:9" s="1599" customFormat="1" ht="19.5" customHeight="1">
      <c r="A32" s="3641"/>
      <c r="B32" s="3641"/>
      <c r="C32" s="1131" t="s">
        <v>1472</v>
      </c>
      <c r="D32" s="1132"/>
      <c r="E32" s="1154">
        <v>0.8</v>
      </c>
      <c r="F32" s="1133" t="s">
        <v>1473</v>
      </c>
      <c r="G32" s="1134"/>
      <c r="H32" s="1105"/>
      <c r="I32" s="1105"/>
    </row>
    <row r="33" spans="1:9" s="1599" customFormat="1" ht="19.5" customHeight="1">
      <c r="A33" s="3641" t="s">
        <v>1474</v>
      </c>
      <c r="B33" s="1154" t="s">
        <v>1446</v>
      </c>
      <c r="C33" s="1131" t="s">
        <v>1475</v>
      </c>
      <c r="D33" s="1132"/>
      <c r="E33" s="1154">
        <v>1</v>
      </c>
      <c r="F33" s="1133" t="s">
        <v>1476</v>
      </c>
      <c r="G33" s="1134"/>
      <c r="H33" s="1105"/>
      <c r="I33" s="1105"/>
    </row>
    <row r="34" spans="1:9" s="1599" customFormat="1" ht="19.5" customHeight="1">
      <c r="A34" s="3641"/>
      <c r="B34" s="1154" t="s">
        <v>1449</v>
      </c>
      <c r="C34" s="1131" t="s">
        <v>1477</v>
      </c>
      <c r="D34" s="1132"/>
      <c r="E34" s="1154">
        <v>1.5</v>
      </c>
      <c r="F34" s="1133" t="s">
        <v>1478</v>
      </c>
      <c r="G34" s="1134"/>
      <c r="H34" s="1105"/>
      <c r="I34" s="1105"/>
    </row>
    <row r="35" spans="1:9" s="1599" customFormat="1" ht="19.5" customHeight="1">
      <c r="A35" s="3641" t="s">
        <v>1432</v>
      </c>
      <c r="B35" s="1154" t="s">
        <v>1446</v>
      </c>
      <c r="C35" s="1131" t="s">
        <v>1479</v>
      </c>
      <c r="D35" s="1132"/>
      <c r="E35" s="1154">
        <v>1</v>
      </c>
      <c r="F35" s="1133" t="s">
        <v>1480</v>
      </c>
      <c r="G35" s="1134"/>
      <c r="H35" s="1105"/>
      <c r="I35" s="1105"/>
    </row>
    <row r="36" spans="1:9" s="1599" customFormat="1" ht="19.5" customHeight="1">
      <c r="A36" s="3641"/>
      <c r="B36" s="3641" t="s">
        <v>1449</v>
      </c>
      <c r="C36" s="1131" t="s">
        <v>1481</v>
      </c>
      <c r="D36" s="1132"/>
      <c r="E36" s="1154">
        <v>1</v>
      </c>
      <c r="F36" s="1133" t="s">
        <v>1482</v>
      </c>
      <c r="G36" s="1134"/>
      <c r="H36" s="1105"/>
      <c r="I36" s="1105"/>
    </row>
    <row r="37" spans="1:9" s="1599" customFormat="1" ht="19.5" customHeight="1">
      <c r="A37" s="3641"/>
      <c r="B37" s="3641"/>
      <c r="C37" s="1131" t="s">
        <v>1483</v>
      </c>
      <c r="D37" s="1132"/>
      <c r="E37" s="1154">
        <v>1.5</v>
      </c>
      <c r="F37" s="1133" t="s">
        <v>1484</v>
      </c>
      <c r="G37" s="1134"/>
      <c r="H37" s="1105"/>
      <c r="I37" s="1105"/>
    </row>
    <row r="38" spans="1:9" s="1599" customFormat="1" ht="19.5" customHeight="1">
      <c r="A38" s="3641"/>
      <c r="B38" s="3641"/>
      <c r="C38" s="1131" t="s">
        <v>1485</v>
      </c>
      <c r="D38" s="1132"/>
      <c r="E38" s="1154">
        <v>1</v>
      </c>
      <c r="F38" s="1133" t="s">
        <v>1486</v>
      </c>
      <c r="G38" s="1134"/>
      <c r="H38" s="1105"/>
      <c r="I38" s="1105"/>
    </row>
    <row r="39" spans="1:9" s="1599" customFormat="1" ht="19.5" customHeight="1">
      <c r="A39" s="3641"/>
      <c r="B39" s="3641"/>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641" t="s">
        <v>1501</v>
      </c>
      <c r="C61" s="1068" t="s">
        <v>1502</v>
      </c>
      <c r="D61" s="1068" t="s">
        <v>1503</v>
      </c>
      <c r="E61" s="1139">
        <v>0.5</v>
      </c>
      <c r="F61" s="1154">
        <v>80</v>
      </c>
      <c r="H61" s="1105">
        <f>SUMIF(C59:C119,基准地价!C8,E59:E119)</f>
        <v>0</v>
      </c>
    </row>
    <row r="62" spans="1:8" s="1105" customFormat="1" ht="24">
      <c r="A62" s="1154">
        <v>2</v>
      </c>
      <c r="B62" s="3641"/>
      <c r="C62" s="1068" t="s">
        <v>1504</v>
      </c>
      <c r="D62" s="1068" t="s">
        <v>1505</v>
      </c>
      <c r="E62" s="1139">
        <v>0.5</v>
      </c>
      <c r="F62" s="1154">
        <v>80</v>
      </c>
    </row>
    <row r="63" spans="1:8" s="1105" customFormat="1" ht="36">
      <c r="A63" s="1154">
        <v>3</v>
      </c>
      <c r="B63" s="3641"/>
      <c r="C63" s="1068" t="s">
        <v>1506</v>
      </c>
      <c r="D63" s="1068" t="s">
        <v>1507</v>
      </c>
      <c r="E63" s="1139">
        <v>0.5</v>
      </c>
      <c r="F63" s="1154">
        <v>80</v>
      </c>
    </row>
    <row r="64" spans="1:8" s="1105" customFormat="1" ht="36">
      <c r="A64" s="1154">
        <v>4</v>
      </c>
      <c r="B64" s="3641"/>
      <c r="C64" s="1068" t="s">
        <v>1508</v>
      </c>
      <c r="D64" s="1068" t="s">
        <v>1509</v>
      </c>
      <c r="E64" s="1139">
        <v>0.4</v>
      </c>
      <c r="F64" s="1154">
        <v>60</v>
      </c>
    </row>
    <row r="65" spans="1:6" s="1105" customFormat="1" ht="36">
      <c r="A65" s="1154">
        <v>5</v>
      </c>
      <c r="B65" s="3641"/>
      <c r="C65" s="1068" t="s">
        <v>1510</v>
      </c>
      <c r="D65" s="1068" t="s">
        <v>1511</v>
      </c>
      <c r="E65" s="1139">
        <v>0.2</v>
      </c>
      <c r="F65" s="1154">
        <v>30</v>
      </c>
    </row>
    <row r="66" spans="1:6" s="1105" customFormat="1" ht="36">
      <c r="A66" s="1154">
        <v>6</v>
      </c>
      <c r="B66" s="3641"/>
      <c r="C66" s="1068" t="s">
        <v>1512</v>
      </c>
      <c r="D66" s="1068" t="s">
        <v>1513</v>
      </c>
      <c r="E66" s="1139">
        <v>0.3</v>
      </c>
      <c r="F66" s="1154">
        <v>50</v>
      </c>
    </row>
    <row r="67" spans="1:6" s="1105" customFormat="1" ht="36">
      <c r="A67" s="1154">
        <v>7</v>
      </c>
      <c r="B67" s="3641"/>
      <c r="C67" s="1068" t="s">
        <v>1514</v>
      </c>
      <c r="D67" s="1068" t="s">
        <v>1515</v>
      </c>
      <c r="E67" s="1139">
        <v>0.2</v>
      </c>
      <c r="F67" s="1154">
        <v>30</v>
      </c>
    </row>
    <row r="68" spans="1:6" s="1105" customFormat="1" ht="36">
      <c r="A68" s="1154">
        <v>8</v>
      </c>
      <c r="B68" s="3641"/>
      <c r="C68" s="1068" t="s">
        <v>1516</v>
      </c>
      <c r="D68" s="1068" t="s">
        <v>1517</v>
      </c>
      <c r="E68" s="1139">
        <v>0.2</v>
      </c>
      <c r="F68" s="1154">
        <v>30</v>
      </c>
    </row>
    <row r="69" spans="1:6" s="1105" customFormat="1" ht="36">
      <c r="A69" s="1154">
        <v>9</v>
      </c>
      <c r="B69" s="3641"/>
      <c r="C69" s="1068" t="s">
        <v>1518</v>
      </c>
      <c r="D69" s="1068" t="s">
        <v>1519</v>
      </c>
      <c r="E69" s="1139">
        <v>0.2</v>
      </c>
      <c r="F69" s="1154">
        <v>30</v>
      </c>
    </row>
    <row r="70" spans="1:6" s="1105" customFormat="1" ht="48">
      <c r="A70" s="1154">
        <v>10</v>
      </c>
      <c r="B70" s="3641"/>
      <c r="C70" s="1068" t="s">
        <v>1520</v>
      </c>
      <c r="D70" s="1068" t="s">
        <v>1521</v>
      </c>
      <c r="E70" s="1139">
        <v>0.2</v>
      </c>
      <c r="F70" s="1154">
        <v>30</v>
      </c>
    </row>
    <row r="71" spans="1:6" s="1105" customFormat="1" ht="48">
      <c r="A71" s="1154">
        <v>11</v>
      </c>
      <c r="B71" s="3641"/>
      <c r="C71" s="1068" t="s">
        <v>1522</v>
      </c>
      <c r="D71" s="1068" t="s">
        <v>1523</v>
      </c>
      <c r="E71" s="1139">
        <v>0.2</v>
      </c>
      <c r="F71" s="1154">
        <v>30</v>
      </c>
    </row>
    <row r="72" spans="1:6" s="1105" customFormat="1" ht="36">
      <c r="A72" s="1154">
        <v>12</v>
      </c>
      <c r="B72" s="3641"/>
      <c r="C72" s="1068" t="s">
        <v>1524</v>
      </c>
      <c r="D72" s="1068" t="s">
        <v>1525</v>
      </c>
      <c r="E72" s="1139">
        <v>0.5</v>
      </c>
      <c r="F72" s="1154">
        <v>80</v>
      </c>
    </row>
    <row r="73" spans="1:6" s="1105" customFormat="1" ht="24">
      <c r="A73" s="1154">
        <v>13</v>
      </c>
      <c r="B73" s="3641"/>
      <c r="C73" s="1068" t="s">
        <v>1526</v>
      </c>
      <c r="D73" s="1068" t="s">
        <v>1527</v>
      </c>
      <c r="E73" s="1139">
        <v>0.4</v>
      </c>
      <c r="F73" s="1154">
        <v>60</v>
      </c>
    </row>
    <row r="74" spans="1:6" s="1105" customFormat="1" ht="24">
      <c r="A74" s="1154">
        <v>14</v>
      </c>
      <c r="B74" s="3641"/>
      <c r="C74" s="1068" t="s">
        <v>1528</v>
      </c>
      <c r="D74" s="1068" t="s">
        <v>1529</v>
      </c>
      <c r="E74" s="1139">
        <v>0.2</v>
      </c>
      <c r="F74" s="1154">
        <v>30</v>
      </c>
    </row>
    <row r="75" spans="1:6" s="1105" customFormat="1" ht="24">
      <c r="A75" s="1154">
        <v>15</v>
      </c>
      <c r="B75" s="3641"/>
      <c r="C75" s="1068" t="s">
        <v>1530</v>
      </c>
      <c r="D75" s="1068" t="s">
        <v>1531</v>
      </c>
      <c r="E75" s="1139">
        <v>0.2</v>
      </c>
      <c r="F75" s="1154">
        <v>30</v>
      </c>
    </row>
    <row r="76" spans="1:6" s="1105" customFormat="1" ht="24">
      <c r="A76" s="1154">
        <v>16</v>
      </c>
      <c r="B76" s="3641" t="s">
        <v>1532</v>
      </c>
      <c r="C76" s="1068" t="s">
        <v>1533</v>
      </c>
      <c r="D76" s="1068" t="s">
        <v>1534</v>
      </c>
      <c r="E76" s="1139">
        <v>0.5</v>
      </c>
      <c r="F76" s="1154">
        <v>80</v>
      </c>
    </row>
    <row r="77" spans="1:6" s="1105" customFormat="1" ht="24">
      <c r="A77" s="1154">
        <v>17</v>
      </c>
      <c r="B77" s="3641"/>
      <c r="C77" s="1068" t="s">
        <v>1535</v>
      </c>
      <c r="D77" s="1068" t="s">
        <v>1536</v>
      </c>
      <c r="E77" s="1139">
        <v>0.5</v>
      </c>
      <c r="F77" s="1154">
        <v>80</v>
      </c>
    </row>
    <row r="78" spans="1:6" s="1105" customFormat="1" ht="24">
      <c r="A78" s="1154">
        <v>18</v>
      </c>
      <c r="B78" s="3641"/>
      <c r="C78" s="1068" t="s">
        <v>1537</v>
      </c>
      <c r="D78" s="1068" t="s">
        <v>1538</v>
      </c>
      <c r="E78" s="1139">
        <v>0.2</v>
      </c>
      <c r="F78" s="1154">
        <v>30</v>
      </c>
    </row>
    <row r="79" spans="1:6" s="1105" customFormat="1" ht="24">
      <c r="A79" s="1154">
        <v>19</v>
      </c>
      <c r="B79" s="3641"/>
      <c r="C79" s="1068" t="s">
        <v>1539</v>
      </c>
      <c r="D79" s="1068" t="s">
        <v>1540</v>
      </c>
      <c r="E79" s="1139">
        <v>0.5</v>
      </c>
      <c r="F79" s="1154">
        <v>80</v>
      </c>
    </row>
    <row r="80" spans="1:6" s="1105" customFormat="1" ht="36">
      <c r="A80" s="1154">
        <v>20</v>
      </c>
      <c r="B80" s="3641"/>
      <c r="C80" s="1068" t="s">
        <v>1541</v>
      </c>
      <c r="D80" s="1068" t="s">
        <v>1542</v>
      </c>
      <c r="E80" s="1139">
        <v>0.2</v>
      </c>
      <c r="F80" s="1154">
        <v>30</v>
      </c>
    </row>
    <row r="81" spans="1:6" s="1105" customFormat="1" ht="36">
      <c r="A81" s="1154">
        <v>21</v>
      </c>
      <c r="B81" s="3641"/>
      <c r="C81" s="1068" t="s">
        <v>1543</v>
      </c>
      <c r="D81" s="1068" t="s">
        <v>1544</v>
      </c>
      <c r="E81" s="1139">
        <v>0.2</v>
      </c>
      <c r="F81" s="1154">
        <v>30</v>
      </c>
    </row>
    <row r="82" spans="1:6" s="1105" customFormat="1" ht="48">
      <c r="A82" s="1154">
        <v>22</v>
      </c>
      <c r="B82" s="3641"/>
      <c r="C82" s="1068" t="s">
        <v>1545</v>
      </c>
      <c r="D82" s="1068" t="s">
        <v>1546</v>
      </c>
      <c r="E82" s="1139">
        <v>0.2</v>
      </c>
      <c r="F82" s="1154">
        <v>30</v>
      </c>
    </row>
    <row r="83" spans="1:6" s="1105" customFormat="1" ht="48">
      <c r="A83" s="1154">
        <v>23</v>
      </c>
      <c r="B83" s="3641"/>
      <c r="C83" s="1068" t="s">
        <v>1547</v>
      </c>
      <c r="D83" s="1068" t="s">
        <v>1548</v>
      </c>
      <c r="E83" s="1139">
        <v>0.2</v>
      </c>
      <c r="F83" s="1154">
        <v>30</v>
      </c>
    </row>
    <row r="84" spans="1:6" s="1105" customFormat="1" ht="36">
      <c r="A84" s="1154">
        <v>24</v>
      </c>
      <c r="B84" s="3641"/>
      <c r="C84" s="1068" t="s">
        <v>1549</v>
      </c>
      <c r="D84" s="1068" t="s">
        <v>1550</v>
      </c>
      <c r="E84" s="1139">
        <v>0.2</v>
      </c>
      <c r="F84" s="1154">
        <v>30</v>
      </c>
    </row>
    <row r="85" spans="1:6" s="1105" customFormat="1" ht="36">
      <c r="A85" s="1154">
        <v>25</v>
      </c>
      <c r="B85" s="3641"/>
      <c r="C85" s="1068" t="s">
        <v>1551</v>
      </c>
      <c r="D85" s="1068" t="s">
        <v>1552</v>
      </c>
      <c r="E85" s="1139">
        <v>0.5</v>
      </c>
      <c r="F85" s="1154">
        <v>80</v>
      </c>
    </row>
    <row r="86" spans="1:6" s="1105" customFormat="1" ht="36">
      <c r="A86" s="1154">
        <v>26</v>
      </c>
      <c r="B86" s="3641"/>
      <c r="C86" s="1068" t="s">
        <v>1553</v>
      </c>
      <c r="D86" s="1068" t="s">
        <v>1554</v>
      </c>
      <c r="E86" s="1139">
        <v>0.2</v>
      </c>
      <c r="F86" s="1154">
        <v>30</v>
      </c>
    </row>
    <row r="87" spans="1:6" s="1105" customFormat="1" ht="36">
      <c r="A87" s="1154">
        <v>27</v>
      </c>
      <c r="B87" s="3641"/>
      <c r="C87" s="1068" t="s">
        <v>1555</v>
      </c>
      <c r="D87" s="1068" t="s">
        <v>1556</v>
      </c>
      <c r="E87" s="1139">
        <v>0.2</v>
      </c>
      <c r="F87" s="1154">
        <v>30</v>
      </c>
    </row>
    <row r="88" spans="1:6" s="1105" customFormat="1" ht="36">
      <c r="A88" s="1154">
        <v>28</v>
      </c>
      <c r="B88" s="3641"/>
      <c r="C88" s="1068" t="s">
        <v>1557</v>
      </c>
      <c r="D88" s="1068" t="s">
        <v>1558</v>
      </c>
      <c r="E88" s="1139">
        <v>0.2</v>
      </c>
      <c r="F88" s="1154">
        <v>30</v>
      </c>
    </row>
    <row r="89" spans="1:6" s="1105" customFormat="1" ht="24">
      <c r="A89" s="1154">
        <v>29</v>
      </c>
      <c r="B89" s="3641"/>
      <c r="C89" s="1068" t="s">
        <v>1559</v>
      </c>
      <c r="D89" s="1068" t="s">
        <v>1560</v>
      </c>
      <c r="E89" s="1139">
        <v>0.2</v>
      </c>
      <c r="F89" s="1154">
        <v>30</v>
      </c>
    </row>
    <row r="90" spans="1:6" s="1105" customFormat="1" ht="24">
      <c r="A90" s="1154">
        <v>30</v>
      </c>
      <c r="B90" s="3641"/>
      <c r="C90" s="1068" t="s">
        <v>1561</v>
      </c>
      <c r="D90" s="1068" t="s">
        <v>1562</v>
      </c>
      <c r="E90" s="1139">
        <v>0.2</v>
      </c>
      <c r="F90" s="1154">
        <v>30</v>
      </c>
    </row>
    <row r="91" spans="1:6" s="1105" customFormat="1" ht="36">
      <c r="A91" s="1154">
        <v>31</v>
      </c>
      <c r="B91" s="3641"/>
      <c r="C91" s="1068" t="s">
        <v>1563</v>
      </c>
      <c r="D91" s="1068" t="s">
        <v>1564</v>
      </c>
      <c r="E91" s="1139">
        <v>0.2</v>
      </c>
      <c r="F91" s="1154">
        <v>30</v>
      </c>
    </row>
    <row r="92" spans="1:6" s="1105" customFormat="1" ht="24">
      <c r="A92" s="1154">
        <v>32</v>
      </c>
      <c r="B92" s="3641" t="s">
        <v>1565</v>
      </c>
      <c r="C92" s="1154" t="s">
        <v>1566</v>
      </c>
      <c r="D92" s="1068" t="s">
        <v>1567</v>
      </c>
      <c r="E92" s="1139">
        <v>0.2</v>
      </c>
      <c r="F92" s="1154">
        <v>30</v>
      </c>
    </row>
    <row r="93" spans="1:6" s="1105" customFormat="1" ht="36">
      <c r="A93" s="1154">
        <v>33</v>
      </c>
      <c r="B93" s="3641"/>
      <c r="C93" s="1154" t="s">
        <v>1568</v>
      </c>
      <c r="D93" s="1068" t="s">
        <v>1569</v>
      </c>
      <c r="E93" s="1139">
        <v>0.2</v>
      </c>
      <c r="F93" s="1154">
        <v>30</v>
      </c>
    </row>
    <row r="94" spans="1:6" s="1105" customFormat="1" ht="48">
      <c r="A94" s="1154">
        <v>34</v>
      </c>
      <c r="B94" s="3641"/>
      <c r="C94" s="1154" t="s">
        <v>1570</v>
      </c>
      <c r="D94" s="1068" t="s">
        <v>1571</v>
      </c>
      <c r="E94" s="1139">
        <v>0.2</v>
      </c>
      <c r="F94" s="1154">
        <v>30</v>
      </c>
    </row>
    <row r="95" spans="1:6" s="1105" customFormat="1" ht="36">
      <c r="A95" s="1154">
        <v>35</v>
      </c>
      <c r="B95" s="3641"/>
      <c r="C95" s="1154" t="s">
        <v>1572</v>
      </c>
      <c r="D95" s="1068" t="s">
        <v>1573</v>
      </c>
      <c r="E95" s="1139">
        <v>0.2</v>
      </c>
      <c r="F95" s="1154">
        <v>30</v>
      </c>
    </row>
    <row r="96" spans="1:6" s="1105" customFormat="1" ht="48">
      <c r="A96" s="1154">
        <v>36</v>
      </c>
      <c r="B96" s="3641"/>
      <c r="C96" s="1068" t="s">
        <v>1574</v>
      </c>
      <c r="D96" s="1068" t="s">
        <v>1575</v>
      </c>
      <c r="E96" s="1139">
        <v>0.2</v>
      </c>
      <c r="F96" s="1154">
        <v>30</v>
      </c>
    </row>
    <row r="97" spans="1:6" s="1105" customFormat="1" ht="36">
      <c r="A97" s="1154">
        <v>37</v>
      </c>
      <c r="B97" s="3641"/>
      <c r="C97" s="1154" t="s">
        <v>1576</v>
      </c>
      <c r="D97" s="1068" t="s">
        <v>1577</v>
      </c>
      <c r="E97" s="1139">
        <v>0.2</v>
      </c>
      <c r="F97" s="1154">
        <v>30</v>
      </c>
    </row>
    <row r="98" spans="1:6" s="1105" customFormat="1" ht="36">
      <c r="A98" s="1154">
        <v>38</v>
      </c>
      <c r="B98" s="3641"/>
      <c r="C98" s="1154" t="s">
        <v>1578</v>
      </c>
      <c r="D98" s="1068" t="s">
        <v>1579</v>
      </c>
      <c r="E98" s="1139">
        <v>0.2</v>
      </c>
      <c r="F98" s="1154">
        <v>30</v>
      </c>
    </row>
    <row r="99" spans="1:6" s="1105" customFormat="1" ht="36">
      <c r="A99" s="1154">
        <v>39</v>
      </c>
      <c r="B99" s="3641" t="s">
        <v>1580</v>
      </c>
      <c r="C99" s="1154" t="s">
        <v>1581</v>
      </c>
      <c r="D99" s="1068" t="s">
        <v>1582</v>
      </c>
      <c r="E99" s="1139">
        <v>0.3</v>
      </c>
      <c r="F99" s="1154">
        <v>50</v>
      </c>
    </row>
    <row r="100" spans="1:6" s="1105" customFormat="1" ht="24">
      <c r="A100" s="1154">
        <v>40</v>
      </c>
      <c r="B100" s="3641"/>
      <c r="C100" s="1154" t="s">
        <v>1583</v>
      </c>
      <c r="D100" s="1068" t="s">
        <v>1584</v>
      </c>
      <c r="E100" s="1139">
        <v>0.2</v>
      </c>
      <c r="F100" s="1154">
        <v>30</v>
      </c>
    </row>
    <row r="101" spans="1:6" s="1105" customFormat="1" ht="36">
      <c r="A101" s="1154">
        <v>41</v>
      </c>
      <c r="B101" s="3641"/>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641" t="s">
        <v>1595</v>
      </c>
      <c r="C105" s="1154" t="s">
        <v>1596</v>
      </c>
      <c r="D105" s="1068" t="s">
        <v>1597</v>
      </c>
      <c r="E105" s="1139">
        <v>0.2</v>
      </c>
      <c r="F105" s="1154">
        <v>30</v>
      </c>
    </row>
    <row r="106" spans="1:6" s="1105" customFormat="1" ht="36">
      <c r="A106" s="1154">
        <v>46</v>
      </c>
      <c r="B106" s="3641"/>
      <c r="C106" s="1154" t="s">
        <v>1598</v>
      </c>
      <c r="D106" s="1068" t="s">
        <v>1599</v>
      </c>
      <c r="E106" s="1139">
        <v>0.2</v>
      </c>
      <c r="F106" s="1154">
        <v>30</v>
      </c>
    </row>
    <row r="107" spans="1:6" s="1105" customFormat="1" ht="36">
      <c r="A107" s="1154">
        <v>47</v>
      </c>
      <c r="B107" s="3641" t="s">
        <v>1600</v>
      </c>
      <c r="C107" s="1154" t="s">
        <v>1601</v>
      </c>
      <c r="D107" s="1068" t="s">
        <v>1602</v>
      </c>
      <c r="E107" s="1139">
        <v>0.3</v>
      </c>
      <c r="F107" s="1154">
        <v>50</v>
      </c>
    </row>
    <row r="108" spans="1:6" s="1105" customFormat="1" ht="36">
      <c r="A108" s="1154">
        <v>48</v>
      </c>
      <c r="B108" s="364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641" t="s">
        <v>1611</v>
      </c>
      <c r="C111" s="1154" t="s">
        <v>1612</v>
      </c>
      <c r="D111" s="1068" t="s">
        <v>1613</v>
      </c>
      <c r="E111" s="1139">
        <v>0.2</v>
      </c>
      <c r="F111" s="1154">
        <v>30</v>
      </c>
    </row>
    <row r="112" spans="1:6" s="1105" customFormat="1" ht="24">
      <c r="A112" s="1154">
        <v>52</v>
      </c>
      <c r="B112" s="3641"/>
      <c r="C112" s="1154" t="s">
        <v>1614</v>
      </c>
      <c r="D112" s="1068" t="s">
        <v>1615</v>
      </c>
      <c r="E112" s="1139">
        <v>0.2</v>
      </c>
      <c r="F112" s="1154">
        <v>30</v>
      </c>
    </row>
    <row r="113" spans="1:14" s="1105" customFormat="1" ht="24">
      <c r="A113" s="1154">
        <v>53</v>
      </c>
      <c r="B113" s="3641"/>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641" t="s">
        <v>1624</v>
      </c>
      <c r="C116" s="1154" t="s">
        <v>1625</v>
      </c>
      <c r="D116" s="1068" t="s">
        <v>1626</v>
      </c>
      <c r="E116" s="1139">
        <v>0.2</v>
      </c>
      <c r="F116" s="1154">
        <v>30</v>
      </c>
    </row>
    <row r="117" spans="1:14" ht="36">
      <c r="A117" s="1154">
        <v>57</v>
      </c>
      <c r="B117" s="364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640" t="s">
        <v>1633</v>
      </c>
      <c r="B121" s="3640"/>
      <c r="C121" s="3640"/>
      <c r="D121" s="3640"/>
      <c r="E121" s="3640"/>
      <c r="F121" s="3640"/>
      <c r="G121" s="3640"/>
      <c r="H121" s="3640"/>
      <c r="I121" s="3640"/>
      <c r="J121" s="36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5" customWidth="1"/>
    <col min="2" max="5" width="10.125" style="1066" customWidth="1"/>
    <col min="6" max="6" width="8.875" style="1066"/>
    <col min="7" max="7" width="8.875" style="1069"/>
    <col min="8" max="8" width="8.875" style="1066"/>
    <col min="9" max="9" width="8.875" style="1069"/>
    <col min="10" max="16384" width="8.875" style="1066"/>
  </cols>
  <sheetData>
    <row r="1" spans="1:20">
      <c r="A1" s="3645" t="s">
        <v>1039</v>
      </c>
      <c r="B1" s="3645"/>
      <c r="C1" s="3645"/>
      <c r="D1" s="3645"/>
      <c r="E1" s="3645"/>
      <c r="F1" s="3645"/>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646" t="s">
        <v>1052</v>
      </c>
      <c r="B2" s="3646"/>
      <c r="C2" s="3646"/>
      <c r="D2" s="3646"/>
      <c r="E2" s="3646"/>
      <c r="F2" s="3646"/>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647"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648"/>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7"/>
    <col min="2" max="16384" width="8.875"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1" customWidth="1"/>
    <col min="2" max="2" width="10.125" style="1882" customWidth="1"/>
  </cols>
  <sheetData>
    <row r="1" spans="1:6">
      <c r="A1" s="3649" t="s">
        <v>2080</v>
      </c>
      <c r="B1" s="364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24.75" thickBot="1">
      <c r="A72" s="1856" t="s">
        <v>924</v>
      </c>
      <c r="B72" s="1860" t="s">
        <v>2094</v>
      </c>
      <c r="C72" s="1870"/>
      <c r="D72" s="1870"/>
      <c r="E72" s="1870"/>
      <c r="F72" s="1862">
        <v>0.05</v>
      </c>
    </row>
    <row r="73" spans="1:6" ht="24.75" thickBot="1">
      <c r="A73" s="1856" t="s">
        <v>924</v>
      </c>
      <c r="B73" s="1860" t="s">
        <v>2095</v>
      </c>
      <c r="C73" s="1870"/>
      <c r="D73" s="1870"/>
      <c r="E73" s="1870"/>
      <c r="F73" s="1862">
        <v>0.05</v>
      </c>
    </row>
    <row r="74" spans="1:6" ht="24.75" thickBot="1">
      <c r="A74" s="1856" t="s">
        <v>924</v>
      </c>
      <c r="B74" s="1860" t="s">
        <v>2096</v>
      </c>
      <c r="C74" s="1870"/>
      <c r="D74" s="1870"/>
      <c r="E74" s="1870"/>
      <c r="F74" s="1862">
        <v>0.05</v>
      </c>
    </row>
    <row r="75" spans="1:6" ht="24.7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24.7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24.7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6" sqref="I6:L6"/>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2" t="s">
        <v>2943</v>
      </c>
      <c r="B1" s="3134"/>
      <c r="C1" s="3134"/>
      <c r="D1" s="3134"/>
      <c r="E1" s="3134"/>
      <c r="F1" s="3134"/>
    </row>
    <row r="2" spans="1:6" ht="14.25">
      <c r="A2" s="3135" t="s">
        <v>2937</v>
      </c>
      <c r="B2" s="3136" t="e">
        <f ca="1">SUMIF(B7:B14,"&lt;&gt;#ref!",B7:B14)</f>
        <v>#DIV/0!</v>
      </c>
      <c r="C2" s="3135" t="s">
        <v>2938</v>
      </c>
      <c r="D2" s="3134"/>
      <c r="E2" s="3134"/>
      <c r="F2" s="3134"/>
    </row>
    <row r="3" spans="1:6" ht="14.25">
      <c r="A3" s="3135" t="s">
        <v>2940</v>
      </c>
      <c r="B3" s="3136" t="e">
        <f ca="1">ROUND(B2*10000/E3,0)</f>
        <v>#DIV/0!</v>
      </c>
      <c r="C3" s="3135" t="s">
        <v>2079</v>
      </c>
      <c r="D3" s="3135" t="s">
        <v>2939</v>
      </c>
      <c r="E3" s="3136" t="e">
        <f ca="1">SUM(E7:E14)</f>
        <v>#REF!</v>
      </c>
      <c r="F3" s="3134"/>
    </row>
    <row r="4" spans="1:6" ht="14.25">
      <c r="A4" s="3135" t="s">
        <v>2947</v>
      </c>
      <c r="B4" s="3136" t="e">
        <f ca="1">ROUND(B2*10000/E4,0)</f>
        <v>#DIV/0!</v>
      </c>
      <c r="C4" s="3135" t="s">
        <v>2079</v>
      </c>
      <c r="D4" s="3135" t="s">
        <v>2948</v>
      </c>
      <c r="E4" s="3136" t="e">
        <f ca="1">SUM(F7:F14)</f>
        <v>#REF!</v>
      </c>
      <c r="F4" s="3134"/>
    </row>
    <row r="5" spans="1:6" ht="14.25">
      <c r="A5" s="3137"/>
      <c r="B5" s="1882"/>
      <c r="C5" s="1882"/>
      <c r="D5" s="1882"/>
      <c r="E5" s="1882"/>
      <c r="F5" s="3134"/>
    </row>
    <row r="6" spans="1:6" ht="28.5">
      <c r="A6" s="3138" t="s">
        <v>2944</v>
      </c>
      <c r="B6" s="3135" t="s">
        <v>2941</v>
      </c>
      <c r="C6" s="3136"/>
      <c r="D6" s="1882"/>
      <c r="E6" s="3135" t="s">
        <v>2942</v>
      </c>
      <c r="F6" s="3135" t="s">
        <v>2946</v>
      </c>
    </row>
    <row r="7" spans="1:6" ht="14.25">
      <c r="A7" s="260" t="s">
        <v>2945</v>
      </c>
      <c r="B7" s="3139" t="e">
        <f ca="1">SUMIF(INDIRECT("'"&amp;A7&amp;"'"&amp;"!A:A"),"总价",INDIRECT("'"&amp;A7&amp;"'"&amp;"!B:B"))</f>
        <v>#DIV/0!</v>
      </c>
      <c r="C7" s="3135" t="s">
        <v>2938</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2938</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2938</v>
      </c>
      <c r="D9" s="1882"/>
      <c r="E9" s="3140" t="e">
        <f t="shared" ca="1" si="1"/>
        <v>#REF!</v>
      </c>
      <c r="F9" s="3140" t="e">
        <f t="shared" ca="1" si="2"/>
        <v>#REF!</v>
      </c>
    </row>
    <row r="10" spans="1:6" ht="14.25">
      <c r="A10" s="260"/>
      <c r="B10" s="3139" t="e">
        <f t="shared" ca="1" si="0"/>
        <v>#REF!</v>
      </c>
      <c r="C10" s="3135" t="s">
        <v>2938</v>
      </c>
      <c r="D10" s="1882"/>
      <c r="E10" s="3140" t="e">
        <f t="shared" ca="1" si="1"/>
        <v>#REF!</v>
      </c>
      <c r="F10" s="3140" t="e">
        <f t="shared" ca="1" si="2"/>
        <v>#REF!</v>
      </c>
    </row>
    <row r="11" spans="1:6" ht="14.25">
      <c r="A11" s="260"/>
      <c r="B11" s="3139" t="e">
        <f t="shared" ca="1" si="0"/>
        <v>#REF!</v>
      </c>
      <c r="C11" s="3135" t="s">
        <v>2938</v>
      </c>
      <c r="D11" s="1882"/>
      <c r="E11" s="3140" t="e">
        <f t="shared" ca="1" si="1"/>
        <v>#REF!</v>
      </c>
      <c r="F11" s="3140" t="e">
        <f t="shared" ca="1" si="2"/>
        <v>#REF!</v>
      </c>
    </row>
    <row r="12" spans="1:6" ht="14.25">
      <c r="A12" s="260"/>
      <c r="B12" s="3139" t="e">
        <f t="shared" ca="1" si="0"/>
        <v>#REF!</v>
      </c>
      <c r="C12" s="3135" t="s">
        <v>2938</v>
      </c>
      <c r="D12" s="1882"/>
      <c r="E12" s="3140" t="e">
        <f t="shared" ca="1" si="1"/>
        <v>#REF!</v>
      </c>
      <c r="F12" s="3140" t="e">
        <f t="shared" ca="1" si="2"/>
        <v>#REF!</v>
      </c>
    </row>
    <row r="13" spans="1:6" ht="14.25">
      <c r="A13" s="260"/>
      <c r="B13" s="3139" t="e">
        <f t="shared" ca="1" si="0"/>
        <v>#REF!</v>
      </c>
      <c r="C13" s="3135" t="s">
        <v>2938</v>
      </c>
      <c r="D13" s="1882"/>
      <c r="E13" s="3140" t="e">
        <f t="shared" ca="1" si="1"/>
        <v>#REF!</v>
      </c>
      <c r="F13" s="3140" t="e">
        <f t="shared" ca="1" si="2"/>
        <v>#REF!</v>
      </c>
    </row>
    <row r="14" spans="1:6" ht="14.25">
      <c r="A14" s="3133"/>
      <c r="B14" s="3139" t="e">
        <f t="shared" ca="1" si="0"/>
        <v>#REF!</v>
      </c>
      <c r="C14" s="3135" t="s">
        <v>2938</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6" sqref="I6:L6"/>
    </sheetView>
  </sheetViews>
  <sheetFormatPr defaultColWidth="8.875" defaultRowHeight="15"/>
  <cols>
    <col min="1" max="1" width="9" style="2099" customWidth="1"/>
    <col min="2" max="2" width="20.625" style="2100" customWidth="1"/>
    <col min="3" max="3" width="11.875" style="2100" customWidth="1"/>
    <col min="4" max="4" width="40.5" style="2061" customWidth="1"/>
    <col min="5" max="5" width="15.625" style="2061" customWidth="1"/>
    <col min="6" max="6" width="10.625" style="2061" customWidth="1"/>
    <col min="7" max="7" width="4.875" style="2061" customWidth="1"/>
    <col min="8" max="8" width="8.5" style="2061" customWidth="1"/>
    <col min="9" max="9" width="21.125" style="2061" customWidth="1"/>
    <col min="10" max="10" width="12.1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125" style="2060" customWidth="1"/>
    <col min="17" max="17" width="13.625" style="2060" customWidth="1"/>
    <col min="18" max="18" width="22.125" style="2060" customWidth="1"/>
    <col min="19" max="19" width="1.5" style="2060" customWidth="1"/>
    <col min="20" max="25" width="8.875" style="2060"/>
    <col min="26" max="16384" width="8.875" style="2061"/>
  </cols>
  <sheetData>
    <row r="1" spans="1:25" s="2055" customFormat="1" ht="21">
      <c r="A1" s="772" t="s">
        <v>628</v>
      </c>
      <c r="B1" s="738"/>
      <c r="C1" s="773"/>
      <c r="D1" s="2051"/>
      <c r="E1" s="2412" t="s">
        <v>2374</v>
      </c>
      <c r="F1" s="2413">
        <f ca="1">J54</f>
        <v>0</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2458</v>
      </c>
      <c r="C7" s="53">
        <f ca="1">C8+C12+C14</f>
        <v>0</v>
      </c>
      <c r="D7" s="2521" t="s">
        <v>2461</v>
      </c>
      <c r="E7" s="2515"/>
      <c r="F7" s="2516"/>
      <c r="G7" s="1592"/>
      <c r="H7" s="781">
        <v>1</v>
      </c>
      <c r="I7" s="782" t="s">
        <v>2458</v>
      </c>
      <c r="J7" s="53">
        <f ca="1">J8+J12+J14</f>
        <v>0</v>
      </c>
      <c r="K7" s="2521" t="s">
        <v>2461</v>
      </c>
      <c r="L7" s="2515"/>
      <c r="M7" s="2516"/>
    </row>
    <row r="8" spans="1:25" ht="18" customHeight="1">
      <c r="A8" s="1831" t="s">
        <v>1824</v>
      </c>
      <c r="B8" s="3651" t="s">
        <v>2463</v>
      </c>
      <c r="C8" s="1826">
        <f ca="1">ROUND(F8*F10*F9*(1-F11)/10000,0)</f>
        <v>0</v>
      </c>
      <c r="D8" s="1823" t="s">
        <v>2534</v>
      </c>
      <c r="E8" s="61" t="s">
        <v>637</v>
      </c>
      <c r="F8" s="785">
        <f ca="1">INDIRECT("'数据-取费表'!u"&amp;$G$1)</f>
        <v>0</v>
      </c>
      <c r="G8" s="1592"/>
      <c r="H8" s="2529" t="s">
        <v>1824</v>
      </c>
      <c r="I8" s="3651" t="s">
        <v>2463</v>
      </c>
      <c r="J8" s="783">
        <f ca="1">ROUND(M8*M10*M9*(1-M11)/10000,0)</f>
        <v>0</v>
      </c>
      <c r="K8" s="341" t="s">
        <v>2534</v>
      </c>
      <c r="L8" s="784" t="s">
        <v>1738</v>
      </c>
      <c r="M8" s="785">
        <f ca="1">INDIRECT("'数据-取费表'!z"&amp;$G$1)</f>
        <v>0</v>
      </c>
    </row>
    <row r="9" spans="1:25" ht="18" customHeight="1">
      <c r="A9" s="2525"/>
      <c r="B9" s="3652"/>
      <c r="C9" s="1827"/>
      <c r="D9" s="1824"/>
      <c r="E9" s="61" t="s">
        <v>638</v>
      </c>
      <c r="F9" s="785">
        <f ca="1">IF(INDIRECT("'数据-取费表'!ah"&amp;$G$1)="",INDIRECT("'数据-取费表'!k"&amp;$G$1),INDIRECT("'数据-取费表'!ah"&amp;$G$1))</f>
        <v>0</v>
      </c>
      <c r="G9" s="1592"/>
      <c r="H9" s="2514"/>
      <c r="I9" s="3652"/>
      <c r="J9" s="788"/>
      <c r="K9" s="789"/>
      <c r="L9" s="784" t="s">
        <v>1739</v>
      </c>
      <c r="M9" s="785">
        <f ca="1">F9</f>
        <v>0</v>
      </c>
    </row>
    <row r="10" spans="1:25" ht="18" customHeight="1">
      <c r="A10" s="2518"/>
      <c r="B10" s="3653"/>
      <c r="C10" s="1827"/>
      <c r="D10" s="1824"/>
      <c r="E10" s="61" t="s">
        <v>639</v>
      </c>
      <c r="F10" s="785">
        <f ca="1">INDIRECT("'数据-取费表'!ai"&amp;$G$1)</f>
        <v>0</v>
      </c>
      <c r="G10" s="1592"/>
      <c r="H10" s="2514"/>
      <c r="I10" s="3653"/>
      <c r="J10" s="788"/>
      <c r="K10" s="789"/>
      <c r="L10" s="784" t="s">
        <v>1740</v>
      </c>
      <c r="M10" s="785">
        <f ca="1">INDIRECT("'数据-取费表'!ai"&amp;$G$1)</f>
        <v>0</v>
      </c>
    </row>
    <row r="11" spans="1:25" ht="18" customHeight="1">
      <c r="A11" s="786"/>
      <c r="B11" s="3654"/>
      <c r="C11" s="1827"/>
      <c r="D11" s="1824"/>
      <c r="E11" s="61" t="s">
        <v>640</v>
      </c>
      <c r="F11" s="794">
        <f ca="1">INDIRECT("'数据-取费表'!w"&amp;$G$1)</f>
        <v>0</v>
      </c>
      <c r="G11" s="1592"/>
      <c r="H11" s="2530"/>
      <c r="I11" s="3653"/>
      <c r="J11" s="788"/>
      <c r="K11" s="789"/>
      <c r="L11" s="795" t="s">
        <v>1741</v>
      </c>
      <c r="M11" s="796">
        <f ca="1">INDIRECT("'数据-取费表'!ab"&amp;$G$1)</f>
        <v>0</v>
      </c>
    </row>
    <row r="12" spans="1:25" ht="18" customHeight="1">
      <c r="A12" s="1831" t="s">
        <v>1825</v>
      </c>
      <c r="B12" s="2519" t="s">
        <v>2459</v>
      </c>
      <c r="C12" s="799">
        <f ca="1">ROUND(IF(F12="押一",C8/12*F13,IF(F12="押二",C8/12*2*F13,IF(F12="押三",C8/12*3*F13,C13*F13))),0)</f>
        <v>0</v>
      </c>
      <c r="D12" s="2526" t="s">
        <v>2968</v>
      </c>
      <c r="E12" s="2523" t="s">
        <v>2464</v>
      </c>
      <c r="F12" s="2646"/>
      <c r="G12" s="1592"/>
      <c r="H12" s="2586" t="s">
        <v>1825</v>
      </c>
      <c r="I12" s="2591" t="s">
        <v>2459</v>
      </c>
      <c r="J12" s="783">
        <f ca="1">ROUND(IF(M12="押一",J8/12*M13,IF(M12="押二",J8/12*2*M13,IF(M12="押三",J8/12*3*M13,J13*M13))),0)</f>
        <v>0</v>
      </c>
      <c r="K12" s="2526" t="s">
        <v>2968</v>
      </c>
      <c r="L12" s="2523" t="s">
        <v>2464</v>
      </c>
      <c r="M12" s="2646"/>
    </row>
    <row r="13" spans="1:25" ht="18" customHeight="1">
      <c r="A13" s="790"/>
      <c r="B13" s="2520" t="s">
        <v>2573</v>
      </c>
      <c r="C13" s="2524"/>
      <c r="D13" s="789"/>
      <c r="E13" s="2523" t="s">
        <v>2456</v>
      </c>
      <c r="F13" s="796">
        <f ca="1">'数据-取费表'!B39</f>
        <v>1.4999999999999999E-2</v>
      </c>
      <c r="G13" s="1592"/>
      <c r="H13" s="2587"/>
      <c r="I13" s="2520" t="s">
        <v>2573</v>
      </c>
      <c r="J13" s="2524"/>
      <c r="K13" s="2588"/>
      <c r="L13" s="2523" t="s">
        <v>2456</v>
      </c>
      <c r="M13" s="2517">
        <f ca="1">'数据-取费表'!B39</f>
        <v>1.4999999999999999E-2</v>
      </c>
    </row>
    <row r="14" spans="1:25" ht="18" customHeight="1" thickBot="1">
      <c r="A14" s="2562" t="s">
        <v>2467</v>
      </c>
      <c r="B14" s="2563" t="s">
        <v>2460</v>
      </c>
      <c r="C14" s="2564"/>
      <c r="D14" s="2565"/>
      <c r="E14" s="2566"/>
      <c r="F14" s="2567"/>
      <c r="G14" s="1592"/>
      <c r="H14" s="2576" t="s">
        <v>2467</v>
      </c>
      <c r="I14" s="2589" t="s">
        <v>2460</v>
      </c>
      <c r="J14" s="2590"/>
      <c r="K14" s="2565"/>
      <c r="L14" s="2566"/>
      <c r="M14" s="2579"/>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2070</v>
      </c>
      <c r="I16" s="2232" t="s">
        <v>2824</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3"/>
      <c r="H22" s="1833" t="s">
        <v>1850</v>
      </c>
      <c r="I22" s="1823" t="s">
        <v>668</v>
      </c>
      <c r="J22" s="54">
        <f ca="1">ROUND(M22*M23/10000,0)</f>
        <v>0</v>
      </c>
      <c r="K22" s="814" t="s">
        <v>669</v>
      </c>
      <c r="L22" s="784" t="s">
        <v>670</v>
      </c>
      <c r="M22" s="640">
        <f>'数据-取费表'!B52</f>
        <v>6</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1.4999999999999999E-2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97"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0</v>
      </c>
    </row>
    <row r="25" spans="1:25" s="2065" customFormat="1" ht="18" customHeight="1">
      <c r="A25" s="803" t="s">
        <v>1875</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1.5</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5.0000000000000001E-4</v>
      </c>
      <c r="D26" s="2596"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36" t="s">
        <v>2821</v>
      </c>
      <c r="J27" s="799">
        <f ca="1">J7-J18</f>
        <v>0</v>
      </c>
      <c r="K27" s="1980" t="s">
        <v>700</v>
      </c>
      <c r="L27" s="1982"/>
      <c r="M27" s="820"/>
    </row>
    <row r="28" spans="1:25" ht="18" customHeight="1">
      <c r="A28" s="803" t="s">
        <v>1875</v>
      </c>
      <c r="B28" s="784" t="s">
        <v>2438</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2822</v>
      </c>
      <c r="C31" s="2569">
        <f ca="1">ROUND((C21+C22+C25+C28)/(1-F23-C26-C29-C30),0)</f>
        <v>0</v>
      </c>
      <c r="D31" s="2570"/>
      <c r="E31" s="2571"/>
      <c r="F31" s="2572"/>
      <c r="G31" s="1593"/>
      <c r="H31" s="823" t="s">
        <v>1872</v>
      </c>
      <c r="I31" s="3037"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6</v>
      </c>
      <c r="G36" s="2063"/>
      <c r="H36" s="2066"/>
      <c r="I36" s="3650"/>
      <c r="J36" s="2080"/>
      <c r="K36" s="2081"/>
      <c r="L36" s="2080"/>
      <c r="M36" s="2080"/>
    </row>
    <row r="37" spans="1:18" ht="18" customHeight="1">
      <c r="A37" s="815"/>
      <c r="B37" s="793"/>
      <c r="C37" s="69"/>
      <c r="D37" s="816"/>
      <c r="E37" s="784" t="s">
        <v>674</v>
      </c>
      <c r="F37" s="785">
        <f ca="1">INDIRECT("'数据-取费表'!r"&amp;$G$1)</f>
        <v>0</v>
      </c>
      <c r="G37" s="2063"/>
      <c r="H37" s="2066"/>
      <c r="I37" s="3650"/>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1879</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153" t="s">
        <v>2956</v>
      </c>
      <c r="F43" s="3154">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6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5" t="s">
        <v>2959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2"/>
      <c r="Q47" s="1604"/>
      <c r="R47" s="1592"/>
    </row>
    <row r="48" spans="1:18" s="2060" customFormat="1" ht="18" customHeight="1" thickBot="1">
      <c r="A48" s="2085"/>
      <c r="C48" s="2088"/>
      <c r="D48" s="2089"/>
      <c r="E48" s="2089"/>
      <c r="F48" s="2090"/>
      <c r="G48" s="2091"/>
      <c r="I48" s="2383" t="s">
        <v>2343</v>
      </c>
      <c r="J48" s="2388"/>
      <c r="K48" s="2389" t="s">
        <v>2349</v>
      </c>
      <c r="L48" s="2390">
        <f ca="1">INDIRECT("'数据-取费表'!d"&amp;$G$1)</f>
        <v>0</v>
      </c>
      <c r="M48" s="3150"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655"/>
      <c r="L54" s="3656"/>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7" t="s">
        <v>2355</v>
      </c>
      <c r="J56" s="3151" t="e">
        <f ca="1">ROUND(IF(J48="钢混",J58/J51,1-(1-2%)*(J51-J58)/J51),3)</f>
        <v>#VALUE!</v>
      </c>
      <c r="K56" s="2402" t="s">
        <v>2356</v>
      </c>
      <c r="L56" s="2403"/>
      <c r="O56" s="2429" t="s">
        <v>2411</v>
      </c>
      <c r="P56" s="1592"/>
      <c r="Q56" s="1604"/>
      <c r="R56" s="1592"/>
    </row>
    <row r="57" spans="1:18" s="2060" customFormat="1" ht="43.5" thickBot="1">
      <c r="A57" s="2097"/>
      <c r="B57" s="2098"/>
      <c r="C57" s="2098"/>
      <c r="I57" s="2404" t="s">
        <v>2357</v>
      </c>
      <c r="J57" s="3150" t="s">
        <v>1678</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2"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29" t="s">
        <v>2935</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0">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1">
        <v>0</v>
      </c>
      <c r="O65" s="2429" t="s">
        <v>2415</v>
      </c>
      <c r="P65" s="1592"/>
      <c r="Q65" s="1604"/>
      <c r="R65" s="1592"/>
    </row>
    <row r="66" spans="1:18" s="2060" customFormat="1" ht="15.75" thickBot="1">
      <c r="A66" s="2097"/>
      <c r="B66" s="2098"/>
      <c r="C66" s="2098"/>
      <c r="I66" s="2410" t="s">
        <v>2372</v>
      </c>
      <c r="J66" s="2411">
        <v>40</v>
      </c>
      <c r="K66" s="2411">
        <v>30</v>
      </c>
      <c r="L66" s="2411">
        <v>50</v>
      </c>
      <c r="M66" s="3130">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8.875" defaultRowHeight="13.5"/>
  <cols>
    <col min="1" max="1" width="84" style="1779" customWidth="1"/>
    <col min="2" max="2" width="8.875" style="1779"/>
    <col min="3" max="4" width="9.625" style="1779" customWidth="1"/>
    <col min="5" max="16384" width="8.875" style="1779"/>
  </cols>
  <sheetData>
    <row r="1" spans="1:4" ht="22.5">
      <c r="A1" s="1778" t="s">
        <v>1904</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受贵公司委托，我公司对河南省安阳市文峰区光明路与富泉街交叉口东北角出让国有建设用地使用权抵押价格进行了预评估。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安阳建业城市建设有限公司使用的、位于河南省安阳市文峰区光明路与富泉街交叉口东北角出让国有建设用地使用权。根据《国有土地使用证》[]，估价对象（分摊）出让国有建设用地使用权面积为67358.31平方米。根据《建设工程规划许可证》[]、《出让合同》[]，估价对象规划建筑面积为156303.05平方米。</v>
      </c>
    </row>
    <row r="7" spans="1:4" ht="56.25">
      <c r="A7" s="1796" t="s">
        <v>2746</v>
      </c>
    </row>
    <row r="8" spans="1:4" ht="18.75">
      <c r="A8" s="1795" t="s">
        <v>1906</v>
      </c>
    </row>
    <row r="9" spans="1:4" ht="93.75">
      <c r="A9" s="1797" t="str">
        <f>IF(项目基本情况!B8="抵押",IF(项目基本情况!B5=项目基本情况!B6,定义!C51,定义!B51),定义!D51)</f>
        <v>安阳建业城市建设有限公司拟使用河南省安阳市文峰区光明路与富泉街交叉口东北角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2018年5月16日（评估专业人员勘察现场之日）</v>
      </c>
    </row>
    <row r="12" spans="1:4" ht="18.75">
      <c r="A12" s="1798" t="s">
        <v>2026</v>
      </c>
    </row>
    <row r="13" spans="1:4" ht="18.75">
      <c r="A13" s="1792" t="s">
        <v>2934</v>
      </c>
    </row>
    <row r="14" spans="1:4" ht="37.5">
      <c r="A14" s="1792" t="str">
        <f>"根据"&amp;项目基本情况!F12&amp;"，本次评估估价对象证载（地类）用途为"&amp;项目基本情况!B12&amp;"。"</f>
        <v>根据《国有土地使用证》[]，本次评估估价对象证载（地类）用途为城镇住宅用地，其他商服用地。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根据《国有土地使用证》[]，估价对象（分摊）出让国有建设用地使用权面积为67358.31平方米。根据《建设工程规划许可证》[]、《出让合同》[]，估价对象规划建筑面积为156303.05平方米。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本次估价对象为出让国有建设用地使用权，《国有土地使用证》[]证载土地终止日期为住宅2087年11月7日、商业2057年11月7日车库2067年11月7日。截至估价期日，出让国有建设用地使用权剩余土地使用年限为。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16日，在规划利用条件下、设定土地开发程度为红线外“七通”、宗地内场地平整，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6" sqref="I6:L6"/>
    </sheetView>
  </sheetViews>
  <sheetFormatPr defaultColWidth="8.875" defaultRowHeight="12.75"/>
  <cols>
    <col min="1" max="1" width="8.875" style="2688"/>
    <col min="2" max="6" width="9" style="2688" customWidth="1"/>
    <col min="7" max="7" width="9" style="2704" customWidth="1"/>
    <col min="8" max="12" width="9" style="2688" customWidth="1"/>
    <col min="13" max="13" width="2.1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8.875" style="2688"/>
    <col min="26" max="27" width="11.625" style="2688" customWidth="1"/>
    <col min="28" max="28" width="8.875" style="2688"/>
    <col min="29" max="29" width="2" style="2688" customWidth="1"/>
    <col min="30" max="16384" width="8.875" style="2688"/>
  </cols>
  <sheetData>
    <row r="1" spans="1:34" s="2678" customFormat="1">
      <c r="B1" s="3663" t="s">
        <v>2576</v>
      </c>
      <c r="C1" s="3663"/>
      <c r="D1" s="3663"/>
      <c r="E1" s="3663"/>
      <c r="F1" s="3663"/>
      <c r="G1" s="3662" t="s">
        <v>2577</v>
      </c>
      <c r="H1" s="3662"/>
      <c r="I1" s="3662"/>
      <c r="J1" s="3662"/>
      <c r="K1" s="3662"/>
      <c r="L1" s="3662"/>
      <c r="N1" s="3662" t="s">
        <v>2578</v>
      </c>
      <c r="O1" s="3662"/>
      <c r="P1" s="3662"/>
      <c r="Q1" s="3662"/>
      <c r="R1" s="2679"/>
      <c r="S1" s="3662" t="s">
        <v>2579</v>
      </c>
      <c r="T1" s="3662"/>
      <c r="U1" s="3662"/>
      <c r="V1" s="3662"/>
      <c r="X1" s="3661" t="s">
        <v>2639</v>
      </c>
      <c r="Y1" s="3662"/>
      <c r="Z1" s="3662"/>
      <c r="AA1" s="3662"/>
      <c r="AB1" s="3662"/>
      <c r="AD1" s="3661" t="s">
        <v>2643</v>
      </c>
      <c r="AE1" s="3662"/>
      <c r="AF1" s="3662"/>
      <c r="AG1" s="3662"/>
      <c r="AH1" s="3662"/>
    </row>
    <row r="2" spans="1:34" s="2781" customFormat="1" ht="14.25" thickBot="1">
      <c r="B2" s="2789" t="s">
        <v>2580</v>
      </c>
      <c r="C2" s="2789" t="s">
        <v>2641</v>
      </c>
      <c r="D2" s="2782" t="s">
        <v>1644</v>
      </c>
      <c r="E2" s="2782" t="s">
        <v>1951</v>
      </c>
      <c r="F2" s="2789" t="s">
        <v>2642</v>
      </c>
      <c r="G2" s="2785"/>
      <c r="H2" s="2784"/>
      <c r="I2" s="2789" t="s">
        <v>2950</v>
      </c>
      <c r="J2" s="2782" t="s">
        <v>2952</v>
      </c>
      <c r="K2" s="2782" t="s">
        <v>2953</v>
      </c>
      <c r="L2" s="2789" t="s">
        <v>2954</v>
      </c>
      <c r="N2" s="2789" t="s">
        <v>2580</v>
      </c>
      <c r="O2" s="2782" t="s">
        <v>2951</v>
      </c>
      <c r="P2" s="2782" t="s">
        <v>1951</v>
      </c>
      <c r="Q2" s="2789" t="s">
        <v>2642</v>
      </c>
      <c r="R2" s="2783"/>
      <c r="S2" s="2789" t="s">
        <v>2580</v>
      </c>
      <c r="T2" s="2782" t="s">
        <v>2951</v>
      </c>
      <c r="U2" s="2782" t="s">
        <v>1951</v>
      </c>
      <c r="V2" s="2789" t="s">
        <v>2642</v>
      </c>
      <c r="X2" s="2789" t="s">
        <v>2580</v>
      </c>
      <c r="Y2" s="2789" t="s">
        <v>2641</v>
      </c>
      <c r="Z2" s="2782" t="s">
        <v>1644</v>
      </c>
      <c r="AA2" s="2782" t="s">
        <v>1951</v>
      </c>
      <c r="AB2" s="2789" t="s">
        <v>2642</v>
      </c>
      <c r="AD2" s="2789" t="s">
        <v>2580</v>
      </c>
      <c r="AE2" s="2789" t="s">
        <v>2641</v>
      </c>
      <c r="AF2" s="2782" t="s">
        <v>1644</v>
      </c>
      <c r="AG2" s="2782" t="s">
        <v>1951</v>
      </c>
      <c r="AH2" s="2789" t="s">
        <v>2642</v>
      </c>
    </row>
    <row r="3" spans="1:34" s="3165" customFormat="1" ht="14.25">
      <c r="A3" s="3177" t="s">
        <v>2963</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4" customFormat="1" ht="14.25">
      <c r="B4" s="2775"/>
      <c r="C4" s="2775"/>
      <c r="D4" s="2776"/>
      <c r="E4" s="2776"/>
      <c r="F4" s="2775"/>
      <c r="G4" s="2780"/>
      <c r="H4" s="2777"/>
      <c r="I4" s="3158"/>
      <c r="J4" s="3158"/>
      <c r="K4" s="3158"/>
      <c r="L4" s="3158"/>
      <c r="N4" s="2780"/>
      <c r="O4" s="2778"/>
      <c r="P4" s="2778"/>
      <c r="Q4" s="2778"/>
      <c r="R4" s="2778"/>
      <c r="S4" s="2780"/>
      <c r="T4" s="2778"/>
      <c r="U4" s="2778"/>
      <c r="V4" s="2778"/>
      <c r="W4" s="3174"/>
      <c r="X4" s="2779"/>
      <c r="Y4" s="2779"/>
      <c r="Z4" s="2779"/>
      <c r="AA4" s="2779"/>
      <c r="AB4" s="2779"/>
      <c r="AD4" s="2699"/>
      <c r="AE4" s="2699"/>
      <c r="AF4" s="2699"/>
      <c r="AG4" s="2699"/>
      <c r="AH4" s="2699"/>
    </row>
    <row r="5" spans="1:34" s="3144" customFormat="1">
      <c r="A5" s="3142" t="s">
        <v>2970</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3">
        <v>2</v>
      </c>
      <c r="I5" s="3159">
        <v>0</v>
      </c>
      <c r="J5" s="3159">
        <v>0</v>
      </c>
      <c r="K5" s="3159">
        <v>0</v>
      </c>
      <c r="L5" s="3159">
        <v>0</v>
      </c>
      <c r="N5" s="2787">
        <f t="shared" ref="N5" si="6">I5/100</f>
        <v>0</v>
      </c>
      <c r="O5" s="2787">
        <f t="shared" ref="O5" si="7">J5/100</f>
        <v>0</v>
      </c>
      <c r="P5" s="2787">
        <f t="shared" ref="P5" si="8">K5/100</f>
        <v>0</v>
      </c>
      <c r="Q5" s="2787">
        <f t="shared" ref="Q5" si="9">L5/100</f>
        <v>0</v>
      </c>
      <c r="R5" s="3145"/>
      <c r="S5" s="3146"/>
      <c r="T5" s="3145"/>
      <c r="U5" s="3145"/>
      <c r="V5" s="3145"/>
      <c r="W5" s="3175" t="s">
        <v>2964</v>
      </c>
      <c r="X5" s="3147">
        <f>ROUND(SUMPRODUCT(PRODUCT(1+N5:N$21)),4)</f>
        <v>1.4517</v>
      </c>
      <c r="Y5" s="3147">
        <f>ROUND(SUMPRODUCT(PRODUCT(1+O5:O$21)),4)</f>
        <v>1.2928999999999999</v>
      </c>
      <c r="Z5" s="3147">
        <f t="shared" ref="Z5" si="10">Y5</f>
        <v>1.2928999999999999</v>
      </c>
      <c r="AA5" s="3147">
        <f>ROUND(SUMPRODUCT(PRODUCT(1+P5:P$21)),4)</f>
        <v>1.5068999999999999</v>
      </c>
      <c r="AB5" s="3147">
        <f>ROUND(SUMPRODUCT(PRODUCT(1+Q5:Q$21)),4)</f>
        <v>1.2557</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6" customFormat="1" ht="13.5" thickBot="1">
      <c r="A6" s="2680" t="s">
        <v>2971</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4">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2961</v>
      </c>
      <c r="B7" s="3179">
        <v>439</v>
      </c>
      <c r="C7" s="3179">
        <v>327</v>
      </c>
      <c r="D7" s="3179">
        <f t="shared" si="13"/>
        <v>327</v>
      </c>
      <c r="E7" s="3179">
        <v>627</v>
      </c>
      <c r="F7" s="3180">
        <v>283</v>
      </c>
      <c r="G7" s="3162">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2965</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4"/>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2581</v>
      </c>
      <c r="B9" s="2694">
        <f t="shared" si="25"/>
        <v>419.31181600000002</v>
      </c>
      <c r="C9" s="2694">
        <f t="shared" si="25"/>
        <v>313.95436800000004</v>
      </c>
      <c r="D9" s="2694">
        <f t="shared" si="13"/>
        <v>313.95436800000004</v>
      </c>
      <c r="E9" s="2694">
        <f t="shared" si="26"/>
        <v>596.63028431999999</v>
      </c>
      <c r="F9" s="2694">
        <f t="shared" si="26"/>
        <v>274.74220703999998</v>
      </c>
      <c r="G9" s="3163"/>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2582</v>
      </c>
      <c r="B10" s="2694">
        <f t="shared" si="25"/>
        <v>405.524</v>
      </c>
      <c r="C10" s="2694">
        <f t="shared" si="25"/>
        <v>307.79840000000002</v>
      </c>
      <c r="D10" s="2694">
        <f t="shared" si="13"/>
        <v>307.79840000000002</v>
      </c>
      <c r="E10" s="2694">
        <f t="shared" si="26"/>
        <v>574.67759999999998</v>
      </c>
      <c r="F10" s="2694">
        <f t="shared" si="26"/>
        <v>270.20280000000002</v>
      </c>
      <c r="G10" s="3164"/>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660">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658"/>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658"/>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659"/>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657">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658"/>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658"/>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659"/>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657">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658"/>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658"/>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659"/>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2640</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2583</v>
      </c>
      <c r="B23" s="2686">
        <v>299</v>
      </c>
      <c r="C23" s="2686">
        <v>252</v>
      </c>
      <c r="D23" s="2686">
        <f t="shared" si="35"/>
        <v>252</v>
      </c>
      <c r="E23" s="2686">
        <v>409</v>
      </c>
      <c r="F23" s="2687">
        <v>227</v>
      </c>
      <c r="G23" s="3664">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2584</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665"/>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2585</v>
      </c>
      <c r="B25" s="2694">
        <f t="shared" si="44"/>
        <v>288.2649053828776</v>
      </c>
      <c r="C25" s="2694">
        <f t="shared" si="44"/>
        <v>243.64564425013293</v>
      </c>
      <c r="D25" s="2694">
        <f t="shared" si="35"/>
        <v>243.64564425013293</v>
      </c>
      <c r="E25" s="2694">
        <f t="shared" si="45"/>
        <v>393.31080825986544</v>
      </c>
      <c r="F25" s="2694">
        <f t="shared" si="45"/>
        <v>223.07903790551154</v>
      </c>
      <c r="G25" s="3665"/>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2586</v>
      </c>
      <c r="B26" s="2694">
        <f t="shared" si="44"/>
        <v>282.50186729015837</v>
      </c>
      <c r="C26" s="2694">
        <f t="shared" si="44"/>
        <v>238.09796174155468</v>
      </c>
      <c r="D26" s="2694">
        <f t="shared" si="35"/>
        <v>238.09796174155468</v>
      </c>
      <c r="E26" s="2694">
        <f t="shared" si="45"/>
        <v>385.33438646014054</v>
      </c>
      <c r="F26" s="2694">
        <f t="shared" si="45"/>
        <v>221.55034055567739</v>
      </c>
      <c r="G26" s="3666"/>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2587</v>
      </c>
      <c r="B27" s="2724">
        <v>278</v>
      </c>
      <c r="C27" s="2724">
        <v>234</v>
      </c>
      <c r="D27" s="2724">
        <f t="shared" si="35"/>
        <v>234</v>
      </c>
      <c r="E27" s="2724">
        <v>379</v>
      </c>
      <c r="F27" s="2725">
        <v>220</v>
      </c>
      <c r="G27" s="3657">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2588</v>
      </c>
      <c r="B28" s="2694">
        <f>B27/(1+N27)</f>
        <v>275.49301357645425</v>
      </c>
      <c r="C28" s="2694">
        <f>C27/(1+O27)</f>
        <v>232.41954707985698</v>
      </c>
      <c r="D28" s="2694">
        <f t="shared" si="35"/>
        <v>232.41954707985698</v>
      </c>
      <c r="E28" s="2694">
        <f t="shared" ref="E28:F30" si="46">E27/(1+P27)</f>
        <v>375.32184591008121</v>
      </c>
      <c r="F28" s="2694">
        <f t="shared" si="46"/>
        <v>218.03766105054513</v>
      </c>
      <c r="G28" s="3658"/>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2589</v>
      </c>
      <c r="B29" s="2694">
        <f>B28/(1+N28)</f>
        <v>275.24529281292263</v>
      </c>
      <c r="C29" s="2694">
        <f>C28/(1+O28)</f>
        <v>231.74747938962707</v>
      </c>
      <c r="D29" s="2694">
        <f t="shared" si="35"/>
        <v>231.74747938962707</v>
      </c>
      <c r="E29" s="2694">
        <f t="shared" si="46"/>
        <v>375.35938184826603</v>
      </c>
      <c r="F29" s="2694">
        <f t="shared" si="46"/>
        <v>216.78033510692495</v>
      </c>
      <c r="G29" s="3658"/>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2590</v>
      </c>
      <c r="B30" s="2694">
        <f>B29/(1+N29)</f>
        <v>275.19025476197027</v>
      </c>
      <c r="C30" s="2726">
        <v>232</v>
      </c>
      <c r="D30" s="2726">
        <f t="shared" si="35"/>
        <v>232</v>
      </c>
      <c r="E30" s="2694">
        <f t="shared" si="46"/>
        <v>375.65990977608692</v>
      </c>
      <c r="F30" s="2694">
        <f t="shared" si="46"/>
        <v>214.12518283971252</v>
      </c>
      <c r="G30" s="3659"/>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2591</v>
      </c>
      <c r="B31" s="2686">
        <v>275</v>
      </c>
      <c r="C31" s="2686">
        <v>232</v>
      </c>
      <c r="D31" s="2686">
        <f t="shared" si="35"/>
        <v>232</v>
      </c>
      <c r="E31" s="2686">
        <v>376</v>
      </c>
      <c r="F31" s="2687">
        <v>213</v>
      </c>
      <c r="G31" s="3657">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2592</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658">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2593</v>
      </c>
      <c r="B33" s="2694">
        <f t="shared" si="47"/>
        <v>275.19335084830601</v>
      </c>
      <c r="C33" s="2694">
        <f t="shared" si="47"/>
        <v>230.18088050139744</v>
      </c>
      <c r="D33" s="2694">
        <f t="shared" si="35"/>
        <v>230.18088050139744</v>
      </c>
      <c r="E33" s="2694">
        <f t="shared" si="48"/>
        <v>377.58482925212331</v>
      </c>
      <c r="F33" s="2694">
        <f t="shared" si="48"/>
        <v>210.90687997847917</v>
      </c>
      <c r="G33" s="3658">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2594</v>
      </c>
      <c r="B34" s="2694">
        <f t="shared" si="47"/>
        <v>276.29854502841971</v>
      </c>
      <c r="C34" s="2694">
        <f t="shared" si="47"/>
        <v>229.79023709833027</v>
      </c>
      <c r="D34" s="2694">
        <f t="shared" si="35"/>
        <v>229.79023709833027</v>
      </c>
      <c r="E34" s="2694">
        <f t="shared" si="48"/>
        <v>379.78759731655936</v>
      </c>
      <c r="F34" s="2694">
        <f t="shared" si="48"/>
        <v>211.32953905659235</v>
      </c>
      <c r="G34" s="3659">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2595</v>
      </c>
      <c r="B35" s="2686">
        <v>269</v>
      </c>
      <c r="C35" s="2686">
        <v>221</v>
      </c>
      <c r="D35" s="2686">
        <f t="shared" si="35"/>
        <v>221</v>
      </c>
      <c r="E35" s="2686">
        <v>373</v>
      </c>
      <c r="F35" s="2687">
        <v>196</v>
      </c>
      <c r="G35" s="3657">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2596</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658">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2597</v>
      </c>
      <c r="B37" s="2694">
        <f t="shared" si="49"/>
        <v>242.95398227588385</v>
      </c>
      <c r="C37" s="2694">
        <f t="shared" si="49"/>
        <v>199.59137053614126</v>
      </c>
      <c r="D37" s="2694">
        <f t="shared" si="35"/>
        <v>199.59137053614126</v>
      </c>
      <c r="E37" s="2694">
        <f t="shared" si="50"/>
        <v>335.92189522342125</v>
      </c>
      <c r="F37" s="2694">
        <f t="shared" si="50"/>
        <v>183.10139991109489</v>
      </c>
      <c r="G37" s="3658">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2598</v>
      </c>
      <c r="B38" s="2694">
        <f t="shared" si="49"/>
        <v>232.06990378821649</v>
      </c>
      <c r="C38" s="2694">
        <f t="shared" si="49"/>
        <v>192.74878854286936</v>
      </c>
      <c r="D38" s="2694">
        <f t="shared" si="35"/>
        <v>192.74878854286936</v>
      </c>
      <c r="E38" s="2694">
        <f t="shared" si="50"/>
        <v>319.71247284992984</v>
      </c>
      <c r="F38" s="2694">
        <f t="shared" si="50"/>
        <v>175.67053622862409</v>
      </c>
      <c r="G38" s="3659">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2599</v>
      </c>
      <c r="B39" s="2686">
        <v>220</v>
      </c>
      <c r="C39" s="2686">
        <v>187</v>
      </c>
      <c r="D39" s="2686">
        <f t="shared" si="35"/>
        <v>187</v>
      </c>
      <c r="E39" s="2686">
        <v>301</v>
      </c>
      <c r="F39" s="2687">
        <v>168</v>
      </c>
      <c r="G39" s="3657">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2600</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658">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2601</v>
      </c>
      <c r="B41" s="2694">
        <f t="shared" si="51"/>
        <v>210.630522469011</v>
      </c>
      <c r="C41" s="2694">
        <f t="shared" si="51"/>
        <v>181.69567812247232</v>
      </c>
      <c r="D41" s="2694">
        <f t="shared" si="35"/>
        <v>181.69567812247232</v>
      </c>
      <c r="E41" s="2694">
        <f t="shared" si="52"/>
        <v>286.13517466736738</v>
      </c>
      <c r="F41" s="2694">
        <f t="shared" si="52"/>
        <v>165.47535084591149</v>
      </c>
      <c r="G41" s="3658">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2602</v>
      </c>
      <c r="B42" s="2694">
        <f t="shared" si="51"/>
        <v>208.83454537875372</v>
      </c>
      <c r="C42" s="2694">
        <f t="shared" si="51"/>
        <v>183.77230517090351</v>
      </c>
      <c r="D42" s="2694">
        <f t="shared" si="35"/>
        <v>183.77230517090351</v>
      </c>
      <c r="E42" s="2694">
        <f t="shared" si="52"/>
        <v>281.10342338870947</v>
      </c>
      <c r="F42" s="2694">
        <f t="shared" si="52"/>
        <v>168.97309388942256</v>
      </c>
      <c r="G42" s="3659">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2603</v>
      </c>
      <c r="B43" s="2724">
        <v>214</v>
      </c>
      <c r="C43" s="2724">
        <v>188</v>
      </c>
      <c r="D43" s="2724">
        <f t="shared" si="35"/>
        <v>188</v>
      </c>
      <c r="E43" s="2724">
        <v>289</v>
      </c>
      <c r="F43" s="2725">
        <v>166</v>
      </c>
      <c r="G43" s="3657">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2604</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658">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2605</v>
      </c>
      <c r="B45" s="2694">
        <f t="shared" si="53"/>
        <v>206.31694671589116</v>
      </c>
      <c r="C45" s="2694">
        <f t="shared" si="53"/>
        <v>183.61041121036101</v>
      </c>
      <c r="D45" s="2694">
        <f t="shared" si="35"/>
        <v>183.61041121036101</v>
      </c>
      <c r="E45" s="2694">
        <f t="shared" si="54"/>
        <v>276.66850301795557</v>
      </c>
      <c r="F45" s="2694">
        <f t="shared" si="54"/>
        <v>165.1360938278614</v>
      </c>
      <c r="G45" s="3658">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2606</v>
      </c>
      <c r="B46" s="2727">
        <f t="shared" si="53"/>
        <v>196.62341248059772</v>
      </c>
      <c r="C46" s="2727">
        <f t="shared" si="53"/>
        <v>170.99125648199012</v>
      </c>
      <c r="D46" s="2727">
        <f t="shared" si="35"/>
        <v>170.99125648199012</v>
      </c>
      <c r="E46" s="2727">
        <f t="shared" si="54"/>
        <v>266.07857570490052</v>
      </c>
      <c r="F46" s="2727">
        <f t="shared" si="54"/>
        <v>154.53499328828505</v>
      </c>
      <c r="G46" s="3659">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2607</v>
      </c>
      <c r="B47" s="2686">
        <v>188</v>
      </c>
      <c r="C47" s="2686">
        <v>165</v>
      </c>
      <c r="D47" s="2686">
        <f t="shared" si="35"/>
        <v>165</v>
      </c>
      <c r="E47" s="2686">
        <v>254</v>
      </c>
      <c r="F47" s="2687">
        <v>148</v>
      </c>
      <c r="G47" s="3657">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2608</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658">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2609</v>
      </c>
      <c r="B49" s="2694">
        <f t="shared" si="57"/>
        <v>168.82017748715555</v>
      </c>
      <c r="C49" s="2694">
        <f t="shared" si="57"/>
        <v>148.06267029972753</v>
      </c>
      <c r="D49" s="2694">
        <f t="shared" si="35"/>
        <v>148.06267029972753</v>
      </c>
      <c r="E49" s="2694">
        <f t="shared" si="58"/>
        <v>216.46288379323747</v>
      </c>
      <c r="F49" s="2694">
        <f t="shared" si="58"/>
        <v>134.23529411764704</v>
      </c>
      <c r="G49" s="3658">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2610</v>
      </c>
      <c r="B50" s="2694">
        <f t="shared" si="57"/>
        <v>163.84913591779542</v>
      </c>
      <c r="C50" s="2694">
        <f t="shared" si="57"/>
        <v>145.0283378746594</v>
      </c>
      <c r="D50" s="2694">
        <f t="shared" si="35"/>
        <v>145.0283378746594</v>
      </c>
      <c r="E50" s="2694">
        <f t="shared" si="58"/>
        <v>204.95180722891567</v>
      </c>
      <c r="F50" s="2694">
        <f t="shared" si="58"/>
        <v>125.95920303605313</v>
      </c>
      <c r="G50" s="3659">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2611</v>
      </c>
      <c r="B51" s="2708">
        <v>159</v>
      </c>
      <c r="C51" s="2708">
        <v>141</v>
      </c>
      <c r="D51" s="2708">
        <f t="shared" si="35"/>
        <v>141</v>
      </c>
      <c r="E51" s="2708">
        <v>195</v>
      </c>
      <c r="F51" s="2709">
        <v>122</v>
      </c>
      <c r="G51" s="3657">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2612</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658">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2613</v>
      </c>
      <c r="B53" s="2694">
        <f t="shared" si="61"/>
        <v>146.57412060301507</v>
      </c>
      <c r="C53" s="2694">
        <f t="shared" si="61"/>
        <v>136.46831955922866</v>
      </c>
      <c r="D53" s="2694">
        <f t="shared" si="35"/>
        <v>136.46831955922866</v>
      </c>
      <c r="E53" s="2694">
        <f t="shared" si="62"/>
        <v>166.73864894795128</v>
      </c>
      <c r="F53" s="2694">
        <f t="shared" si="62"/>
        <v>115.05882352941177</v>
      </c>
      <c r="G53" s="3658">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2614</v>
      </c>
      <c r="B54" s="2694">
        <f t="shared" si="61"/>
        <v>144.04145728643215</v>
      </c>
      <c r="C54" s="2694">
        <f t="shared" si="61"/>
        <v>136.12396694214877</v>
      </c>
      <c r="D54" s="2694">
        <f t="shared" si="35"/>
        <v>136.12396694214877</v>
      </c>
      <c r="E54" s="2694">
        <f t="shared" si="62"/>
        <v>158.32225913621264</v>
      </c>
      <c r="F54" s="2694">
        <f t="shared" si="62"/>
        <v>114.04278074866311</v>
      </c>
      <c r="G54" s="3659">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2615</v>
      </c>
      <c r="B55" s="2708">
        <v>138</v>
      </c>
      <c r="C55" s="2708">
        <v>131</v>
      </c>
      <c r="D55" s="2708">
        <f t="shared" si="35"/>
        <v>131</v>
      </c>
      <c r="E55" s="2708">
        <v>155</v>
      </c>
      <c r="F55" s="2709">
        <v>114</v>
      </c>
      <c r="G55" s="3657">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2616</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658">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2617</v>
      </c>
      <c r="B57" s="2694">
        <f t="shared" si="65"/>
        <v>124.29032258064517</v>
      </c>
      <c r="C57" s="2694">
        <f t="shared" si="65"/>
        <v>123.8968609865471</v>
      </c>
      <c r="D57" s="2694">
        <f t="shared" si="35"/>
        <v>123.8968609865471</v>
      </c>
      <c r="E57" s="2694">
        <f t="shared" si="66"/>
        <v>138.00507614213197</v>
      </c>
      <c r="F57" s="2694">
        <f t="shared" si="66"/>
        <v>107.96106557377048</v>
      </c>
      <c r="G57" s="3658">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2618</v>
      </c>
      <c r="B58" s="2694">
        <f t="shared" si="65"/>
        <v>122.57204301075269</v>
      </c>
      <c r="C58" s="2694">
        <f t="shared" si="65"/>
        <v>123.4932735426009</v>
      </c>
      <c r="D58" s="2694">
        <f t="shared" si="35"/>
        <v>123.4932735426009</v>
      </c>
      <c r="E58" s="2694">
        <f t="shared" si="66"/>
        <v>129.82233502538071</v>
      </c>
      <c r="F58" s="2694">
        <f t="shared" si="66"/>
        <v>107.39446721311475</v>
      </c>
      <c r="G58" s="3659">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2619</v>
      </c>
      <c r="B59" s="2724">
        <v>121</v>
      </c>
      <c r="C59" s="2724">
        <v>122</v>
      </c>
      <c r="D59" s="2724">
        <f t="shared" si="35"/>
        <v>122</v>
      </c>
      <c r="E59" s="2724">
        <v>124</v>
      </c>
      <c r="F59" s="2725">
        <v>107</v>
      </c>
      <c r="G59" s="3657">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2620</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658">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2621</v>
      </c>
      <c r="B61" s="2694">
        <f t="shared" si="69"/>
        <v>116.99099099099099</v>
      </c>
      <c r="C61" s="2694">
        <f t="shared" si="69"/>
        <v>118.84848484848486</v>
      </c>
      <c r="D61" s="2694">
        <f t="shared" si="35"/>
        <v>118.84848484848486</v>
      </c>
      <c r="E61" s="2694">
        <f t="shared" si="70"/>
        <v>117.60960960960961</v>
      </c>
      <c r="F61" s="2694">
        <f t="shared" si="70"/>
        <v>104</v>
      </c>
      <c r="G61" s="3658">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2622</v>
      </c>
      <c r="B62" s="2727">
        <f t="shared" si="69"/>
        <v>112.48648648648648</v>
      </c>
      <c r="C62" s="2727">
        <f t="shared" si="69"/>
        <v>115.21212121212122</v>
      </c>
      <c r="D62" s="2727">
        <f t="shared" si="35"/>
        <v>115.21212121212122</v>
      </c>
      <c r="E62" s="2727">
        <f t="shared" si="70"/>
        <v>110.4024024024024</v>
      </c>
      <c r="F62" s="2727">
        <f t="shared" si="70"/>
        <v>104</v>
      </c>
      <c r="G62" s="3659">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2623</v>
      </c>
      <c r="B63" s="2745">
        <v>111</v>
      </c>
      <c r="C63" s="2745">
        <v>114</v>
      </c>
      <c r="D63" s="2745">
        <f t="shared" si="35"/>
        <v>114</v>
      </c>
      <c r="E63" s="2745">
        <v>108</v>
      </c>
      <c r="F63" s="2746">
        <v>104</v>
      </c>
      <c r="G63" s="3657">
        <v>2003</v>
      </c>
      <c r="H63" s="2735">
        <v>4</v>
      </c>
      <c r="I63" s="2747"/>
      <c r="J63" s="2747"/>
      <c r="K63" s="2747"/>
      <c r="L63" s="2747"/>
      <c r="N63" s="2748"/>
      <c r="O63" s="2747"/>
      <c r="P63" s="2747"/>
      <c r="Q63" s="2747"/>
      <c r="S63" s="2748"/>
      <c r="T63" s="2747"/>
      <c r="U63" s="2747"/>
      <c r="V63" s="2747"/>
      <c r="X63" s="2739"/>
      <c r="Y63" s="2739"/>
      <c r="Z63" s="2739"/>
    </row>
    <row r="64" spans="1:26">
      <c r="A64" s="2680" t="s">
        <v>2624</v>
      </c>
      <c r="B64" s="2749">
        <f t="shared" ref="B64:C66" si="71">B65+(B$63-B$67)/4</f>
        <v>109.75</v>
      </c>
      <c r="C64" s="2749">
        <f t="shared" si="71"/>
        <v>112.25</v>
      </c>
      <c r="D64" s="2749">
        <f t="shared" si="35"/>
        <v>112.25</v>
      </c>
      <c r="E64" s="2749">
        <f t="shared" ref="E64:F66" si="72">E65+(E$63-E$67)/4</f>
        <v>107.25</v>
      </c>
      <c r="F64" s="2749">
        <f t="shared" si="72"/>
        <v>103.5</v>
      </c>
      <c r="G64" s="3658">
        <v>2003</v>
      </c>
      <c r="H64" s="2705">
        <v>3</v>
      </c>
      <c r="I64" s="2747"/>
      <c r="J64" s="2747"/>
      <c r="K64" s="2747"/>
      <c r="L64" s="2747"/>
      <c r="X64" s="2739"/>
      <c r="Y64" s="2739"/>
      <c r="Z64" s="2739"/>
    </row>
    <row r="65" spans="1:26">
      <c r="A65" s="2680" t="s">
        <v>2625</v>
      </c>
      <c r="B65" s="2749">
        <f t="shared" si="71"/>
        <v>108.5</v>
      </c>
      <c r="C65" s="2749">
        <f t="shared" si="71"/>
        <v>110.5</v>
      </c>
      <c r="D65" s="2749">
        <f t="shared" si="35"/>
        <v>110.5</v>
      </c>
      <c r="E65" s="2749">
        <f t="shared" si="72"/>
        <v>106.5</v>
      </c>
      <c r="F65" s="2749">
        <f t="shared" si="72"/>
        <v>103</v>
      </c>
      <c r="G65" s="3658">
        <v>2003</v>
      </c>
      <c r="H65" s="2685">
        <v>2</v>
      </c>
      <c r="I65" s="2747"/>
      <c r="J65" s="2747"/>
      <c r="K65" s="2747"/>
      <c r="L65" s="2747"/>
      <c r="X65" s="2739"/>
      <c r="Y65" s="2739"/>
      <c r="Z65" s="2739"/>
    </row>
    <row r="66" spans="1:26" ht="13.5" thickBot="1">
      <c r="A66" s="2680" t="s">
        <v>2626</v>
      </c>
      <c r="B66" s="2749">
        <f t="shared" si="71"/>
        <v>107.25</v>
      </c>
      <c r="C66" s="2749">
        <f t="shared" si="71"/>
        <v>108.75</v>
      </c>
      <c r="D66" s="2749">
        <f t="shared" si="35"/>
        <v>108.75</v>
      </c>
      <c r="E66" s="2749">
        <f t="shared" si="72"/>
        <v>105.75</v>
      </c>
      <c r="F66" s="2749">
        <f t="shared" si="72"/>
        <v>102.5</v>
      </c>
      <c r="G66" s="3659">
        <v>2003</v>
      </c>
      <c r="H66" s="2750">
        <v>1</v>
      </c>
      <c r="I66" s="2747"/>
      <c r="J66" s="2747"/>
      <c r="K66" s="2747"/>
      <c r="L66" s="2747"/>
      <c r="S66" s="2689"/>
      <c r="T66" s="2690"/>
      <c r="U66" s="2690"/>
      <c r="X66" s="2739"/>
      <c r="Y66" s="2739"/>
      <c r="Z66" s="2739"/>
    </row>
    <row r="67" spans="1:26" ht="13.5" thickBot="1">
      <c r="A67" s="2680" t="s">
        <v>2627</v>
      </c>
      <c r="B67" s="2751">
        <v>106</v>
      </c>
      <c r="C67" s="2751">
        <v>107</v>
      </c>
      <c r="D67" s="2751">
        <f t="shared" si="35"/>
        <v>107</v>
      </c>
      <c r="E67" s="2751">
        <v>105</v>
      </c>
      <c r="F67" s="2752">
        <v>102</v>
      </c>
      <c r="G67" s="3657">
        <v>2002</v>
      </c>
      <c r="H67" s="2700">
        <v>4</v>
      </c>
      <c r="I67" s="2747"/>
      <c r="J67" s="2747"/>
      <c r="K67" s="2747"/>
      <c r="L67" s="2747"/>
      <c r="N67" s="2748"/>
      <c r="O67" s="2747"/>
      <c r="P67" s="2747"/>
      <c r="Q67" s="2747"/>
      <c r="S67" s="2748"/>
      <c r="T67" s="2747"/>
      <c r="U67" s="2747"/>
      <c r="V67" s="2747"/>
      <c r="X67" s="2739"/>
      <c r="Y67" s="2739"/>
      <c r="Z67" s="2739"/>
    </row>
    <row r="68" spans="1:26">
      <c r="A68" s="2680" t="s">
        <v>2628</v>
      </c>
      <c r="B68" s="2749">
        <f t="shared" ref="B68:C70" si="73">B69+(B$67-B$71)/4</f>
        <v>105</v>
      </c>
      <c r="C68" s="2749">
        <f t="shared" si="73"/>
        <v>106</v>
      </c>
      <c r="D68" s="2749">
        <f t="shared" si="35"/>
        <v>106</v>
      </c>
      <c r="E68" s="2749">
        <f t="shared" ref="E68:F70" si="74">E69+(E$67-E$71)/4</f>
        <v>104.5</v>
      </c>
      <c r="F68" s="2749">
        <f t="shared" si="74"/>
        <v>101.5</v>
      </c>
      <c r="G68" s="3658">
        <v>2002</v>
      </c>
      <c r="H68" s="2705">
        <v>3</v>
      </c>
      <c r="I68" s="2747"/>
      <c r="J68" s="2747"/>
      <c r="K68" s="2747"/>
      <c r="L68" s="2747"/>
      <c r="X68" s="2739"/>
      <c r="Y68" s="2739"/>
      <c r="Z68" s="2739"/>
    </row>
    <row r="69" spans="1:26">
      <c r="A69" s="2680" t="s">
        <v>2629</v>
      </c>
      <c r="B69" s="2749">
        <f t="shared" si="73"/>
        <v>104</v>
      </c>
      <c r="C69" s="2749">
        <f t="shared" si="73"/>
        <v>105</v>
      </c>
      <c r="D69" s="2749">
        <f t="shared" si="35"/>
        <v>105</v>
      </c>
      <c r="E69" s="2749">
        <f t="shared" si="74"/>
        <v>104</v>
      </c>
      <c r="F69" s="2749">
        <f t="shared" si="74"/>
        <v>101</v>
      </c>
      <c r="G69" s="3658">
        <v>2002</v>
      </c>
      <c r="H69" s="2685">
        <v>2</v>
      </c>
      <c r="I69" s="2747"/>
      <c r="J69" s="2747"/>
      <c r="K69" s="2747"/>
      <c r="L69" s="2747"/>
      <c r="X69" s="2739"/>
      <c r="Y69" s="2739"/>
      <c r="Z69" s="2739"/>
    </row>
    <row r="70" spans="1:26" s="2716" customFormat="1" ht="13.5" thickBot="1">
      <c r="A70" s="2712" t="s">
        <v>2630</v>
      </c>
      <c r="B70" s="2753">
        <f t="shared" si="73"/>
        <v>103</v>
      </c>
      <c r="C70" s="2753">
        <f t="shared" si="73"/>
        <v>104</v>
      </c>
      <c r="D70" s="2753">
        <f t="shared" si="35"/>
        <v>104</v>
      </c>
      <c r="E70" s="2753">
        <f t="shared" si="74"/>
        <v>103.5</v>
      </c>
      <c r="F70" s="2753">
        <f t="shared" si="74"/>
        <v>100.5</v>
      </c>
      <c r="G70" s="3659">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2631</v>
      </c>
      <c r="G73" s="2763"/>
      <c r="N73" s="2763"/>
      <c r="S73" s="2763"/>
    </row>
    <row r="74" spans="1:26" s="2762" customFormat="1">
      <c r="A74" s="2762" t="s">
        <v>2632</v>
      </c>
      <c r="G74" s="2763"/>
      <c r="N74" s="2763"/>
      <c r="S74" s="2763"/>
    </row>
    <row r="75" spans="1:26" s="2762" customFormat="1">
      <c r="A75" s="2762" t="s">
        <v>2633</v>
      </c>
      <c r="G75" s="2763"/>
      <c r="I75" s="2764"/>
      <c r="J75" s="2764"/>
      <c r="K75" s="2764"/>
      <c r="L75" s="2764"/>
      <c r="N75" s="2765"/>
      <c r="O75" s="2764"/>
      <c r="P75" s="2764"/>
      <c r="Q75" s="2764"/>
      <c r="S75" s="2765"/>
      <c r="T75" s="2764"/>
      <c r="U75" s="2764"/>
      <c r="V75" s="2764"/>
    </row>
    <row r="76" spans="1:26" s="2762" customFormat="1">
      <c r="A76" s="2762" t="s">
        <v>2634</v>
      </c>
      <c r="G76" s="2763"/>
      <c r="N76" s="2763"/>
      <c r="S76" s="2763"/>
    </row>
    <row r="83" spans="7:22" ht="13.5" thickBot="1"/>
    <row r="84" spans="7:22">
      <c r="G84" s="2688"/>
      <c r="S84" s="2766" t="s">
        <v>2635</v>
      </c>
      <c r="T84" s="2767" t="s">
        <v>2636</v>
      </c>
      <c r="U84" s="2767" t="s">
        <v>2637</v>
      </c>
      <c r="V84" s="2767" t="s">
        <v>2638</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topLeftCell="A4" workbookViewId="0">
      <selection activeCell="D15" sqref="D15"/>
    </sheetView>
  </sheetViews>
  <sheetFormatPr defaultRowHeight="13.5"/>
  <cols>
    <col min="1" max="1" width="43" customWidth="1"/>
    <col min="3" max="3" width="14.75" customWidth="1"/>
    <col min="4" max="4" width="26.375" customWidth="1"/>
    <col min="5" max="5" width="13.75" customWidth="1"/>
    <col min="6" max="6" width="12.875" customWidth="1"/>
    <col min="7" max="7" width="20.5" customWidth="1"/>
    <col min="8" max="8" width="11" customWidth="1"/>
    <col min="9" max="9" width="32.25" customWidth="1"/>
    <col min="10" max="10" width="14.875" customWidth="1"/>
    <col min="11" max="11" width="17.5" customWidth="1"/>
    <col min="12" max="12" width="8.5" customWidth="1"/>
  </cols>
  <sheetData>
    <row r="1" spans="1:15" s="2964" customFormat="1">
      <c r="A1" s="2964" t="s">
        <v>3070</v>
      </c>
      <c r="B1" s="2964" t="s">
        <v>3071</v>
      </c>
      <c r="C1" s="2964" t="s">
        <v>3072</v>
      </c>
      <c r="D1" s="2964" t="s">
        <v>3073</v>
      </c>
      <c r="E1" s="2964" t="s">
        <v>3074</v>
      </c>
      <c r="F1" s="2964" t="s">
        <v>3075</v>
      </c>
      <c r="G1" s="2964" t="s">
        <v>2033</v>
      </c>
      <c r="H1" s="2964" t="s">
        <v>3076</v>
      </c>
      <c r="I1" s="2964" t="s">
        <v>3077</v>
      </c>
      <c r="J1" s="2964" t="s">
        <v>3078</v>
      </c>
      <c r="K1" s="2964" t="s">
        <v>3079</v>
      </c>
      <c r="L1" s="2964" t="s">
        <v>3080</v>
      </c>
      <c r="M1" s="2964" t="s">
        <v>3081</v>
      </c>
    </row>
    <row r="2" spans="1:15" s="2964" customFormat="1">
      <c r="A2" s="2964" t="s">
        <v>3134</v>
      </c>
      <c r="B2" s="2964" t="s">
        <v>3083</v>
      </c>
      <c r="C2" s="2964" t="s">
        <v>3135</v>
      </c>
      <c r="D2" s="2964" t="s">
        <v>3136</v>
      </c>
      <c r="E2" s="2964">
        <v>28470.82</v>
      </c>
      <c r="F2" s="2964">
        <v>71177.05</v>
      </c>
      <c r="G2" s="2964" t="s">
        <v>3137</v>
      </c>
      <c r="H2" s="2964" t="s">
        <v>3138</v>
      </c>
      <c r="I2" s="2964" t="s">
        <v>3139</v>
      </c>
      <c r="J2" s="2964">
        <v>27872</v>
      </c>
      <c r="K2" s="2964">
        <v>3915.86</v>
      </c>
      <c r="L2" s="2964">
        <v>67.180000000000007</v>
      </c>
      <c r="M2" s="2964" t="s">
        <v>3140</v>
      </c>
      <c r="O2" s="2964">
        <f t="shared" ref="O2:O33" si="0">J2*10000/E2</f>
        <v>9789.6723733282015</v>
      </c>
    </row>
    <row r="3" spans="1:15" s="2964" customFormat="1">
      <c r="A3" s="2964" t="s">
        <v>3141</v>
      </c>
      <c r="B3" s="2964" t="s">
        <v>3083</v>
      </c>
      <c r="C3" s="2964" t="s">
        <v>3142</v>
      </c>
      <c r="D3" s="2964" t="s">
        <v>3085</v>
      </c>
      <c r="E3" s="2964">
        <v>16426.82</v>
      </c>
      <c r="F3" s="2964">
        <v>41067.050000000003</v>
      </c>
      <c r="G3" s="2964" t="s">
        <v>3137</v>
      </c>
      <c r="H3" s="2964" t="s">
        <v>3143</v>
      </c>
      <c r="I3" s="3332" t="s">
        <v>3524</v>
      </c>
      <c r="J3" s="2964">
        <v>14410</v>
      </c>
      <c r="K3" s="2964">
        <v>3508.9</v>
      </c>
      <c r="L3" s="2964">
        <v>50.26</v>
      </c>
      <c r="M3" s="2964" t="s">
        <v>3089</v>
      </c>
      <c r="O3" s="2964">
        <f t="shared" si="0"/>
        <v>8772.239544841912</v>
      </c>
    </row>
    <row r="4" spans="1:15" s="3216" customFormat="1">
      <c r="A4" s="3215" t="s">
        <v>3144</v>
      </c>
      <c r="B4" s="3215" t="s">
        <v>3083</v>
      </c>
      <c r="C4" s="3215" t="s">
        <v>3145</v>
      </c>
      <c r="D4" s="3215" t="s">
        <v>3146</v>
      </c>
      <c r="E4" s="3215">
        <v>25262.23</v>
      </c>
      <c r="F4" s="3215">
        <v>63155.57</v>
      </c>
      <c r="G4" s="3215" t="s">
        <v>3137</v>
      </c>
      <c r="H4" s="3215" t="s">
        <v>3147</v>
      </c>
      <c r="I4" s="3215" t="s">
        <v>3532</v>
      </c>
      <c r="J4" s="3215">
        <v>16008</v>
      </c>
      <c r="K4" s="3215">
        <v>2534.69</v>
      </c>
      <c r="L4" s="3215">
        <v>73.47</v>
      </c>
      <c r="M4" s="3215" t="s">
        <v>3148</v>
      </c>
      <c r="O4" s="3216">
        <f t="shared" si="0"/>
        <v>6336.7327429130364</v>
      </c>
    </row>
    <row r="5" spans="1:15" s="3217" customFormat="1">
      <c r="A5" s="3333" t="s">
        <v>3537</v>
      </c>
      <c r="B5" s="3217" t="s">
        <v>3083</v>
      </c>
      <c r="C5" s="3217" t="s">
        <v>3150</v>
      </c>
      <c r="D5" s="3217" t="s">
        <v>3151</v>
      </c>
      <c r="E5" s="3217">
        <v>18193.28</v>
      </c>
      <c r="F5" s="3217">
        <v>36386.559999999998</v>
      </c>
      <c r="G5" s="3217" t="s">
        <v>3152</v>
      </c>
      <c r="H5" s="3217" t="s">
        <v>3153</v>
      </c>
      <c r="I5" s="3217" t="s">
        <v>3154</v>
      </c>
      <c r="J5" s="3217">
        <v>8515</v>
      </c>
      <c r="K5" s="3217">
        <v>2340.15</v>
      </c>
      <c r="L5" s="3217">
        <v>0</v>
      </c>
      <c r="M5" s="3217" t="s">
        <v>3155</v>
      </c>
      <c r="O5" s="3217">
        <f t="shared" si="0"/>
        <v>4680.2995391705072</v>
      </c>
    </row>
    <row r="6" spans="1:15" s="3217" customFormat="1">
      <c r="A6" s="3217" t="s">
        <v>3149</v>
      </c>
      <c r="B6" s="3217" t="s">
        <v>3083</v>
      </c>
      <c r="C6" s="3217" t="s">
        <v>3156</v>
      </c>
      <c r="D6" s="3217" t="s">
        <v>3085</v>
      </c>
      <c r="E6" s="3217">
        <v>20462.48</v>
      </c>
      <c r="F6" s="3217">
        <v>40924.959999999999</v>
      </c>
      <c r="G6" s="3217" t="s">
        <v>3152</v>
      </c>
      <c r="H6" s="3217" t="s">
        <v>3153</v>
      </c>
      <c r="I6" s="3333" t="s">
        <v>3533</v>
      </c>
      <c r="J6" s="3217">
        <v>9272</v>
      </c>
      <c r="K6" s="3217">
        <v>2265.61</v>
      </c>
      <c r="L6" s="3217">
        <v>0</v>
      </c>
      <c r="M6" s="3217" t="s">
        <v>3089</v>
      </c>
      <c r="O6" s="3217">
        <f t="shared" si="0"/>
        <v>4531.2200671668343</v>
      </c>
    </row>
    <row r="7" spans="1:15" s="3217" customFormat="1">
      <c r="A7" s="3333" t="s">
        <v>3535</v>
      </c>
      <c r="B7" s="3217" t="s">
        <v>3083</v>
      </c>
      <c r="C7" s="3217" t="s">
        <v>3157</v>
      </c>
      <c r="D7" s="3217" t="s">
        <v>3085</v>
      </c>
      <c r="E7" s="3217">
        <v>21446.57</v>
      </c>
      <c r="F7" s="3217">
        <v>42893.14</v>
      </c>
      <c r="G7" s="3217" t="s">
        <v>3152</v>
      </c>
      <c r="H7" s="3217" t="s">
        <v>3153</v>
      </c>
      <c r="I7" s="3333" t="s">
        <v>3533</v>
      </c>
      <c r="J7" s="3217">
        <v>9626</v>
      </c>
      <c r="K7" s="3217">
        <v>2244.17</v>
      </c>
      <c r="L7" s="3217">
        <v>0</v>
      </c>
      <c r="M7" s="3217" t="s">
        <v>3089</v>
      </c>
      <c r="O7" s="3217">
        <f t="shared" si="0"/>
        <v>4488.3634072954328</v>
      </c>
    </row>
    <row r="8" spans="1:15" s="2964" customFormat="1">
      <c r="A8" s="2964" t="s">
        <v>3101</v>
      </c>
      <c r="B8" s="2964" t="s">
        <v>3096</v>
      </c>
      <c r="C8" s="2964" t="s">
        <v>3102</v>
      </c>
      <c r="D8" s="2964" t="s">
        <v>3085</v>
      </c>
      <c r="E8" s="2964">
        <v>59837.01</v>
      </c>
      <c r="F8" s="2964">
        <v>149592.53</v>
      </c>
      <c r="G8" s="2964" t="s">
        <v>3103</v>
      </c>
      <c r="H8" s="2964" t="s">
        <v>3104</v>
      </c>
      <c r="I8" s="2964" t="s">
        <v>3105</v>
      </c>
      <c r="J8" s="2964">
        <v>29440</v>
      </c>
      <c r="K8" s="2964">
        <v>1968</v>
      </c>
      <c r="L8" s="2964">
        <v>0</v>
      </c>
      <c r="M8" s="2964" t="s">
        <v>3089</v>
      </c>
      <c r="O8" s="2964">
        <f t="shared" si="0"/>
        <v>4920.0319334137848</v>
      </c>
    </row>
    <row r="9" spans="1:15" s="2964" customFormat="1">
      <c r="A9" s="3218" t="s">
        <v>3112</v>
      </c>
      <c r="B9" s="3218" t="s">
        <v>3096</v>
      </c>
      <c r="C9" s="3218" t="s">
        <v>3113</v>
      </c>
      <c r="D9" s="3218" t="s">
        <v>3085</v>
      </c>
      <c r="E9" s="3218">
        <v>10973.29</v>
      </c>
      <c r="F9" s="3218">
        <v>27433.23</v>
      </c>
      <c r="G9" s="3218" t="s">
        <v>3114</v>
      </c>
      <c r="H9" s="3218" t="s">
        <v>3115</v>
      </c>
      <c r="I9" s="3218" t="s">
        <v>3116</v>
      </c>
      <c r="J9" s="3218">
        <v>5270</v>
      </c>
      <c r="K9" s="3218">
        <v>1921.02</v>
      </c>
      <c r="L9" s="3218">
        <v>0</v>
      </c>
      <c r="M9" s="3218" t="s">
        <v>3089</v>
      </c>
      <c r="O9" s="2964">
        <f t="shared" si="0"/>
        <v>4802.5706055339824</v>
      </c>
    </row>
    <row r="10" spans="1:15" s="2964" customFormat="1">
      <c r="A10" s="2964" t="s">
        <v>3082</v>
      </c>
      <c r="B10" s="2964" t="s">
        <v>3083</v>
      </c>
      <c r="C10" s="2964" t="s">
        <v>3090</v>
      </c>
      <c r="D10" s="2964" t="s">
        <v>3085</v>
      </c>
      <c r="E10" s="2964">
        <v>50813.03</v>
      </c>
      <c r="F10" s="2964">
        <v>127032.58</v>
      </c>
      <c r="G10" s="2964" t="s">
        <v>3086</v>
      </c>
      <c r="H10" s="2964" t="s">
        <v>3091</v>
      </c>
      <c r="I10" s="2964" t="s">
        <v>3088</v>
      </c>
      <c r="J10" s="2964">
        <v>24391</v>
      </c>
      <c r="K10" s="2964">
        <v>1920.05</v>
      </c>
      <c r="L10" s="2964">
        <v>0</v>
      </c>
      <c r="M10" s="2964" t="s">
        <v>3089</v>
      </c>
      <c r="O10" s="2964">
        <f t="shared" si="0"/>
        <v>4800.1467340168456</v>
      </c>
    </row>
    <row r="11" spans="1:15" s="2964" customFormat="1">
      <c r="A11" s="3332" t="s">
        <v>3534</v>
      </c>
      <c r="B11" s="2964" t="s">
        <v>3083</v>
      </c>
      <c r="C11" s="2964" t="s">
        <v>3084</v>
      </c>
      <c r="D11" s="2964" t="s">
        <v>3085</v>
      </c>
      <c r="E11" s="2964">
        <v>46149.42</v>
      </c>
      <c r="F11" s="2964">
        <v>115373.55</v>
      </c>
      <c r="G11" s="2964" t="s">
        <v>3086</v>
      </c>
      <c r="H11" s="2964" t="s">
        <v>3087</v>
      </c>
      <c r="I11" s="2964" t="s">
        <v>3088</v>
      </c>
      <c r="J11" s="2964">
        <v>22152</v>
      </c>
      <c r="K11" s="2964">
        <v>1920.01</v>
      </c>
      <c r="L11" s="2964">
        <v>0</v>
      </c>
      <c r="M11" s="2964" t="s">
        <v>3089</v>
      </c>
      <c r="O11" s="2964">
        <f t="shared" si="0"/>
        <v>4800.0603257852426</v>
      </c>
    </row>
    <row r="12" spans="1:15" s="2964" customFormat="1">
      <c r="A12" s="2964" t="s">
        <v>3092</v>
      </c>
      <c r="B12" s="2964" t="s">
        <v>3083</v>
      </c>
      <c r="C12" s="2964" t="s">
        <v>3093</v>
      </c>
      <c r="D12" s="2964" t="s">
        <v>3085</v>
      </c>
      <c r="E12" s="2964">
        <v>63459.73</v>
      </c>
      <c r="F12" s="2964">
        <v>158649.29999999999</v>
      </c>
      <c r="G12" s="2964" t="s">
        <v>3086</v>
      </c>
      <c r="H12" s="2964" t="s">
        <v>3094</v>
      </c>
      <c r="I12" s="2964" t="s">
        <v>3088</v>
      </c>
      <c r="J12" s="2964">
        <v>30461</v>
      </c>
      <c r="K12" s="2964">
        <v>1920.01</v>
      </c>
      <c r="L12" s="2964">
        <v>0</v>
      </c>
      <c r="M12" s="2964" t="s">
        <v>3089</v>
      </c>
      <c r="O12" s="2964">
        <f t="shared" si="0"/>
        <v>4800.0519384497848</v>
      </c>
    </row>
    <row r="13" spans="1:15" s="2964" customFormat="1">
      <c r="A13" s="3218" t="s">
        <v>3123</v>
      </c>
      <c r="B13" s="3218" t="s">
        <v>3096</v>
      </c>
      <c r="C13" s="3218" t="s">
        <v>3124</v>
      </c>
      <c r="D13" s="3218" t="s">
        <v>3085</v>
      </c>
      <c r="E13" s="3218">
        <v>50886</v>
      </c>
      <c r="F13" s="3218">
        <v>127215</v>
      </c>
      <c r="G13" s="3218" t="s">
        <v>3098</v>
      </c>
      <c r="H13" s="3218" t="s">
        <v>3125</v>
      </c>
      <c r="I13" s="3218" t="s">
        <v>3126</v>
      </c>
      <c r="J13" s="3218">
        <v>24370</v>
      </c>
      <c r="K13" s="3218">
        <v>1915.65</v>
      </c>
      <c r="L13" s="3218">
        <v>21.43</v>
      </c>
      <c r="M13" s="3218" t="s">
        <v>3089</v>
      </c>
      <c r="O13" s="2964">
        <f t="shared" si="0"/>
        <v>4789.1365011987582</v>
      </c>
    </row>
    <row r="14" spans="1:15" s="2964" customFormat="1">
      <c r="A14" s="2964" t="s">
        <v>3106</v>
      </c>
      <c r="B14" s="2964" t="s">
        <v>3096</v>
      </c>
      <c r="C14" s="2964" t="s">
        <v>3107</v>
      </c>
      <c r="D14" s="2964" t="s">
        <v>3085</v>
      </c>
      <c r="E14" s="2964">
        <v>47119.6</v>
      </c>
      <c r="F14" s="2964">
        <v>127222.92</v>
      </c>
      <c r="G14" s="2964" t="s">
        <v>3108</v>
      </c>
      <c r="H14" s="2964" t="s">
        <v>3109</v>
      </c>
      <c r="I14" s="2964" t="s">
        <v>3110</v>
      </c>
      <c r="J14" s="2964">
        <v>23182</v>
      </c>
      <c r="K14" s="2964">
        <v>1822.16</v>
      </c>
      <c r="L14" s="2964">
        <v>0</v>
      </c>
      <c r="M14" s="2964" t="s">
        <v>3089</v>
      </c>
      <c r="O14" s="2964">
        <f t="shared" si="0"/>
        <v>4919.821051112488</v>
      </c>
    </row>
    <row r="15" spans="1:15" s="2964" customFormat="1">
      <c r="A15" s="2964" t="s">
        <v>3095</v>
      </c>
      <c r="B15" s="2964" t="s">
        <v>3096</v>
      </c>
      <c r="C15" s="2964" t="s">
        <v>3097</v>
      </c>
      <c r="D15" s="2964" t="s">
        <v>3085</v>
      </c>
      <c r="E15" s="2964">
        <v>38032.65</v>
      </c>
      <c r="F15" s="2964">
        <v>95081.63</v>
      </c>
      <c r="G15" s="2964" t="s">
        <v>3098</v>
      </c>
      <c r="H15" s="2964" t="s">
        <v>3099</v>
      </c>
      <c r="I15" s="2964" t="s">
        <v>3100</v>
      </c>
      <c r="J15" s="2964">
        <v>17115</v>
      </c>
      <c r="K15" s="2964">
        <v>1800.02</v>
      </c>
      <c r="L15" s="2964">
        <v>0</v>
      </c>
      <c r="M15" s="2964" t="s">
        <v>3089</v>
      </c>
      <c r="O15" s="2964">
        <f t="shared" si="0"/>
        <v>4500.080851584099</v>
      </c>
    </row>
    <row r="16" spans="1:15" s="2964" customFormat="1">
      <c r="A16" s="2964" t="s">
        <v>3106</v>
      </c>
      <c r="B16" s="2964" t="s">
        <v>3096</v>
      </c>
      <c r="C16" s="2964" t="s">
        <v>3111</v>
      </c>
      <c r="D16" s="2964" t="s">
        <v>3085</v>
      </c>
      <c r="E16" s="2964">
        <v>47161.98</v>
      </c>
      <c r="F16" s="2964">
        <v>127337.35</v>
      </c>
      <c r="G16" s="2964" t="s">
        <v>3108</v>
      </c>
      <c r="H16" s="2964" t="s">
        <v>3109</v>
      </c>
      <c r="I16" s="2964" t="s">
        <v>3110</v>
      </c>
      <c r="J16" s="2964">
        <v>21280</v>
      </c>
      <c r="K16" s="2964">
        <v>1671.15</v>
      </c>
      <c r="L16" s="2964">
        <v>0</v>
      </c>
      <c r="M16" s="2964" t="s">
        <v>3089</v>
      </c>
      <c r="O16" s="2964">
        <f t="shared" si="0"/>
        <v>4512.1091184042734</v>
      </c>
    </row>
    <row r="17" spans="1:15" s="2964" customFormat="1">
      <c r="A17" s="2964" t="s">
        <v>3158</v>
      </c>
      <c r="B17" s="2964" t="s">
        <v>3083</v>
      </c>
      <c r="C17" s="2964" t="s">
        <v>3159</v>
      </c>
      <c r="D17" s="2964" t="s">
        <v>3085</v>
      </c>
      <c r="E17" s="2964">
        <v>49809</v>
      </c>
      <c r="F17" s="2964">
        <v>74713.5</v>
      </c>
      <c r="G17" s="2964" t="s">
        <v>3160</v>
      </c>
      <c r="H17" s="2964" t="s">
        <v>3161</v>
      </c>
      <c r="I17" s="2964" t="s">
        <v>3162</v>
      </c>
      <c r="J17" s="2964">
        <v>11954.15</v>
      </c>
      <c r="K17" s="2964">
        <v>1600</v>
      </c>
      <c r="L17" s="2964">
        <v>0</v>
      </c>
      <c r="M17" s="2964" t="s">
        <v>3089</v>
      </c>
      <c r="O17" s="2964">
        <f t="shared" si="0"/>
        <v>2399.9979923307033</v>
      </c>
    </row>
    <row r="18" spans="1:15" s="2964" customFormat="1">
      <c r="A18" s="2964" t="s">
        <v>3158</v>
      </c>
      <c r="B18" s="2964" t="s">
        <v>3083</v>
      </c>
      <c r="C18" s="2964" t="s">
        <v>3163</v>
      </c>
      <c r="D18" s="2964" t="s">
        <v>3085</v>
      </c>
      <c r="E18" s="2964">
        <v>23650</v>
      </c>
      <c r="F18" s="2964">
        <v>35475</v>
      </c>
      <c r="G18" s="2964" t="s">
        <v>3164</v>
      </c>
      <c r="H18" s="2964" t="s">
        <v>3165</v>
      </c>
      <c r="I18" s="2964" t="s">
        <v>3162</v>
      </c>
      <c r="J18" s="2964">
        <v>5676</v>
      </c>
      <c r="K18" s="2964">
        <v>1600</v>
      </c>
      <c r="L18" s="2964">
        <v>0</v>
      </c>
      <c r="M18" s="2964" t="s">
        <v>3089</v>
      </c>
      <c r="O18" s="2964">
        <f t="shared" si="0"/>
        <v>2400</v>
      </c>
    </row>
    <row r="19" spans="1:15" s="2964" customFormat="1">
      <c r="A19" s="2964" t="s">
        <v>3166</v>
      </c>
      <c r="B19" s="2964" t="s">
        <v>3083</v>
      </c>
      <c r="C19" s="2964" t="s">
        <v>3167</v>
      </c>
      <c r="D19" s="2964" t="s">
        <v>3085</v>
      </c>
      <c r="E19" s="2964">
        <v>22268</v>
      </c>
      <c r="F19" s="2964">
        <v>33402</v>
      </c>
      <c r="G19" s="2964" t="s">
        <v>3160</v>
      </c>
      <c r="H19" s="2964" t="s">
        <v>3165</v>
      </c>
      <c r="I19" s="2964" t="s">
        <v>3162</v>
      </c>
      <c r="J19" s="2964">
        <v>5344.31</v>
      </c>
      <c r="K19" s="2964">
        <v>1600</v>
      </c>
      <c r="L19" s="2964">
        <v>0</v>
      </c>
      <c r="M19" s="2964" t="s">
        <v>3089</v>
      </c>
      <c r="O19" s="2964">
        <f t="shared" si="0"/>
        <v>2399.9955092509435</v>
      </c>
    </row>
    <row r="20" spans="1:15" s="2964" customFormat="1">
      <c r="A20" s="2964" t="s">
        <v>3166</v>
      </c>
      <c r="B20" s="2964" t="s">
        <v>3083</v>
      </c>
      <c r="C20" s="2964" t="s">
        <v>3168</v>
      </c>
      <c r="D20" s="2964" t="s">
        <v>3085</v>
      </c>
      <c r="E20" s="2964">
        <v>48208</v>
      </c>
      <c r="F20" s="2964">
        <v>72312</v>
      </c>
      <c r="G20" s="2964" t="s">
        <v>3160</v>
      </c>
      <c r="H20" s="2964" t="s">
        <v>3165</v>
      </c>
      <c r="I20" s="2964" t="s">
        <v>3162</v>
      </c>
      <c r="J20" s="2964">
        <v>11569.92</v>
      </c>
      <c r="K20" s="2964">
        <v>1600</v>
      </c>
      <c r="L20" s="2964">
        <v>0</v>
      </c>
      <c r="M20" s="2964" t="s">
        <v>3089</v>
      </c>
      <c r="O20" s="2964">
        <f t="shared" si="0"/>
        <v>2400</v>
      </c>
    </row>
    <row r="21" spans="1:15" s="2964" customFormat="1">
      <c r="A21" s="2964" t="s">
        <v>3169</v>
      </c>
      <c r="B21" s="2964" t="s">
        <v>3083</v>
      </c>
      <c r="C21" s="2964" t="s">
        <v>3170</v>
      </c>
      <c r="D21" s="2964" t="s">
        <v>3085</v>
      </c>
      <c r="E21" s="2964">
        <v>20708.14</v>
      </c>
      <c r="F21" s="2964">
        <v>41416.28</v>
      </c>
      <c r="G21" s="2964" t="s">
        <v>3152</v>
      </c>
      <c r="H21" s="2964" t="s">
        <v>3171</v>
      </c>
      <c r="I21" s="2964" t="s">
        <v>3100</v>
      </c>
      <c r="J21" s="2964">
        <v>5802</v>
      </c>
      <c r="K21" s="2964">
        <v>1400.9</v>
      </c>
      <c r="L21" s="2964">
        <v>6.42</v>
      </c>
      <c r="M21" s="2964" t="s">
        <v>3089</v>
      </c>
      <c r="O21" s="2964">
        <f t="shared" si="0"/>
        <v>2801.796781362305</v>
      </c>
    </row>
    <row r="22" spans="1:15" s="2964" customFormat="1">
      <c r="A22" s="3218" t="s">
        <v>3172</v>
      </c>
      <c r="B22" s="3218" t="s">
        <v>3083</v>
      </c>
      <c r="C22" s="3218" t="s">
        <v>3173</v>
      </c>
      <c r="D22" s="3218" t="s">
        <v>3085</v>
      </c>
      <c r="E22" s="3218">
        <v>57594</v>
      </c>
      <c r="F22" s="3218">
        <v>143985</v>
      </c>
      <c r="G22" s="3218" t="s">
        <v>3174</v>
      </c>
      <c r="H22" s="3218" t="s">
        <v>3175</v>
      </c>
      <c r="I22" s="3218" t="s">
        <v>3176</v>
      </c>
      <c r="J22" s="3218">
        <v>18746.84</v>
      </c>
      <c r="K22" s="3218">
        <v>1302</v>
      </c>
      <c r="L22" s="3218">
        <v>43.71</v>
      </c>
      <c r="M22" s="3218" t="s">
        <v>3089</v>
      </c>
      <c r="O22" s="2964">
        <f t="shared" si="0"/>
        <v>3254.9987845956175</v>
      </c>
    </row>
    <row r="23" spans="1:15" s="2964" customFormat="1">
      <c r="A23" s="2964" t="s">
        <v>3177</v>
      </c>
      <c r="B23" s="2964" t="s">
        <v>3083</v>
      </c>
      <c r="C23" s="2964" t="s">
        <v>3178</v>
      </c>
      <c r="D23" s="2964" t="s">
        <v>3085</v>
      </c>
      <c r="E23" s="2964">
        <v>41019</v>
      </c>
      <c r="F23" s="2964">
        <v>82038</v>
      </c>
      <c r="G23" s="2964" t="s">
        <v>3179</v>
      </c>
      <c r="H23" s="2964" t="s">
        <v>3165</v>
      </c>
      <c r="I23" s="2964" t="s">
        <v>3180</v>
      </c>
      <c r="J23" s="2964">
        <v>10459.85</v>
      </c>
      <c r="K23" s="2964">
        <v>1275</v>
      </c>
      <c r="L23" s="2964">
        <v>0</v>
      </c>
      <c r="M23" s="2964" t="s">
        <v>3089</v>
      </c>
      <c r="O23" s="2964">
        <f t="shared" si="0"/>
        <v>2550.0012189473173</v>
      </c>
    </row>
    <row r="24" spans="1:15" s="2964" customFormat="1">
      <c r="A24" s="2964" t="s">
        <v>3181</v>
      </c>
      <c r="B24" s="2964" t="s">
        <v>3083</v>
      </c>
      <c r="C24" s="2964" t="s">
        <v>3182</v>
      </c>
      <c r="D24" s="2964" t="s">
        <v>3085</v>
      </c>
      <c r="E24" s="2964">
        <v>15496</v>
      </c>
      <c r="F24" s="2964">
        <v>30992</v>
      </c>
      <c r="G24" s="2964" t="s">
        <v>3179</v>
      </c>
      <c r="H24" s="2964" t="s">
        <v>3165</v>
      </c>
      <c r="I24" s="2964" t="s">
        <v>3180</v>
      </c>
      <c r="J24" s="2964">
        <v>3951.48</v>
      </c>
      <c r="K24" s="2964">
        <v>1275</v>
      </c>
      <c r="L24" s="2964">
        <v>0</v>
      </c>
      <c r="M24" s="2964" t="s">
        <v>3089</v>
      </c>
      <c r="O24" s="2964">
        <f t="shared" si="0"/>
        <v>2550</v>
      </c>
    </row>
    <row r="25" spans="1:15" s="2964" customFormat="1">
      <c r="A25" s="2964" t="s">
        <v>3183</v>
      </c>
      <c r="B25" s="2964" t="s">
        <v>3083</v>
      </c>
      <c r="C25" s="2964" t="s">
        <v>3184</v>
      </c>
      <c r="D25" s="2964" t="s">
        <v>3085</v>
      </c>
      <c r="E25" s="2964">
        <v>28772.240000000002</v>
      </c>
      <c r="F25" s="2964">
        <v>71930.600000000006</v>
      </c>
      <c r="G25" s="2964" t="s">
        <v>3137</v>
      </c>
      <c r="H25" s="2964" t="s">
        <v>3185</v>
      </c>
      <c r="I25" s="2964" t="s">
        <v>3186</v>
      </c>
      <c r="J25" s="2964">
        <v>8394</v>
      </c>
      <c r="K25" s="2964">
        <v>1166.96</v>
      </c>
      <c r="L25" s="2964">
        <v>0</v>
      </c>
      <c r="M25" s="2964" t="s">
        <v>3089</v>
      </c>
      <c r="O25" s="2964">
        <f t="shared" si="0"/>
        <v>2917.3953783229945</v>
      </c>
    </row>
    <row r="26" spans="1:15" s="2964" customFormat="1">
      <c r="A26" s="2964" t="s">
        <v>3187</v>
      </c>
      <c r="B26" s="2964" t="s">
        <v>3083</v>
      </c>
      <c r="C26" s="2964" t="s">
        <v>3188</v>
      </c>
      <c r="D26" s="2964" t="s">
        <v>3085</v>
      </c>
      <c r="E26" s="2964">
        <v>16518</v>
      </c>
      <c r="F26" s="2964">
        <v>41295</v>
      </c>
      <c r="G26" s="2964" t="s">
        <v>3174</v>
      </c>
      <c r="H26" s="2964" t="s">
        <v>3165</v>
      </c>
      <c r="I26" s="2964" t="s">
        <v>3180</v>
      </c>
      <c r="J26" s="2964">
        <v>3964.32</v>
      </c>
      <c r="K26" s="2964">
        <v>960</v>
      </c>
      <c r="L26" s="2964">
        <v>0</v>
      </c>
      <c r="M26" s="2964" t="s">
        <v>3089</v>
      </c>
      <c r="O26" s="2964">
        <f t="shared" si="0"/>
        <v>2400</v>
      </c>
    </row>
    <row r="27" spans="1:15" s="2964" customFormat="1">
      <c r="A27" s="2964" t="s">
        <v>3189</v>
      </c>
      <c r="B27" s="2964" t="s">
        <v>3083</v>
      </c>
      <c r="C27" s="2964" t="s">
        <v>3190</v>
      </c>
      <c r="D27" s="2964" t="s">
        <v>3085</v>
      </c>
      <c r="E27" s="2964">
        <v>48463</v>
      </c>
      <c r="F27" s="2964">
        <v>121157.5</v>
      </c>
      <c r="G27" s="2964" t="s">
        <v>3174</v>
      </c>
      <c r="H27" s="2964" t="s">
        <v>3165</v>
      </c>
      <c r="I27" s="2964" t="s">
        <v>3180</v>
      </c>
      <c r="J27" s="2964">
        <v>10904.18</v>
      </c>
      <c r="K27" s="2964">
        <v>900</v>
      </c>
      <c r="L27" s="2964">
        <v>0</v>
      </c>
      <c r="M27" s="2964" t="s">
        <v>3089</v>
      </c>
      <c r="O27" s="2964">
        <f t="shared" si="0"/>
        <v>2250.0010317149167</v>
      </c>
    </row>
    <row r="28" spans="1:15" s="2964" customFormat="1">
      <c r="A28" s="2964" t="s">
        <v>3191</v>
      </c>
      <c r="B28" s="2964" t="s">
        <v>3083</v>
      </c>
      <c r="C28" s="2964" t="s">
        <v>3192</v>
      </c>
      <c r="D28" s="2964" t="s">
        <v>3085</v>
      </c>
      <c r="E28" s="2964">
        <v>51853</v>
      </c>
      <c r="F28" s="2964">
        <v>103706</v>
      </c>
      <c r="G28" s="2964" t="s">
        <v>3179</v>
      </c>
      <c r="H28" s="2964" t="s">
        <v>3165</v>
      </c>
      <c r="I28" s="2964" t="s">
        <v>3180</v>
      </c>
      <c r="J28" s="2964">
        <v>9333.5400000000009</v>
      </c>
      <c r="K28" s="2964">
        <v>900</v>
      </c>
      <c r="L28" s="2964">
        <v>0</v>
      </c>
      <c r="M28" s="2964" t="s">
        <v>3089</v>
      </c>
      <c r="O28" s="2964">
        <f t="shared" si="0"/>
        <v>1800.0000000000002</v>
      </c>
    </row>
    <row r="29" spans="1:15" s="2964" customFormat="1">
      <c r="A29" s="2964" t="s">
        <v>3191</v>
      </c>
      <c r="B29" s="2964" t="s">
        <v>3083</v>
      </c>
      <c r="C29" s="2964" t="s">
        <v>3193</v>
      </c>
      <c r="D29" s="2964" t="s">
        <v>3085</v>
      </c>
      <c r="E29" s="2964">
        <v>43748</v>
      </c>
      <c r="F29" s="2964">
        <v>87496</v>
      </c>
      <c r="G29" s="2964" t="s">
        <v>3179</v>
      </c>
      <c r="H29" s="2964" t="s">
        <v>3165</v>
      </c>
      <c r="I29" s="2964" t="s">
        <v>3180</v>
      </c>
      <c r="J29" s="2964">
        <v>7874.64</v>
      </c>
      <c r="K29" s="2964">
        <v>900</v>
      </c>
      <c r="L29" s="2964">
        <v>0</v>
      </c>
      <c r="M29" s="2964" t="s">
        <v>3089</v>
      </c>
      <c r="O29" s="2964">
        <f t="shared" si="0"/>
        <v>1800</v>
      </c>
    </row>
    <row r="30" spans="1:15" s="2964" customFormat="1">
      <c r="A30" s="3218" t="s">
        <v>3194</v>
      </c>
      <c r="B30" s="3218" t="s">
        <v>3083</v>
      </c>
      <c r="C30" s="3218" t="s">
        <v>3195</v>
      </c>
      <c r="D30" s="3218" t="s">
        <v>3085</v>
      </c>
      <c r="E30" s="3218">
        <v>1528</v>
      </c>
      <c r="F30" s="3218">
        <v>3820</v>
      </c>
      <c r="G30" s="3218" t="s">
        <v>3196</v>
      </c>
      <c r="H30" s="3218" t="s">
        <v>3197</v>
      </c>
      <c r="I30" s="3218" t="s">
        <v>3198</v>
      </c>
      <c r="J30" s="3218">
        <v>343.8</v>
      </c>
      <c r="K30" s="3218">
        <v>900</v>
      </c>
      <c r="L30" s="3218">
        <v>0.09</v>
      </c>
      <c r="M30" s="3218" t="s">
        <v>3089</v>
      </c>
      <c r="O30" s="2964">
        <f t="shared" si="0"/>
        <v>2250</v>
      </c>
    </row>
    <row r="31" spans="1:15" s="2964" customFormat="1">
      <c r="A31" s="2964" t="s">
        <v>3199</v>
      </c>
      <c r="B31" s="2964" t="s">
        <v>3096</v>
      </c>
      <c r="C31" s="2964" t="s">
        <v>3200</v>
      </c>
      <c r="D31" s="2964" t="s">
        <v>3085</v>
      </c>
      <c r="E31" s="2964">
        <v>11245.7</v>
      </c>
      <c r="F31" s="2964">
        <v>28114.25</v>
      </c>
      <c r="G31" s="2964" t="s">
        <v>3201</v>
      </c>
      <c r="H31" s="2964" t="s">
        <v>3202</v>
      </c>
      <c r="I31" s="2964" t="s">
        <v>3203</v>
      </c>
      <c r="J31" s="2964">
        <v>2380</v>
      </c>
      <c r="K31" s="2964">
        <v>846.54</v>
      </c>
      <c r="L31" s="2964">
        <v>83.08</v>
      </c>
      <c r="M31" s="2964" t="s">
        <v>3089</v>
      </c>
      <c r="O31" s="2964">
        <f t="shared" si="0"/>
        <v>2116.3644770890205</v>
      </c>
    </row>
    <row r="32" spans="1:15" s="2964" customFormat="1">
      <c r="A32" s="2964" t="s">
        <v>3204</v>
      </c>
      <c r="B32" s="2964" t="s">
        <v>3096</v>
      </c>
      <c r="C32" s="2964" t="s">
        <v>3205</v>
      </c>
      <c r="D32" s="2964" t="s">
        <v>3085</v>
      </c>
      <c r="E32" s="2964">
        <v>36352.720000000001</v>
      </c>
      <c r="F32" s="2964">
        <v>109058.16</v>
      </c>
      <c r="G32" s="2964" t="s">
        <v>3206</v>
      </c>
      <c r="H32" s="2964" t="s">
        <v>3202</v>
      </c>
      <c r="I32" s="2964" t="s">
        <v>3207</v>
      </c>
      <c r="J32" s="2964">
        <v>8700</v>
      </c>
      <c r="K32" s="2964">
        <v>797.74</v>
      </c>
      <c r="L32" s="2964">
        <v>102.33</v>
      </c>
      <c r="M32" s="2964" t="s">
        <v>3089</v>
      </c>
      <c r="O32" s="2964">
        <f t="shared" si="0"/>
        <v>2393.2184441769418</v>
      </c>
    </row>
    <row r="33" spans="1:15" s="2964" customFormat="1">
      <c r="A33" s="2964" t="s">
        <v>3208</v>
      </c>
      <c r="B33" s="2964" t="s">
        <v>3083</v>
      </c>
      <c r="C33" s="2964" t="s">
        <v>3209</v>
      </c>
      <c r="D33" s="2964" t="s">
        <v>3085</v>
      </c>
      <c r="E33" s="2964">
        <v>60871</v>
      </c>
      <c r="F33" s="2964">
        <v>140003.29999999999</v>
      </c>
      <c r="G33" s="2964" t="s">
        <v>3210</v>
      </c>
      <c r="H33" s="2964" t="s">
        <v>3165</v>
      </c>
      <c r="I33" s="2964" t="s">
        <v>3180</v>
      </c>
      <c r="J33" s="2964">
        <v>10956.78</v>
      </c>
      <c r="K33" s="2964">
        <v>782.61</v>
      </c>
      <c r="L33" s="2964">
        <v>0</v>
      </c>
      <c r="M33" s="2964" t="s">
        <v>3089</v>
      </c>
      <c r="O33" s="2964">
        <f t="shared" si="0"/>
        <v>1800</v>
      </c>
    </row>
    <row r="34" spans="1:15" s="2964" customFormat="1">
      <c r="A34" s="2964" t="s">
        <v>3211</v>
      </c>
      <c r="B34" s="2964" t="s">
        <v>3083</v>
      </c>
      <c r="C34" s="2964" t="s">
        <v>3212</v>
      </c>
      <c r="D34" s="2964" t="s">
        <v>3085</v>
      </c>
      <c r="E34" s="2964">
        <v>43726</v>
      </c>
      <c r="F34" s="2964">
        <v>100569.8</v>
      </c>
      <c r="G34" s="2964" t="s">
        <v>3210</v>
      </c>
      <c r="H34" s="2964" t="s">
        <v>3165</v>
      </c>
      <c r="I34" s="2964" t="s">
        <v>3180</v>
      </c>
      <c r="J34" s="2964">
        <v>7870.68</v>
      </c>
      <c r="K34" s="2964">
        <v>782.61</v>
      </c>
      <c r="L34" s="2964">
        <v>0</v>
      </c>
      <c r="M34" s="2964" t="s">
        <v>3089</v>
      </c>
      <c r="O34" s="2964">
        <f t="shared" ref="O34:O65" si="1">J34*10000/E34</f>
        <v>1800</v>
      </c>
    </row>
    <row r="35" spans="1:15" s="2964" customFormat="1">
      <c r="A35" s="2964" t="s">
        <v>3211</v>
      </c>
      <c r="B35" s="2964" t="s">
        <v>3083</v>
      </c>
      <c r="C35" s="2964" t="s">
        <v>3213</v>
      </c>
      <c r="D35" s="2964" t="s">
        <v>3085</v>
      </c>
      <c r="E35" s="2964">
        <v>37009</v>
      </c>
      <c r="F35" s="2964">
        <v>85120.7</v>
      </c>
      <c r="G35" s="2964" t="s">
        <v>3210</v>
      </c>
      <c r="H35" s="2964" t="s">
        <v>3165</v>
      </c>
      <c r="I35" s="2964" t="s">
        <v>3180</v>
      </c>
      <c r="J35" s="2964">
        <v>6661.61</v>
      </c>
      <c r="K35" s="2964">
        <v>782.61</v>
      </c>
      <c r="L35" s="2964">
        <v>0</v>
      </c>
      <c r="M35" s="2964" t="s">
        <v>3089</v>
      </c>
      <c r="O35" s="2964">
        <f t="shared" si="1"/>
        <v>1799.9972979545516</v>
      </c>
    </row>
    <row r="36" spans="1:15" s="2964" customFormat="1">
      <c r="A36" s="2964" t="s">
        <v>3214</v>
      </c>
      <c r="B36" s="2964" t="s">
        <v>3083</v>
      </c>
      <c r="C36" s="2964" t="s">
        <v>3215</v>
      </c>
      <c r="D36" s="2964" t="s">
        <v>3085</v>
      </c>
      <c r="E36" s="2964">
        <v>60388</v>
      </c>
      <c r="F36" s="2964">
        <v>138892.4</v>
      </c>
      <c r="G36" s="2964" t="s">
        <v>3210</v>
      </c>
      <c r="H36" s="2964" t="s">
        <v>3165</v>
      </c>
      <c r="I36" s="2964" t="s">
        <v>3180</v>
      </c>
      <c r="J36" s="2964">
        <v>10869.84</v>
      </c>
      <c r="K36" s="2964">
        <v>782.61</v>
      </c>
      <c r="L36" s="2964">
        <v>0</v>
      </c>
      <c r="M36" s="2964" t="s">
        <v>3089</v>
      </c>
      <c r="O36" s="2964">
        <f t="shared" si="1"/>
        <v>1800</v>
      </c>
    </row>
    <row r="37" spans="1:15" s="2964" customFormat="1">
      <c r="A37" s="2964" t="s">
        <v>3214</v>
      </c>
      <c r="B37" s="2964" t="s">
        <v>3083</v>
      </c>
      <c r="C37" s="2964" t="s">
        <v>3216</v>
      </c>
      <c r="D37" s="2964" t="s">
        <v>3085</v>
      </c>
      <c r="E37" s="2964">
        <v>43211</v>
      </c>
      <c r="F37" s="2964">
        <v>99385.3</v>
      </c>
      <c r="G37" s="2964" t="s">
        <v>3210</v>
      </c>
      <c r="H37" s="2964" t="s">
        <v>3165</v>
      </c>
      <c r="I37" s="2964" t="s">
        <v>3180</v>
      </c>
      <c r="J37" s="2964">
        <v>7777.97</v>
      </c>
      <c r="K37" s="2964">
        <v>782.61</v>
      </c>
      <c r="L37" s="2964">
        <v>0</v>
      </c>
      <c r="M37" s="2964" t="s">
        <v>3089</v>
      </c>
      <c r="O37" s="2964">
        <f t="shared" si="1"/>
        <v>1799.9976857744555</v>
      </c>
    </row>
    <row r="38" spans="1:15" s="2964" customFormat="1">
      <c r="A38" s="2964" t="s">
        <v>3204</v>
      </c>
      <c r="B38" s="2964" t="s">
        <v>3096</v>
      </c>
      <c r="C38" s="2964" t="s">
        <v>3217</v>
      </c>
      <c r="D38" s="2964" t="s">
        <v>3085</v>
      </c>
      <c r="E38" s="2964">
        <v>36356.07</v>
      </c>
      <c r="F38" s="2964">
        <v>109068.21</v>
      </c>
      <c r="G38" s="2964" t="s">
        <v>3206</v>
      </c>
      <c r="H38" s="2964" t="s">
        <v>3218</v>
      </c>
      <c r="I38" s="2964" t="s">
        <v>3219</v>
      </c>
      <c r="J38" s="2964">
        <v>8350</v>
      </c>
      <c r="K38" s="2964">
        <v>765.58</v>
      </c>
      <c r="L38" s="2964">
        <v>94.19</v>
      </c>
      <c r="M38" s="2964" t="s">
        <v>3089</v>
      </c>
      <c r="O38" s="2964">
        <f t="shared" si="1"/>
        <v>2296.7278916560563</v>
      </c>
    </row>
    <row r="39" spans="1:15" s="2964" customFormat="1">
      <c r="A39" s="3218" t="s">
        <v>3220</v>
      </c>
      <c r="B39" s="3218" t="s">
        <v>3083</v>
      </c>
      <c r="C39" s="3218" t="s">
        <v>3221</v>
      </c>
      <c r="D39" s="3218" t="s">
        <v>3085</v>
      </c>
      <c r="E39" s="3218">
        <v>55691</v>
      </c>
      <c r="F39" s="3218">
        <v>139227.5</v>
      </c>
      <c r="G39" s="3218" t="s">
        <v>3174</v>
      </c>
      <c r="H39" s="3218" t="s">
        <v>3175</v>
      </c>
      <c r="I39" s="3218" t="s">
        <v>3222</v>
      </c>
      <c r="J39" s="3218">
        <v>10024.370000000001</v>
      </c>
      <c r="K39" s="3218">
        <v>720</v>
      </c>
      <c r="L39" s="3218">
        <v>0</v>
      </c>
      <c r="M39" s="3218" t="s">
        <v>3089</v>
      </c>
      <c r="O39" s="2964">
        <f t="shared" si="1"/>
        <v>1799.9982043777275</v>
      </c>
    </row>
    <row r="40" spans="1:15" s="2964" customFormat="1">
      <c r="A40" s="2964" t="s">
        <v>3223</v>
      </c>
      <c r="B40" s="2964" t="s">
        <v>3096</v>
      </c>
      <c r="C40" s="2964" t="s">
        <v>3224</v>
      </c>
      <c r="D40" s="2964" t="s">
        <v>3085</v>
      </c>
      <c r="E40" s="2964">
        <v>2338.4899999999998</v>
      </c>
      <c r="F40" s="2964">
        <v>4676.9799999999996</v>
      </c>
      <c r="G40" s="2964" t="s">
        <v>3132</v>
      </c>
      <c r="H40" s="2964" t="s">
        <v>3225</v>
      </c>
      <c r="I40" s="2964" t="s">
        <v>3226</v>
      </c>
      <c r="J40" s="2964">
        <v>335</v>
      </c>
      <c r="K40" s="2964">
        <v>716.26</v>
      </c>
      <c r="L40" s="2964">
        <v>1.52</v>
      </c>
      <c r="M40" s="2964" t="s">
        <v>3089</v>
      </c>
      <c r="O40" s="2964">
        <f t="shared" si="1"/>
        <v>1432.5483538522724</v>
      </c>
    </row>
    <row r="41" spans="1:15" s="2964" customFormat="1">
      <c r="A41" s="3218" t="s">
        <v>3117</v>
      </c>
      <c r="B41" s="3218" t="s">
        <v>3096</v>
      </c>
      <c r="C41" s="3218" t="s">
        <v>3122</v>
      </c>
      <c r="D41" s="3218" t="s">
        <v>3085</v>
      </c>
      <c r="E41" s="3218">
        <v>14524</v>
      </c>
      <c r="F41" s="3218">
        <v>43572</v>
      </c>
      <c r="G41" s="3218" t="s">
        <v>3119</v>
      </c>
      <c r="H41" s="3218" t="s">
        <v>3120</v>
      </c>
      <c r="I41" s="3218" t="s">
        <v>3121</v>
      </c>
      <c r="J41" s="3218">
        <v>3081</v>
      </c>
      <c r="K41" s="3218">
        <v>707.11</v>
      </c>
      <c r="L41" s="3218">
        <v>0</v>
      </c>
      <c r="M41" s="3218" t="s">
        <v>3089</v>
      </c>
      <c r="O41" s="2964">
        <f t="shared" si="1"/>
        <v>2121.3164417515836</v>
      </c>
    </row>
    <row r="42" spans="1:15" s="2964" customFormat="1">
      <c r="A42" s="3218" t="s">
        <v>3227</v>
      </c>
      <c r="B42" s="3218" t="s">
        <v>3096</v>
      </c>
      <c r="C42" s="3218" t="s">
        <v>3228</v>
      </c>
      <c r="D42" s="3218" t="s">
        <v>3085</v>
      </c>
      <c r="E42" s="3218">
        <v>11725.11</v>
      </c>
      <c r="F42" s="3218">
        <v>41037.89</v>
      </c>
      <c r="G42" s="3218" t="s">
        <v>3229</v>
      </c>
      <c r="H42" s="3218" t="s">
        <v>3230</v>
      </c>
      <c r="I42" s="3218" t="s">
        <v>3231</v>
      </c>
      <c r="J42" s="3218">
        <v>2808</v>
      </c>
      <c r="K42" s="3218">
        <v>684.25</v>
      </c>
      <c r="L42" s="3218">
        <v>1.45</v>
      </c>
      <c r="M42" s="3218" t="s">
        <v>3089</v>
      </c>
      <c r="O42" s="2964">
        <f t="shared" si="1"/>
        <v>2394.8602614389119</v>
      </c>
    </row>
    <row r="43" spans="1:15" s="2964" customFormat="1">
      <c r="A43" s="3218" t="s">
        <v>3127</v>
      </c>
      <c r="B43" s="3218" t="s">
        <v>3096</v>
      </c>
      <c r="C43" s="3218" t="s">
        <v>3128</v>
      </c>
      <c r="D43" s="3218" t="s">
        <v>3085</v>
      </c>
      <c r="E43" s="3218">
        <v>38676.14</v>
      </c>
      <c r="F43" s="3218">
        <v>116028.4</v>
      </c>
      <c r="G43" s="3218" t="s">
        <v>3129</v>
      </c>
      <c r="H43" s="3218" t="s">
        <v>3130</v>
      </c>
      <c r="I43" s="3218" t="s">
        <v>3131</v>
      </c>
      <c r="J43" s="3218">
        <v>7816.44</v>
      </c>
      <c r="K43" s="3218">
        <v>673.66</v>
      </c>
      <c r="L43" s="3218">
        <v>0</v>
      </c>
      <c r="M43" s="3218" t="s">
        <v>3089</v>
      </c>
      <c r="O43" s="2964">
        <f t="shared" si="1"/>
        <v>2020.9979589483335</v>
      </c>
    </row>
    <row r="44" spans="1:15" s="2964" customFormat="1">
      <c r="A44" s="3218" t="s">
        <v>3232</v>
      </c>
      <c r="B44" s="3218" t="s">
        <v>3096</v>
      </c>
      <c r="C44" s="3218" t="s">
        <v>3233</v>
      </c>
      <c r="D44" s="3218" t="s">
        <v>3085</v>
      </c>
      <c r="E44" s="3218">
        <v>20022</v>
      </c>
      <c r="F44" s="3218">
        <v>70077</v>
      </c>
      <c r="G44" s="3218" t="s">
        <v>3229</v>
      </c>
      <c r="H44" s="3218" t="s">
        <v>3234</v>
      </c>
      <c r="I44" s="3218" t="s">
        <v>3235</v>
      </c>
      <c r="J44" s="3218">
        <v>4712</v>
      </c>
      <c r="K44" s="3218">
        <v>672.39</v>
      </c>
      <c r="L44" s="3218">
        <v>0</v>
      </c>
      <c r="M44" s="3218" t="s">
        <v>3089</v>
      </c>
      <c r="O44" s="2964">
        <f t="shared" si="1"/>
        <v>2353.4112476276096</v>
      </c>
    </row>
    <row r="45" spans="1:15" s="2964" customFormat="1">
      <c r="A45" s="3218" t="s">
        <v>3236</v>
      </c>
      <c r="B45" s="3218" t="s">
        <v>3083</v>
      </c>
      <c r="C45" s="3218" t="s">
        <v>3237</v>
      </c>
      <c r="D45" s="3218" t="s">
        <v>3146</v>
      </c>
      <c r="E45" s="3218">
        <v>36285.589999999997</v>
      </c>
      <c r="F45" s="3218">
        <v>108856.8</v>
      </c>
      <c r="G45" s="3218" t="s">
        <v>3129</v>
      </c>
      <c r="H45" s="3218" t="s">
        <v>3238</v>
      </c>
      <c r="I45" s="3218" t="s">
        <v>3239</v>
      </c>
      <c r="J45" s="3218">
        <v>7213</v>
      </c>
      <c r="K45" s="3218">
        <v>662.61</v>
      </c>
      <c r="L45" s="3218">
        <v>0</v>
      </c>
      <c r="M45" s="3218" t="s">
        <v>3155</v>
      </c>
      <c r="O45" s="2964">
        <f t="shared" si="1"/>
        <v>1987.8414544175803</v>
      </c>
    </row>
    <row r="46" spans="1:15" s="2964" customFormat="1">
      <c r="A46" s="3218" t="s">
        <v>3240</v>
      </c>
      <c r="B46" s="3218" t="s">
        <v>3083</v>
      </c>
      <c r="C46" s="3218" t="s">
        <v>3241</v>
      </c>
      <c r="D46" s="3218" t="s">
        <v>3085</v>
      </c>
      <c r="E46" s="3218">
        <v>123</v>
      </c>
      <c r="F46" s="3218">
        <v>282.89999999999998</v>
      </c>
      <c r="G46" s="3218" t="s">
        <v>3210</v>
      </c>
      <c r="H46" s="3218" t="s">
        <v>3175</v>
      </c>
      <c r="I46" s="3218" t="s">
        <v>3176</v>
      </c>
      <c r="J46" s="3218">
        <v>18.440000000000001</v>
      </c>
      <c r="K46" s="3218">
        <v>652.16</v>
      </c>
      <c r="L46" s="3218">
        <v>0</v>
      </c>
      <c r="M46" s="3218" t="s">
        <v>3089</v>
      </c>
      <c r="O46" s="2964">
        <f t="shared" si="1"/>
        <v>1499.1869918699188</v>
      </c>
    </row>
    <row r="47" spans="1:15" s="2964" customFormat="1">
      <c r="A47" s="3218" t="s">
        <v>3240</v>
      </c>
      <c r="B47" s="3218" t="s">
        <v>3083</v>
      </c>
      <c r="C47" s="3218" t="s">
        <v>3242</v>
      </c>
      <c r="D47" s="3218" t="s">
        <v>3085</v>
      </c>
      <c r="E47" s="3218">
        <v>134</v>
      </c>
      <c r="F47" s="3218">
        <v>308.2</v>
      </c>
      <c r="G47" s="3218" t="s">
        <v>3210</v>
      </c>
      <c r="H47" s="3218" t="s">
        <v>3175</v>
      </c>
      <c r="I47" s="3218" t="s">
        <v>3176</v>
      </c>
      <c r="J47" s="3218">
        <v>20.100000000000001</v>
      </c>
      <c r="K47" s="3218">
        <v>652.16</v>
      </c>
      <c r="L47" s="3218">
        <v>0</v>
      </c>
      <c r="M47" s="3218" t="s">
        <v>3089</v>
      </c>
      <c r="O47" s="2964">
        <f t="shared" si="1"/>
        <v>1500</v>
      </c>
    </row>
    <row r="48" spans="1:15" s="2964" customFormat="1">
      <c r="A48" s="3218" t="s">
        <v>3240</v>
      </c>
      <c r="B48" s="3218" t="s">
        <v>3083</v>
      </c>
      <c r="C48" s="3218" t="s">
        <v>3243</v>
      </c>
      <c r="D48" s="3218" t="s">
        <v>3085</v>
      </c>
      <c r="E48" s="3218">
        <v>560</v>
      </c>
      <c r="F48" s="3218">
        <v>1288</v>
      </c>
      <c r="G48" s="3218" t="s">
        <v>3210</v>
      </c>
      <c r="H48" s="3218" t="s">
        <v>3175</v>
      </c>
      <c r="I48" s="3218" t="s">
        <v>3244</v>
      </c>
      <c r="J48" s="3218">
        <v>84</v>
      </c>
      <c r="K48" s="3218">
        <v>652.16</v>
      </c>
      <c r="L48" s="3218">
        <v>0</v>
      </c>
      <c r="M48" s="3218" t="s">
        <v>3089</v>
      </c>
      <c r="O48" s="2964">
        <f t="shared" si="1"/>
        <v>1500</v>
      </c>
    </row>
    <row r="49" spans="1:15" s="2964" customFormat="1">
      <c r="A49" s="3218" t="s">
        <v>3245</v>
      </c>
      <c r="B49" s="3218" t="s">
        <v>3083</v>
      </c>
      <c r="C49" s="3218" t="s">
        <v>3246</v>
      </c>
      <c r="D49" s="3218" t="s">
        <v>3085</v>
      </c>
      <c r="E49" s="3218">
        <v>3983</v>
      </c>
      <c r="F49" s="3218">
        <v>13940.5</v>
      </c>
      <c r="G49" s="3218" t="s">
        <v>3247</v>
      </c>
      <c r="H49" s="3218" t="s">
        <v>3248</v>
      </c>
      <c r="I49" s="3218" t="s">
        <v>3249</v>
      </c>
      <c r="J49" s="3218">
        <v>896.17</v>
      </c>
      <c r="K49" s="3218">
        <v>642.86</v>
      </c>
      <c r="L49" s="3218">
        <v>0.08</v>
      </c>
      <c r="M49" s="3218" t="s">
        <v>3089</v>
      </c>
      <c r="O49" s="2964">
        <f t="shared" si="1"/>
        <v>2249.9874466482552</v>
      </c>
    </row>
    <row r="50" spans="1:15" s="2964" customFormat="1">
      <c r="A50" s="3218" t="s">
        <v>3250</v>
      </c>
      <c r="B50" s="3218" t="s">
        <v>3083</v>
      </c>
      <c r="C50" s="3218" t="s">
        <v>3251</v>
      </c>
      <c r="D50" s="3218" t="s">
        <v>3252</v>
      </c>
      <c r="E50" s="3218">
        <v>50941.45</v>
      </c>
      <c r="F50" s="3218">
        <v>152824.29999999999</v>
      </c>
      <c r="G50" s="3218" t="s">
        <v>3129</v>
      </c>
      <c r="H50" s="3218" t="s">
        <v>3253</v>
      </c>
      <c r="I50" s="3218" t="s">
        <v>3100</v>
      </c>
      <c r="J50" s="3218">
        <v>9568</v>
      </c>
      <c r="K50" s="3218">
        <v>626.08000000000004</v>
      </c>
      <c r="L50" s="3218">
        <v>0</v>
      </c>
      <c r="M50" s="3218" t="s">
        <v>3148</v>
      </c>
      <c r="O50" s="2964">
        <f t="shared" si="1"/>
        <v>1878.2347184856342</v>
      </c>
    </row>
    <row r="51" spans="1:15" s="2964" customFormat="1">
      <c r="A51" s="3218" t="s">
        <v>3117</v>
      </c>
      <c r="B51" s="3218" t="s">
        <v>3096</v>
      </c>
      <c r="C51" s="3218" t="s">
        <v>3118</v>
      </c>
      <c r="D51" s="3218" t="s">
        <v>3085</v>
      </c>
      <c r="E51" s="3218">
        <v>10003</v>
      </c>
      <c r="F51" s="3218">
        <v>30009</v>
      </c>
      <c r="G51" s="3218" t="s">
        <v>3119</v>
      </c>
      <c r="H51" s="3218" t="s">
        <v>3120</v>
      </c>
      <c r="I51" s="3218" t="s">
        <v>3121</v>
      </c>
      <c r="J51" s="3218">
        <v>1820</v>
      </c>
      <c r="K51" s="3218">
        <v>606.48</v>
      </c>
      <c r="L51" s="3218">
        <v>0</v>
      </c>
      <c r="M51" s="3218" t="s">
        <v>3089</v>
      </c>
      <c r="O51" s="2964">
        <f t="shared" si="1"/>
        <v>1819.4541637508748</v>
      </c>
    </row>
    <row r="52" spans="1:15" s="2964" customFormat="1">
      <c r="A52" s="2964" t="s">
        <v>3254</v>
      </c>
      <c r="B52" s="2964" t="s">
        <v>3083</v>
      </c>
      <c r="C52" s="2964" t="s">
        <v>3255</v>
      </c>
      <c r="D52" s="2964" t="s">
        <v>3085</v>
      </c>
      <c r="E52" s="2964">
        <v>52343</v>
      </c>
      <c r="F52" s="2964">
        <v>157029</v>
      </c>
      <c r="G52" s="2964" t="s">
        <v>3256</v>
      </c>
      <c r="H52" s="2964" t="s">
        <v>3257</v>
      </c>
      <c r="I52" s="2964" t="s">
        <v>3258</v>
      </c>
      <c r="J52" s="2964">
        <v>9249</v>
      </c>
      <c r="K52" s="2964">
        <v>589</v>
      </c>
      <c r="L52" s="2964">
        <v>80.680000000000007</v>
      </c>
      <c r="M52" s="2964" t="s">
        <v>3089</v>
      </c>
      <c r="O52" s="2964">
        <f t="shared" si="1"/>
        <v>1766.9984525151406</v>
      </c>
    </row>
    <row r="53" spans="1:15" s="2964" customFormat="1">
      <c r="A53" s="2964" t="s">
        <v>3259</v>
      </c>
      <c r="B53" s="2964" t="s">
        <v>3083</v>
      </c>
      <c r="C53" s="2964" t="s">
        <v>3260</v>
      </c>
      <c r="D53" s="2964" t="s">
        <v>3085</v>
      </c>
      <c r="E53" s="2964">
        <v>9811</v>
      </c>
      <c r="F53" s="2964">
        <v>17169.25</v>
      </c>
      <c r="G53" s="2964" t="s">
        <v>3261</v>
      </c>
      <c r="H53" s="2964" t="s">
        <v>3262</v>
      </c>
      <c r="I53" s="2964" t="s">
        <v>3263</v>
      </c>
      <c r="J53" s="2964">
        <v>971.28</v>
      </c>
      <c r="K53" s="2964">
        <v>565.71</v>
      </c>
      <c r="L53" s="2964">
        <v>0</v>
      </c>
      <c r="M53" s="2964" t="s">
        <v>3089</v>
      </c>
      <c r="O53" s="2964">
        <f t="shared" si="1"/>
        <v>989.99082662317801</v>
      </c>
    </row>
    <row r="54" spans="1:15" s="2964" customFormat="1">
      <c r="A54" s="2964" t="s">
        <v>3264</v>
      </c>
      <c r="B54" s="2964" t="s">
        <v>3083</v>
      </c>
      <c r="C54" s="2964" t="s">
        <v>3265</v>
      </c>
      <c r="D54" s="2964" t="s">
        <v>3085</v>
      </c>
      <c r="E54" s="2964">
        <v>33371</v>
      </c>
      <c r="F54" s="2964">
        <v>58399.25</v>
      </c>
      <c r="G54" s="2964" t="s">
        <v>3261</v>
      </c>
      <c r="H54" s="2964" t="s">
        <v>3262</v>
      </c>
      <c r="I54" s="2964" t="s">
        <v>3263</v>
      </c>
      <c r="J54" s="2964">
        <v>3303.73</v>
      </c>
      <c r="K54" s="2964">
        <v>565.71</v>
      </c>
      <c r="L54" s="2964">
        <v>0</v>
      </c>
      <c r="M54" s="2964" t="s">
        <v>3089</v>
      </c>
      <c r="O54" s="2964">
        <f t="shared" si="1"/>
        <v>990.00029966138266</v>
      </c>
    </row>
    <row r="55" spans="1:15" s="2964" customFormat="1">
      <c r="A55" s="3218" t="s">
        <v>3266</v>
      </c>
      <c r="B55" s="3218" t="s">
        <v>3096</v>
      </c>
      <c r="C55" s="3218" t="s">
        <v>3267</v>
      </c>
      <c r="D55" s="3218" t="s">
        <v>3085</v>
      </c>
      <c r="E55" s="3218">
        <v>44596.94</v>
      </c>
      <c r="F55" s="3218">
        <v>133790.82</v>
      </c>
      <c r="G55" s="3218" t="s">
        <v>3206</v>
      </c>
      <c r="H55" s="3218" t="s">
        <v>3268</v>
      </c>
      <c r="I55" s="3218" t="s">
        <v>3269</v>
      </c>
      <c r="J55" s="3218">
        <v>7400</v>
      </c>
      <c r="K55" s="3218">
        <v>553.1</v>
      </c>
      <c r="L55" s="3218">
        <v>38.06</v>
      </c>
      <c r="M55" s="3218" t="s">
        <v>3089</v>
      </c>
      <c r="O55" s="2964">
        <f t="shared" si="1"/>
        <v>1659.3066699195056</v>
      </c>
    </row>
    <row r="56" spans="1:15" s="2964" customFormat="1">
      <c r="A56" s="2964" t="s">
        <v>3270</v>
      </c>
      <c r="B56" s="2964" t="s">
        <v>3096</v>
      </c>
      <c r="C56" s="2964" t="s">
        <v>3271</v>
      </c>
      <c r="D56" s="2964" t="s">
        <v>3085</v>
      </c>
      <c r="E56" s="2964">
        <v>38848.74</v>
      </c>
      <c r="F56" s="2964">
        <v>116546.22</v>
      </c>
      <c r="G56" s="2964" t="s">
        <v>3206</v>
      </c>
      <c r="H56" s="2964" t="s">
        <v>3171</v>
      </c>
      <c r="I56" s="2964" t="s">
        <v>3219</v>
      </c>
      <c r="J56" s="2964">
        <v>6300</v>
      </c>
      <c r="K56" s="2964">
        <v>540.54999999999995</v>
      </c>
      <c r="L56" s="2964">
        <v>38.46</v>
      </c>
      <c r="M56" s="2964" t="s">
        <v>3089</v>
      </c>
      <c r="O56" s="2964">
        <f t="shared" si="1"/>
        <v>1621.6742164610746</v>
      </c>
    </row>
    <row r="57" spans="1:15" s="2964" customFormat="1">
      <c r="A57" s="2964" t="s">
        <v>3270</v>
      </c>
      <c r="B57" s="2964" t="s">
        <v>3096</v>
      </c>
      <c r="C57" s="2964" t="s">
        <v>3272</v>
      </c>
      <c r="D57" s="2964" t="s">
        <v>3085</v>
      </c>
      <c r="E57" s="2964">
        <v>38848.86</v>
      </c>
      <c r="F57" s="2964">
        <v>116546.58</v>
      </c>
      <c r="G57" s="2964" t="s">
        <v>3206</v>
      </c>
      <c r="H57" s="2964" t="s">
        <v>3171</v>
      </c>
      <c r="I57" s="2964" t="s">
        <v>3219</v>
      </c>
      <c r="J57" s="2964">
        <v>6200</v>
      </c>
      <c r="K57" s="2964">
        <v>531.98</v>
      </c>
      <c r="L57" s="2964">
        <v>33.33</v>
      </c>
      <c r="M57" s="2964" t="s">
        <v>3089</v>
      </c>
      <c r="O57" s="2964">
        <f t="shared" si="1"/>
        <v>1595.9284262137937</v>
      </c>
    </row>
    <row r="58" spans="1:15" s="2964" customFormat="1">
      <c r="A58" s="3218" t="s">
        <v>3273</v>
      </c>
      <c r="B58" s="3218" t="s">
        <v>3083</v>
      </c>
      <c r="C58" s="3218" t="s">
        <v>3274</v>
      </c>
      <c r="D58" s="3218" t="s">
        <v>3085</v>
      </c>
      <c r="E58" s="3218">
        <v>10884</v>
      </c>
      <c r="F58" s="3218">
        <v>46801.2</v>
      </c>
      <c r="G58" s="3218" t="s">
        <v>3275</v>
      </c>
      <c r="H58" s="3218" t="s">
        <v>3248</v>
      </c>
      <c r="I58" s="3218" t="s">
        <v>3276</v>
      </c>
      <c r="J58" s="3218">
        <v>2481.5500000000002</v>
      </c>
      <c r="K58" s="3218">
        <v>530.23</v>
      </c>
      <c r="L58" s="3218">
        <v>1.37</v>
      </c>
      <c r="M58" s="3218" t="s">
        <v>3089</v>
      </c>
      <c r="O58" s="2964">
        <f t="shared" si="1"/>
        <v>2279.9981624402794</v>
      </c>
    </row>
    <row r="59" spans="1:15" s="2964" customFormat="1">
      <c r="A59" s="2964" t="s">
        <v>3277</v>
      </c>
      <c r="B59" s="2964" t="s">
        <v>3096</v>
      </c>
      <c r="C59" s="2964" t="s">
        <v>3278</v>
      </c>
      <c r="D59" s="2964" t="s">
        <v>3085</v>
      </c>
      <c r="E59" s="2964">
        <v>13044.69</v>
      </c>
      <c r="F59" s="2964">
        <v>26872.06</v>
      </c>
      <c r="G59" s="2964" t="s">
        <v>3279</v>
      </c>
      <c r="H59" s="2964" t="s">
        <v>3280</v>
      </c>
      <c r="I59" s="2964" t="s">
        <v>3281</v>
      </c>
      <c r="J59" s="2964">
        <v>1391</v>
      </c>
      <c r="K59" s="2964">
        <v>517.63</v>
      </c>
      <c r="L59" s="2964">
        <v>0.72</v>
      </c>
      <c r="M59" s="2964" t="s">
        <v>3089</v>
      </c>
      <c r="O59" s="2964">
        <f t="shared" si="1"/>
        <v>1066.3342708795685</v>
      </c>
    </row>
    <row r="60" spans="1:15" s="2964" customFormat="1">
      <c r="A60" s="3218" t="s">
        <v>3282</v>
      </c>
      <c r="B60" s="3218" t="s">
        <v>3083</v>
      </c>
      <c r="C60" s="3218" t="s">
        <v>3283</v>
      </c>
      <c r="D60" s="3218" t="s">
        <v>3085</v>
      </c>
      <c r="E60" s="3218">
        <v>998</v>
      </c>
      <c r="F60" s="3218">
        <v>2994</v>
      </c>
      <c r="G60" s="3218" t="s">
        <v>3284</v>
      </c>
      <c r="H60" s="3218" t="s">
        <v>3248</v>
      </c>
      <c r="I60" s="3218" t="s">
        <v>3285</v>
      </c>
      <c r="J60" s="3218">
        <v>149.69</v>
      </c>
      <c r="K60" s="3218">
        <v>500</v>
      </c>
      <c r="L60" s="3218">
        <v>0</v>
      </c>
      <c r="M60" s="3218" t="s">
        <v>3089</v>
      </c>
      <c r="O60" s="2964">
        <f t="shared" si="1"/>
        <v>1499.8997995991983</v>
      </c>
    </row>
    <row r="61" spans="1:15" s="2964" customFormat="1">
      <c r="A61" s="2964" t="s">
        <v>3286</v>
      </c>
      <c r="B61" s="2964" t="s">
        <v>3083</v>
      </c>
      <c r="C61" s="2964" t="s">
        <v>3287</v>
      </c>
      <c r="D61" s="2964" t="s">
        <v>3085</v>
      </c>
      <c r="E61" s="2964">
        <v>54968.4</v>
      </c>
      <c r="F61" s="2964">
        <v>164905.20000000001</v>
      </c>
      <c r="G61" s="2964" t="s">
        <v>3256</v>
      </c>
      <c r="H61" s="2964" t="s">
        <v>3257</v>
      </c>
      <c r="I61" s="2964" t="s">
        <v>3258</v>
      </c>
      <c r="J61" s="2964">
        <v>7916</v>
      </c>
      <c r="K61" s="2964">
        <v>480.02</v>
      </c>
      <c r="L61" s="2964">
        <v>47.25</v>
      </c>
      <c r="M61" s="2964" t="s">
        <v>3089</v>
      </c>
      <c r="O61" s="2964">
        <f t="shared" si="1"/>
        <v>1440.1001302566565</v>
      </c>
    </row>
    <row r="62" spans="1:15" s="2964" customFormat="1">
      <c r="A62" s="2964" t="s">
        <v>3288</v>
      </c>
      <c r="B62" s="2964" t="s">
        <v>3096</v>
      </c>
      <c r="C62" s="2964" t="s">
        <v>3289</v>
      </c>
      <c r="D62" s="2964" t="s">
        <v>3085</v>
      </c>
      <c r="E62" s="2964">
        <v>31544.9</v>
      </c>
      <c r="F62" s="2964">
        <v>94634.7</v>
      </c>
      <c r="G62" s="2964" t="s">
        <v>3256</v>
      </c>
      <c r="H62" s="2964" t="s">
        <v>3290</v>
      </c>
      <c r="I62" s="2964" t="s">
        <v>3291</v>
      </c>
      <c r="J62" s="2964">
        <v>4403</v>
      </c>
      <c r="K62" s="2964">
        <v>465.25</v>
      </c>
      <c r="L62" s="2964">
        <v>43.14</v>
      </c>
      <c r="M62" s="2964" t="s">
        <v>3089</v>
      </c>
      <c r="O62" s="2964">
        <f t="shared" si="1"/>
        <v>1395.7882256719786</v>
      </c>
    </row>
    <row r="63" spans="1:15" s="2964" customFormat="1">
      <c r="A63" s="3218" t="s">
        <v>3292</v>
      </c>
      <c r="B63" s="3218" t="s">
        <v>3083</v>
      </c>
      <c r="C63" s="3218" t="s">
        <v>3293</v>
      </c>
      <c r="D63" s="3218" t="s">
        <v>3085</v>
      </c>
      <c r="E63" s="3218">
        <v>33913</v>
      </c>
      <c r="F63" s="3218">
        <v>101739</v>
      </c>
      <c r="G63" s="3218" t="s">
        <v>3294</v>
      </c>
      <c r="H63" s="3218" t="s">
        <v>3295</v>
      </c>
      <c r="I63" s="3218" t="s">
        <v>3296</v>
      </c>
      <c r="J63" s="3218">
        <v>4629.1099999999997</v>
      </c>
      <c r="K63" s="3218">
        <v>455</v>
      </c>
      <c r="L63" s="3218">
        <v>0</v>
      </c>
      <c r="M63" s="3218" t="s">
        <v>3089</v>
      </c>
      <c r="O63" s="2964">
        <f t="shared" si="1"/>
        <v>1364.9957243534927</v>
      </c>
    </row>
    <row r="64" spans="1:15" s="2964" customFormat="1">
      <c r="A64" s="3218" t="s">
        <v>3297</v>
      </c>
      <c r="B64" s="3218" t="s">
        <v>3083</v>
      </c>
      <c r="C64" s="3218" t="s">
        <v>3298</v>
      </c>
      <c r="D64" s="3218" t="s">
        <v>3085</v>
      </c>
      <c r="E64" s="3218">
        <v>40518</v>
      </c>
      <c r="F64" s="3218">
        <v>121554</v>
      </c>
      <c r="G64" s="3218" t="s">
        <v>3294</v>
      </c>
      <c r="H64" s="3218" t="s">
        <v>3295</v>
      </c>
      <c r="I64" s="3218" t="s">
        <v>3296</v>
      </c>
      <c r="J64" s="3218">
        <v>5530.71</v>
      </c>
      <c r="K64" s="3218">
        <v>455</v>
      </c>
      <c r="L64" s="3218">
        <v>0</v>
      </c>
      <c r="M64" s="3218" t="s">
        <v>3089</v>
      </c>
      <c r="O64" s="2964">
        <f t="shared" si="1"/>
        <v>1365.0007404116689</v>
      </c>
    </row>
    <row r="65" spans="1:15" s="2964" customFormat="1">
      <c r="A65" s="3218" t="s">
        <v>3299</v>
      </c>
      <c r="B65" s="3218" t="s">
        <v>3096</v>
      </c>
      <c r="C65" s="3218" t="s">
        <v>3300</v>
      </c>
      <c r="D65" s="3218" t="s">
        <v>3085</v>
      </c>
      <c r="E65" s="3218">
        <v>5123.04</v>
      </c>
      <c r="F65" s="3218">
        <v>30738.240000000002</v>
      </c>
      <c r="G65" s="3218" t="s">
        <v>3301</v>
      </c>
      <c r="H65" s="3218" t="s">
        <v>3302</v>
      </c>
      <c r="I65" s="3218" t="s">
        <v>3303</v>
      </c>
      <c r="J65" s="3218">
        <v>1384</v>
      </c>
      <c r="K65" s="3218">
        <v>450.25</v>
      </c>
      <c r="L65" s="3218">
        <v>0</v>
      </c>
      <c r="M65" s="3218" t="s">
        <v>3089</v>
      </c>
      <c r="O65" s="2964">
        <f t="shared" si="1"/>
        <v>2701.5209719229206</v>
      </c>
    </row>
    <row r="66" spans="1:15" s="2964" customFormat="1">
      <c r="A66" s="3218" t="s">
        <v>3304</v>
      </c>
      <c r="B66" s="3218" t="s">
        <v>3096</v>
      </c>
      <c r="C66" s="3218" t="s">
        <v>3305</v>
      </c>
      <c r="D66" s="3218" t="s">
        <v>3085</v>
      </c>
      <c r="E66" s="3218">
        <v>35288.61</v>
      </c>
      <c r="F66" s="3218">
        <v>123510.1</v>
      </c>
      <c r="G66" s="3218" t="s">
        <v>3306</v>
      </c>
      <c r="H66" s="3218" t="s">
        <v>3307</v>
      </c>
      <c r="I66" s="3218" t="s">
        <v>3308</v>
      </c>
      <c r="J66" s="3218">
        <v>5485</v>
      </c>
      <c r="K66" s="3218">
        <v>444.08</v>
      </c>
      <c r="L66" s="3218">
        <v>0</v>
      </c>
      <c r="M66" s="3218" t="s">
        <v>3309</v>
      </c>
      <c r="O66" s="2964">
        <f t="shared" ref="O66:O101" si="2">J66*10000/E66</f>
        <v>1554.3258858878262</v>
      </c>
    </row>
    <row r="67" spans="1:15" s="2964" customFormat="1">
      <c r="A67" s="2964" t="s">
        <v>3310</v>
      </c>
      <c r="B67" s="2964" t="s">
        <v>3096</v>
      </c>
      <c r="C67" s="2964" t="s">
        <v>3311</v>
      </c>
      <c r="D67" s="2964" t="s">
        <v>3085</v>
      </c>
      <c r="E67" s="2964">
        <v>10876.27</v>
      </c>
      <c r="F67" s="2964">
        <v>27190.68</v>
      </c>
      <c r="G67" s="2964" t="s">
        <v>3312</v>
      </c>
      <c r="H67" s="2964" t="s">
        <v>3280</v>
      </c>
      <c r="I67" s="2964" t="s">
        <v>3281</v>
      </c>
      <c r="J67" s="2964">
        <v>1206</v>
      </c>
      <c r="K67" s="2964">
        <v>443.52</v>
      </c>
      <c r="L67" s="2964">
        <v>0.84</v>
      </c>
      <c r="M67" s="2964" t="s">
        <v>3089</v>
      </c>
      <c r="O67" s="2964">
        <f t="shared" si="2"/>
        <v>1108.8360255859775</v>
      </c>
    </row>
    <row r="68" spans="1:15" s="2964" customFormat="1">
      <c r="A68" s="3218" t="s">
        <v>3313</v>
      </c>
      <c r="B68" s="3218" t="s">
        <v>3096</v>
      </c>
      <c r="C68" s="3218" t="s">
        <v>3314</v>
      </c>
      <c r="D68" s="3218" t="s">
        <v>3085</v>
      </c>
      <c r="E68" s="3218">
        <v>46666.9</v>
      </c>
      <c r="F68" s="3218">
        <v>140000.70000000001</v>
      </c>
      <c r="G68" s="3218" t="s">
        <v>3315</v>
      </c>
      <c r="H68" s="3218" t="s">
        <v>3316</v>
      </c>
      <c r="I68" s="3218" t="s">
        <v>3317</v>
      </c>
      <c r="J68" s="3218">
        <v>6200</v>
      </c>
      <c r="K68" s="3218">
        <v>442.85</v>
      </c>
      <c r="L68" s="3218">
        <v>36.26</v>
      </c>
      <c r="M68" s="3218" t="s">
        <v>3089</v>
      </c>
      <c r="O68" s="2964">
        <f t="shared" si="2"/>
        <v>1328.5647857474999</v>
      </c>
    </row>
    <row r="69" spans="1:15" s="2964" customFormat="1">
      <c r="A69" s="3218" t="s">
        <v>3318</v>
      </c>
      <c r="B69" s="3218" t="s">
        <v>3083</v>
      </c>
      <c r="C69" s="3218" t="s">
        <v>3319</v>
      </c>
      <c r="D69" s="3218" t="s">
        <v>3320</v>
      </c>
      <c r="E69" s="3218">
        <v>61546.080000000002</v>
      </c>
      <c r="F69" s="3218">
        <v>307730.40000000002</v>
      </c>
      <c r="G69" s="3218" t="s">
        <v>3321</v>
      </c>
      <c r="H69" s="3218" t="s">
        <v>3147</v>
      </c>
      <c r="I69" s="3218" t="s">
        <v>3322</v>
      </c>
      <c r="J69" s="3218">
        <v>13387</v>
      </c>
      <c r="K69" s="3218">
        <v>435.01</v>
      </c>
      <c r="L69" s="3218">
        <v>17.559999999999999</v>
      </c>
      <c r="M69" s="3218" t="s">
        <v>3148</v>
      </c>
      <c r="O69" s="2964">
        <f t="shared" si="2"/>
        <v>2175.1182203643189</v>
      </c>
    </row>
    <row r="70" spans="1:15" s="2964" customFormat="1">
      <c r="A70" s="2964" t="s">
        <v>3323</v>
      </c>
      <c r="B70" s="2964" t="s">
        <v>3096</v>
      </c>
      <c r="C70" s="2964" t="s">
        <v>3324</v>
      </c>
      <c r="D70" s="2964" t="s">
        <v>3085</v>
      </c>
      <c r="E70" s="2964">
        <v>49779.5</v>
      </c>
      <c r="F70" s="2964">
        <v>149338.5</v>
      </c>
      <c r="G70" s="2964" t="s">
        <v>3206</v>
      </c>
      <c r="H70" s="2964" t="s">
        <v>3325</v>
      </c>
      <c r="I70" s="2964" t="s">
        <v>3326</v>
      </c>
      <c r="J70" s="2964">
        <v>6000</v>
      </c>
      <c r="K70" s="2964">
        <v>401.76</v>
      </c>
      <c r="L70" s="2964">
        <v>1.01</v>
      </c>
      <c r="M70" s="2964" t="s">
        <v>3089</v>
      </c>
      <c r="O70" s="2964">
        <f t="shared" si="2"/>
        <v>1205.31544109523</v>
      </c>
    </row>
    <row r="71" spans="1:15" s="2964" customFormat="1">
      <c r="A71" s="3218" t="s">
        <v>3323</v>
      </c>
      <c r="B71" s="3218" t="s">
        <v>3096</v>
      </c>
      <c r="C71" s="3218" t="s">
        <v>3324</v>
      </c>
      <c r="D71" s="3218" t="s">
        <v>3085</v>
      </c>
      <c r="E71" s="3218">
        <v>49779.5</v>
      </c>
      <c r="F71" s="3218">
        <v>149338.5</v>
      </c>
      <c r="G71" s="3218" t="s">
        <v>3206</v>
      </c>
      <c r="H71" s="3218" t="s">
        <v>3325</v>
      </c>
      <c r="I71" s="3218" t="s">
        <v>3326</v>
      </c>
      <c r="J71" s="3218">
        <v>6000</v>
      </c>
      <c r="K71" s="3218">
        <v>401.76</v>
      </c>
      <c r="L71" s="3218">
        <v>1.01</v>
      </c>
      <c r="M71" s="3218" t="s">
        <v>3089</v>
      </c>
      <c r="O71" s="2964">
        <f t="shared" si="2"/>
        <v>1205.31544109523</v>
      </c>
    </row>
    <row r="72" spans="1:15" s="2964" customFormat="1">
      <c r="A72" s="2964" t="s">
        <v>3327</v>
      </c>
      <c r="B72" s="2964" t="s">
        <v>3096</v>
      </c>
      <c r="C72" s="2964" t="s">
        <v>3328</v>
      </c>
      <c r="D72" s="2964" t="s">
        <v>3085</v>
      </c>
      <c r="E72" s="2964">
        <v>1760.19</v>
      </c>
      <c r="F72" s="2964">
        <v>5280.57</v>
      </c>
      <c r="G72" s="2964" t="s">
        <v>3206</v>
      </c>
      <c r="H72" s="2964" t="s">
        <v>3218</v>
      </c>
      <c r="I72" s="2964" t="s">
        <v>3329</v>
      </c>
      <c r="J72" s="2964">
        <v>200</v>
      </c>
      <c r="K72" s="2964">
        <v>378.75</v>
      </c>
      <c r="L72" s="2964">
        <v>1.52</v>
      </c>
      <c r="M72" s="2964" t="s">
        <v>3089</v>
      </c>
      <c r="O72" s="2964">
        <f t="shared" si="2"/>
        <v>1136.2409739857628</v>
      </c>
    </row>
    <row r="73" spans="1:15" s="2964" customFormat="1">
      <c r="A73" s="3218" t="s">
        <v>3330</v>
      </c>
      <c r="B73" s="3218" t="s">
        <v>3096</v>
      </c>
      <c r="C73" s="3218" t="s">
        <v>3331</v>
      </c>
      <c r="D73" s="3218" t="s">
        <v>3085</v>
      </c>
      <c r="E73" s="3218">
        <v>28435.38</v>
      </c>
      <c r="F73" s="3218">
        <v>85306.14</v>
      </c>
      <c r="G73" s="3218" t="s">
        <v>3206</v>
      </c>
      <c r="H73" s="3218" t="s">
        <v>3332</v>
      </c>
      <c r="I73" s="3218" t="s">
        <v>3333</v>
      </c>
      <c r="J73" s="3218">
        <v>3220</v>
      </c>
      <c r="K73" s="3218">
        <v>377.45</v>
      </c>
      <c r="L73" s="3218">
        <v>1.26</v>
      </c>
      <c r="M73" s="3218" t="s">
        <v>3089</v>
      </c>
      <c r="O73" s="2964">
        <f t="shared" si="2"/>
        <v>1132.3921115174123</v>
      </c>
    </row>
    <row r="74" spans="1:15" s="2964" customFormat="1">
      <c r="A74" s="3218" t="s">
        <v>3334</v>
      </c>
      <c r="B74" s="3218" t="s">
        <v>3096</v>
      </c>
      <c r="C74" s="3218" t="s">
        <v>3335</v>
      </c>
      <c r="D74" s="3218" t="s">
        <v>3085</v>
      </c>
      <c r="E74" s="3218">
        <v>20095.46</v>
      </c>
      <c r="F74" s="3218">
        <v>60286.38</v>
      </c>
      <c r="G74" s="3218" t="s">
        <v>3206</v>
      </c>
      <c r="H74" s="3218" t="s">
        <v>3332</v>
      </c>
      <c r="I74" s="3218" t="s">
        <v>3333</v>
      </c>
      <c r="J74" s="3218">
        <v>2260</v>
      </c>
      <c r="K74" s="3218">
        <v>374.87</v>
      </c>
      <c r="L74" s="3218">
        <v>1.35</v>
      </c>
      <c r="M74" s="3218" t="s">
        <v>3089</v>
      </c>
      <c r="O74" s="2964">
        <f t="shared" si="2"/>
        <v>1124.6321308395031</v>
      </c>
    </row>
    <row r="75" spans="1:15" s="2964" customFormat="1">
      <c r="A75" s="3218" t="s">
        <v>3336</v>
      </c>
      <c r="B75" s="3218" t="s">
        <v>3083</v>
      </c>
      <c r="C75" s="3218" t="s">
        <v>3337</v>
      </c>
      <c r="D75" s="3218" t="s">
        <v>3085</v>
      </c>
      <c r="E75" s="3218">
        <v>27586</v>
      </c>
      <c r="F75" s="3218">
        <v>96551</v>
      </c>
      <c r="G75" s="3218" t="s">
        <v>3247</v>
      </c>
      <c r="H75" s="3218" t="s">
        <v>3295</v>
      </c>
      <c r="I75" s="3218" t="s">
        <v>3296</v>
      </c>
      <c r="J75" s="3218">
        <v>3599.96</v>
      </c>
      <c r="K75" s="3218">
        <v>372.86</v>
      </c>
      <c r="L75" s="3218">
        <v>0</v>
      </c>
      <c r="M75" s="3218" t="s">
        <v>3089</v>
      </c>
      <c r="O75" s="2964">
        <f t="shared" si="2"/>
        <v>1304.995287464656</v>
      </c>
    </row>
    <row r="76" spans="1:15" s="2964" customFormat="1">
      <c r="A76" s="2964" t="s">
        <v>3338</v>
      </c>
      <c r="B76" s="2964" t="s">
        <v>3096</v>
      </c>
      <c r="C76" s="2964" t="s">
        <v>3339</v>
      </c>
      <c r="D76" s="2964" t="s">
        <v>3085</v>
      </c>
      <c r="E76" s="2964">
        <v>8598.2099999999991</v>
      </c>
      <c r="F76" s="2964">
        <v>30093.74</v>
      </c>
      <c r="G76" s="2964" t="s">
        <v>3340</v>
      </c>
      <c r="H76" s="2964" t="s">
        <v>3218</v>
      </c>
      <c r="I76" s="2964" t="s">
        <v>3341</v>
      </c>
      <c r="J76" s="2964">
        <v>1120</v>
      </c>
      <c r="K76" s="2964">
        <v>372.17</v>
      </c>
      <c r="L76" s="2964">
        <v>1.82</v>
      </c>
      <c r="M76" s="2964" t="s">
        <v>3089</v>
      </c>
      <c r="O76" s="2964">
        <f t="shared" si="2"/>
        <v>1302.5967032673082</v>
      </c>
    </row>
    <row r="77" spans="1:15" s="2964" customFormat="1">
      <c r="A77" s="3218" t="s">
        <v>3342</v>
      </c>
      <c r="B77" s="3218" t="s">
        <v>3083</v>
      </c>
      <c r="C77" s="3218" t="s">
        <v>3343</v>
      </c>
      <c r="D77" s="3218" t="s">
        <v>3085</v>
      </c>
      <c r="E77" s="3218">
        <v>12486</v>
      </c>
      <c r="F77" s="3218">
        <v>37458</v>
      </c>
      <c r="G77" s="3218" t="s">
        <v>3294</v>
      </c>
      <c r="H77" s="3218" t="s">
        <v>3295</v>
      </c>
      <c r="I77" s="3218" t="s">
        <v>3296</v>
      </c>
      <c r="J77" s="3218">
        <v>1385.95</v>
      </c>
      <c r="K77" s="3218">
        <v>370</v>
      </c>
      <c r="L77" s="3218">
        <v>2.77</v>
      </c>
      <c r="M77" s="3218" t="s">
        <v>3089</v>
      </c>
      <c r="O77" s="2964">
        <f t="shared" si="2"/>
        <v>1110.0032035880186</v>
      </c>
    </row>
    <row r="78" spans="1:15" s="2964" customFormat="1">
      <c r="A78" s="3218" t="s">
        <v>3344</v>
      </c>
      <c r="B78" s="3218" t="s">
        <v>3083</v>
      </c>
      <c r="C78" s="3218" t="s">
        <v>3345</v>
      </c>
      <c r="D78" s="3218" t="s">
        <v>3085</v>
      </c>
      <c r="E78" s="3218">
        <v>23514</v>
      </c>
      <c r="F78" s="3218">
        <v>70542</v>
      </c>
      <c r="G78" s="3218" t="s">
        <v>3294</v>
      </c>
      <c r="H78" s="3218" t="s">
        <v>3295</v>
      </c>
      <c r="I78" s="3218" t="s">
        <v>3346</v>
      </c>
      <c r="J78" s="3218">
        <v>2574.7800000000002</v>
      </c>
      <c r="K78" s="3218">
        <v>365</v>
      </c>
      <c r="L78" s="3218">
        <v>1.39</v>
      </c>
      <c r="M78" s="3218" t="s">
        <v>3089</v>
      </c>
      <c r="O78" s="2964">
        <f t="shared" si="2"/>
        <v>1094.9987241643278</v>
      </c>
    </row>
    <row r="79" spans="1:15" s="2964" customFormat="1">
      <c r="A79" s="3218" t="s">
        <v>3347</v>
      </c>
      <c r="B79" s="3218" t="s">
        <v>3083</v>
      </c>
      <c r="C79" s="3218" t="s">
        <v>3348</v>
      </c>
      <c r="D79" s="3218" t="s">
        <v>3085</v>
      </c>
      <c r="E79" s="3218">
        <v>11808</v>
      </c>
      <c r="F79" s="3218">
        <v>35424</v>
      </c>
      <c r="G79" s="3218" t="s">
        <v>3294</v>
      </c>
      <c r="H79" s="3218" t="s">
        <v>3295</v>
      </c>
      <c r="I79" s="3218" t="s">
        <v>3349</v>
      </c>
      <c r="J79" s="3218">
        <v>1257.54</v>
      </c>
      <c r="K79" s="3218">
        <v>355</v>
      </c>
      <c r="L79" s="3218">
        <v>0</v>
      </c>
      <c r="M79" s="3218" t="s">
        <v>3089</v>
      </c>
      <c r="O79" s="2964">
        <f t="shared" si="2"/>
        <v>1064.989837398374</v>
      </c>
    </row>
    <row r="80" spans="1:15" s="2964" customFormat="1">
      <c r="A80" s="3218" t="s">
        <v>3350</v>
      </c>
      <c r="B80" s="3218" t="s">
        <v>3083</v>
      </c>
      <c r="C80" s="3218" t="s">
        <v>3351</v>
      </c>
      <c r="D80" s="3218" t="s">
        <v>3085</v>
      </c>
      <c r="E80" s="3218">
        <v>13803</v>
      </c>
      <c r="F80" s="3218">
        <v>27606</v>
      </c>
      <c r="G80" s="3218" t="s">
        <v>3179</v>
      </c>
      <c r="H80" s="3218" t="s">
        <v>3295</v>
      </c>
      <c r="I80" s="3218" t="s">
        <v>3296</v>
      </c>
      <c r="J80" s="3218">
        <v>952.4</v>
      </c>
      <c r="K80" s="3218">
        <v>345</v>
      </c>
      <c r="L80" s="3218">
        <v>0.02</v>
      </c>
      <c r="M80" s="3218" t="s">
        <v>3089</v>
      </c>
      <c r="O80" s="2964">
        <f t="shared" si="2"/>
        <v>689.99492863870171</v>
      </c>
    </row>
    <row r="81" spans="1:15" s="2964" customFormat="1">
      <c r="A81" s="2964" t="s">
        <v>3352</v>
      </c>
      <c r="B81" s="2964" t="s">
        <v>3096</v>
      </c>
      <c r="C81" s="2964" t="s">
        <v>3353</v>
      </c>
      <c r="D81" s="2964" t="s">
        <v>3085</v>
      </c>
      <c r="E81" s="2964">
        <v>45047</v>
      </c>
      <c r="F81" s="2964">
        <v>135141</v>
      </c>
      <c r="G81" s="2964" t="s">
        <v>3256</v>
      </c>
      <c r="H81" s="2964" t="s">
        <v>3290</v>
      </c>
      <c r="I81" s="2964" t="s">
        <v>3291</v>
      </c>
      <c r="J81" s="2964">
        <v>4403</v>
      </c>
      <c r="K81" s="2964">
        <v>325.81</v>
      </c>
      <c r="L81" s="2964">
        <v>0.23</v>
      </c>
      <c r="M81" s="2964" t="s">
        <v>3089</v>
      </c>
      <c r="O81" s="2964">
        <f t="shared" si="2"/>
        <v>977.42357981663599</v>
      </c>
    </row>
    <row r="82" spans="1:15" s="2964" customFormat="1">
      <c r="A82" s="3218" t="s">
        <v>3354</v>
      </c>
      <c r="B82" s="3218" t="s">
        <v>3096</v>
      </c>
      <c r="C82" s="3218" t="s">
        <v>3355</v>
      </c>
      <c r="D82" s="3218" t="s">
        <v>3085</v>
      </c>
      <c r="E82" s="3218">
        <v>51283.199999999997</v>
      </c>
      <c r="F82" s="3218">
        <v>153849.60000000001</v>
      </c>
      <c r="G82" s="3218" t="s">
        <v>3315</v>
      </c>
      <c r="H82" s="3218" t="s">
        <v>3316</v>
      </c>
      <c r="I82" s="3218" t="s">
        <v>3317</v>
      </c>
      <c r="J82" s="3218">
        <v>5010</v>
      </c>
      <c r="K82" s="3218">
        <v>325.63</v>
      </c>
      <c r="L82" s="3218">
        <v>0.2</v>
      </c>
      <c r="M82" s="3218" t="s">
        <v>3089</v>
      </c>
      <c r="O82" s="2964">
        <f t="shared" si="2"/>
        <v>976.9281168101835</v>
      </c>
    </row>
    <row r="83" spans="1:15" s="2964" customFormat="1">
      <c r="A83" s="2964" t="s">
        <v>3356</v>
      </c>
      <c r="B83" s="2964" t="s">
        <v>3096</v>
      </c>
      <c r="C83" s="2964" t="s">
        <v>3357</v>
      </c>
      <c r="D83" s="2964" t="s">
        <v>3151</v>
      </c>
      <c r="E83" s="2964">
        <v>3633</v>
      </c>
      <c r="F83" s="2964">
        <v>7266</v>
      </c>
      <c r="G83" s="2964" t="s">
        <v>3152</v>
      </c>
      <c r="H83" s="2964" t="s">
        <v>3358</v>
      </c>
      <c r="I83" s="2964" t="s">
        <v>3359</v>
      </c>
      <c r="J83" s="2964">
        <v>222</v>
      </c>
      <c r="K83" s="2964">
        <v>305.52</v>
      </c>
      <c r="L83" s="2964">
        <v>0</v>
      </c>
      <c r="M83" s="2964" t="s">
        <v>3155</v>
      </c>
      <c r="O83" s="2964">
        <f t="shared" si="2"/>
        <v>611.06523534269195</v>
      </c>
    </row>
    <row r="84" spans="1:15" s="2964" customFormat="1">
      <c r="A84" s="2964" t="s">
        <v>3356</v>
      </c>
      <c r="B84" s="2964" t="s">
        <v>3096</v>
      </c>
      <c r="C84" s="2964" t="s">
        <v>3360</v>
      </c>
      <c r="D84" s="2964" t="s">
        <v>3085</v>
      </c>
      <c r="E84" s="2964">
        <v>3166</v>
      </c>
      <c r="F84" s="2964">
        <v>6332</v>
      </c>
      <c r="G84" s="2964" t="s">
        <v>3152</v>
      </c>
      <c r="H84" s="2964" t="s">
        <v>3358</v>
      </c>
      <c r="I84" s="2964" t="s">
        <v>3359</v>
      </c>
      <c r="J84" s="2964">
        <v>192</v>
      </c>
      <c r="K84" s="2964">
        <v>303.22000000000003</v>
      </c>
      <c r="L84" s="2964">
        <v>0</v>
      </c>
      <c r="M84" s="2964" t="s">
        <v>3089</v>
      </c>
      <c r="O84" s="2964">
        <f t="shared" si="2"/>
        <v>606.44346178142769</v>
      </c>
    </row>
    <row r="85" spans="1:15" s="2964" customFormat="1">
      <c r="A85" s="3218" t="s">
        <v>3361</v>
      </c>
      <c r="B85" s="3218" t="s">
        <v>3083</v>
      </c>
      <c r="C85" s="3218" t="s">
        <v>3362</v>
      </c>
      <c r="D85" s="3218" t="s">
        <v>3085</v>
      </c>
      <c r="E85" s="3218">
        <v>20781</v>
      </c>
      <c r="F85" s="3218">
        <v>51952.5</v>
      </c>
      <c r="G85" s="3218" t="s">
        <v>3174</v>
      </c>
      <c r="H85" s="3218" t="s">
        <v>3363</v>
      </c>
      <c r="I85" s="3218" t="s">
        <v>3364</v>
      </c>
      <c r="J85" s="3218">
        <v>1527.4</v>
      </c>
      <c r="K85" s="3218">
        <v>294</v>
      </c>
      <c r="L85" s="3218">
        <v>0</v>
      </c>
      <c r="M85" s="3218" t="s">
        <v>3089</v>
      </c>
      <c r="O85" s="2964">
        <f t="shared" si="2"/>
        <v>734.99831576921224</v>
      </c>
    </row>
    <row r="86" spans="1:15" s="2964" customFormat="1">
      <c r="A86" s="3218" t="s">
        <v>3365</v>
      </c>
      <c r="B86" s="3218" t="s">
        <v>3083</v>
      </c>
      <c r="C86" s="3218" t="s">
        <v>3366</v>
      </c>
      <c r="D86" s="3218" t="s">
        <v>3085</v>
      </c>
      <c r="E86" s="3218">
        <v>11913</v>
      </c>
      <c r="F86" s="3218">
        <v>35739</v>
      </c>
      <c r="G86" s="3218" t="s">
        <v>3284</v>
      </c>
      <c r="H86" s="3218" t="s">
        <v>3367</v>
      </c>
      <c r="I86" s="3218" t="s">
        <v>3368</v>
      </c>
      <c r="J86" s="3218">
        <v>1005.97</v>
      </c>
      <c r="K86" s="3218">
        <v>281.48</v>
      </c>
      <c r="L86" s="3218">
        <v>0</v>
      </c>
      <c r="M86" s="3218" t="s">
        <v>3089</v>
      </c>
      <c r="O86" s="2964">
        <f t="shared" si="2"/>
        <v>844.43045412574497</v>
      </c>
    </row>
    <row r="87" spans="1:15" s="2964" customFormat="1">
      <c r="A87" s="3218" t="s">
        <v>3369</v>
      </c>
      <c r="B87" s="3218" t="s">
        <v>3083</v>
      </c>
      <c r="C87" s="3218" t="s">
        <v>3370</v>
      </c>
      <c r="D87" s="3218" t="s">
        <v>3085</v>
      </c>
      <c r="E87" s="3218">
        <v>14334</v>
      </c>
      <c r="F87" s="3218">
        <v>35835</v>
      </c>
      <c r="G87" s="3218" t="s">
        <v>3174</v>
      </c>
      <c r="H87" s="3218" t="s">
        <v>3295</v>
      </c>
      <c r="I87" s="3218" t="s">
        <v>3296</v>
      </c>
      <c r="J87" s="3218">
        <v>967.54</v>
      </c>
      <c r="K87" s="3218">
        <v>270</v>
      </c>
      <c r="L87" s="3218">
        <v>0</v>
      </c>
      <c r="M87" s="3218" t="s">
        <v>3089</v>
      </c>
      <c r="O87" s="2964">
        <f t="shared" si="2"/>
        <v>674.99651179014927</v>
      </c>
    </row>
    <row r="88" spans="1:15" s="2964" customFormat="1">
      <c r="A88" s="3218" t="s">
        <v>3371</v>
      </c>
      <c r="B88" s="3218" t="s">
        <v>3096</v>
      </c>
      <c r="C88" s="3218" t="s">
        <v>3372</v>
      </c>
      <c r="D88" s="3218" t="s">
        <v>3085</v>
      </c>
      <c r="E88" s="3218">
        <v>14459.6</v>
      </c>
      <c r="F88" s="3218">
        <v>36149</v>
      </c>
      <c r="G88" s="3218" t="s">
        <v>3098</v>
      </c>
      <c r="H88" s="3218" t="s">
        <v>3373</v>
      </c>
      <c r="I88" s="3218" t="s">
        <v>3374</v>
      </c>
      <c r="J88" s="3218">
        <v>942</v>
      </c>
      <c r="K88" s="3218">
        <v>260.58</v>
      </c>
      <c r="L88" s="3218">
        <v>1.07</v>
      </c>
      <c r="M88" s="3218" t="s">
        <v>3089</v>
      </c>
      <c r="O88" s="2964">
        <f t="shared" si="2"/>
        <v>651.47030346620932</v>
      </c>
    </row>
    <row r="89" spans="1:15" s="2964" customFormat="1">
      <c r="A89" s="3218" t="s">
        <v>3375</v>
      </c>
      <c r="B89" s="3218" t="s">
        <v>3083</v>
      </c>
      <c r="C89" s="3218" t="s">
        <v>3376</v>
      </c>
      <c r="D89" s="3218" t="s">
        <v>3085</v>
      </c>
      <c r="E89" s="3218">
        <v>2055</v>
      </c>
      <c r="F89" s="3218">
        <v>5137.5</v>
      </c>
      <c r="G89" s="3218" t="s">
        <v>3174</v>
      </c>
      <c r="H89" s="3218" t="s">
        <v>3363</v>
      </c>
      <c r="I89" s="3218" t="s">
        <v>3377</v>
      </c>
      <c r="J89" s="3218">
        <v>129.46</v>
      </c>
      <c r="K89" s="3218">
        <v>251.99</v>
      </c>
      <c r="L89" s="3218">
        <v>0.08</v>
      </c>
      <c r="M89" s="3218" t="s">
        <v>3089</v>
      </c>
      <c r="O89" s="2964">
        <f t="shared" si="2"/>
        <v>629.97566909975671</v>
      </c>
    </row>
    <row r="90" spans="1:15" s="2964" customFormat="1">
      <c r="A90" s="3218" t="s">
        <v>3378</v>
      </c>
      <c r="B90" s="3218" t="s">
        <v>3096</v>
      </c>
      <c r="C90" s="3218" t="s">
        <v>3379</v>
      </c>
      <c r="D90" s="3218" t="s">
        <v>3085</v>
      </c>
      <c r="E90" s="3218">
        <v>44531.1</v>
      </c>
      <c r="F90" s="3218">
        <v>133593.29999999999</v>
      </c>
      <c r="G90" s="3218" t="s">
        <v>3294</v>
      </c>
      <c r="H90" s="3218" t="s">
        <v>3380</v>
      </c>
      <c r="I90" s="3218" t="s">
        <v>3381</v>
      </c>
      <c r="J90" s="3218">
        <v>3350</v>
      </c>
      <c r="K90" s="3218">
        <v>250.75</v>
      </c>
      <c r="L90" s="3218">
        <v>0.3</v>
      </c>
      <c r="M90" s="3218" t="s">
        <v>3089</v>
      </c>
      <c r="O90" s="2964">
        <f t="shared" si="2"/>
        <v>752.28323576107482</v>
      </c>
    </row>
    <row r="91" spans="1:15" s="2964" customFormat="1">
      <c r="A91" s="3218" t="s">
        <v>3382</v>
      </c>
      <c r="B91" s="3218" t="s">
        <v>3096</v>
      </c>
      <c r="C91" s="3218" t="s">
        <v>3383</v>
      </c>
      <c r="D91" s="3218" t="s">
        <v>3085</v>
      </c>
      <c r="E91" s="3218">
        <v>66564.7</v>
      </c>
      <c r="F91" s="3218">
        <v>199694.1</v>
      </c>
      <c r="G91" s="3218" t="s">
        <v>3294</v>
      </c>
      <c r="H91" s="3218" t="s">
        <v>3380</v>
      </c>
      <c r="I91" s="3218" t="s">
        <v>3381</v>
      </c>
      <c r="J91" s="3218">
        <v>5002</v>
      </c>
      <c r="K91" s="3218">
        <v>250.47</v>
      </c>
      <c r="L91" s="3218">
        <v>0.2</v>
      </c>
      <c r="M91" s="3218" t="s">
        <v>3089</v>
      </c>
      <c r="O91" s="2964">
        <f t="shared" si="2"/>
        <v>751.4493417682346</v>
      </c>
    </row>
    <row r="92" spans="1:15" s="2964" customFormat="1">
      <c r="A92" s="3218" t="s">
        <v>3384</v>
      </c>
      <c r="B92" s="3218" t="s">
        <v>3096</v>
      </c>
      <c r="C92" s="3218" t="s">
        <v>3385</v>
      </c>
      <c r="D92" s="3218" t="s">
        <v>3085</v>
      </c>
      <c r="E92" s="3218">
        <v>4801</v>
      </c>
      <c r="F92" s="3218">
        <v>9602</v>
      </c>
      <c r="G92" s="3218" t="s">
        <v>3132</v>
      </c>
      <c r="H92" s="3218" t="s">
        <v>3332</v>
      </c>
      <c r="I92" s="3218" t="s">
        <v>3386</v>
      </c>
      <c r="J92" s="3218">
        <v>236</v>
      </c>
      <c r="K92" s="3218">
        <v>245.78</v>
      </c>
      <c r="L92" s="3218">
        <v>1.29</v>
      </c>
      <c r="M92" s="3218" t="s">
        <v>3089</v>
      </c>
      <c r="O92" s="2964">
        <f t="shared" si="2"/>
        <v>491.56425744636533</v>
      </c>
    </row>
    <row r="93" spans="1:15" s="2964" customFormat="1">
      <c r="A93" s="3218" t="s">
        <v>3387</v>
      </c>
      <c r="B93" s="3218" t="s">
        <v>3096</v>
      </c>
      <c r="C93" s="3218" t="s">
        <v>3388</v>
      </c>
      <c r="D93" s="3218" t="s">
        <v>3085</v>
      </c>
      <c r="E93" s="3218">
        <v>2546.86</v>
      </c>
      <c r="F93" s="3218">
        <v>6367.15</v>
      </c>
      <c r="G93" s="3218" t="s">
        <v>3098</v>
      </c>
      <c r="H93" s="3218" t="s">
        <v>3389</v>
      </c>
      <c r="I93" s="3218" t="s">
        <v>3390</v>
      </c>
      <c r="J93" s="3218">
        <v>133</v>
      </c>
      <c r="K93" s="3218">
        <v>208.87</v>
      </c>
      <c r="L93" s="3218">
        <v>1.53</v>
      </c>
      <c r="M93" s="3218" t="s">
        <v>3089</v>
      </c>
      <c r="O93" s="2964">
        <f t="shared" si="2"/>
        <v>522.21166455949674</v>
      </c>
    </row>
    <row r="94" spans="1:15" s="2964" customFormat="1">
      <c r="A94" s="3218" t="s">
        <v>3387</v>
      </c>
      <c r="B94" s="3218" t="s">
        <v>3096</v>
      </c>
      <c r="C94" s="3218" t="s">
        <v>3391</v>
      </c>
      <c r="D94" s="3218" t="s">
        <v>3085</v>
      </c>
      <c r="E94" s="3218">
        <v>5577.91</v>
      </c>
      <c r="F94" s="3218">
        <v>13944.78</v>
      </c>
      <c r="G94" s="3218" t="s">
        <v>3098</v>
      </c>
      <c r="H94" s="3218" t="s">
        <v>3389</v>
      </c>
      <c r="I94" s="3218" t="s">
        <v>3390</v>
      </c>
      <c r="J94" s="3218">
        <v>289</v>
      </c>
      <c r="K94" s="3218">
        <v>207.25</v>
      </c>
      <c r="L94" s="3218">
        <v>1.05</v>
      </c>
      <c r="M94" s="3218" t="s">
        <v>3089</v>
      </c>
      <c r="O94" s="2964">
        <f t="shared" si="2"/>
        <v>518.11520802594521</v>
      </c>
    </row>
    <row r="95" spans="1:15" s="2964" customFormat="1">
      <c r="A95" s="3218" t="s">
        <v>3392</v>
      </c>
      <c r="B95" s="3218" t="s">
        <v>3096</v>
      </c>
      <c r="C95" s="3218" t="s">
        <v>3393</v>
      </c>
      <c r="D95" s="3218" t="s">
        <v>3085</v>
      </c>
      <c r="E95" s="3218">
        <v>1484.28</v>
      </c>
      <c r="F95" s="3218">
        <v>2968.56</v>
      </c>
      <c r="G95" s="3218" t="s">
        <v>3132</v>
      </c>
      <c r="H95" s="3218" t="s">
        <v>3394</v>
      </c>
      <c r="I95" s="3218" t="s">
        <v>3395</v>
      </c>
      <c r="J95" s="3218">
        <v>54</v>
      </c>
      <c r="K95" s="3218">
        <v>181.9</v>
      </c>
      <c r="L95" s="3218">
        <v>1.89</v>
      </c>
      <c r="M95" s="3218" t="s">
        <v>3089</v>
      </c>
      <c r="O95" s="2964">
        <f t="shared" si="2"/>
        <v>363.8127577007034</v>
      </c>
    </row>
    <row r="96" spans="1:15" s="2964" customFormat="1">
      <c r="A96" s="2964" t="s">
        <v>3396</v>
      </c>
      <c r="B96" s="2964" t="s">
        <v>3096</v>
      </c>
      <c r="C96" s="2964" t="s">
        <v>3397</v>
      </c>
      <c r="D96" s="2964" t="s">
        <v>3085</v>
      </c>
      <c r="E96" s="2964">
        <v>37742.050000000003</v>
      </c>
      <c r="F96" s="2964">
        <v>94355.13</v>
      </c>
      <c r="G96" s="2964" t="s">
        <v>3098</v>
      </c>
      <c r="H96" s="2964" t="s">
        <v>3398</v>
      </c>
      <c r="I96" s="2964" t="s">
        <v>3399</v>
      </c>
      <c r="J96" s="2964">
        <v>1709</v>
      </c>
      <c r="K96" s="2964">
        <v>181.12</v>
      </c>
      <c r="L96" s="2964">
        <v>0.59</v>
      </c>
      <c r="M96" s="2964" t="s">
        <v>3089</v>
      </c>
      <c r="O96" s="2964">
        <f t="shared" si="2"/>
        <v>452.8105918994861</v>
      </c>
    </row>
    <row r="97" spans="1:15" s="2964" customFormat="1">
      <c r="A97" s="2964" t="s">
        <v>3400</v>
      </c>
      <c r="B97" s="2964" t="s">
        <v>3096</v>
      </c>
      <c r="C97" s="2964" t="s">
        <v>3401</v>
      </c>
      <c r="D97" s="2964" t="s">
        <v>3085</v>
      </c>
      <c r="E97" s="2964">
        <v>45404.82</v>
      </c>
      <c r="F97" s="2964">
        <v>113512.05</v>
      </c>
      <c r="G97" s="2964" t="s">
        <v>3098</v>
      </c>
      <c r="H97" s="2964" t="s">
        <v>3398</v>
      </c>
      <c r="I97" s="2964" t="s">
        <v>3399</v>
      </c>
      <c r="J97" s="2964">
        <v>2053</v>
      </c>
      <c r="K97" s="2964">
        <v>180.86</v>
      </c>
      <c r="L97" s="2964">
        <v>0.49</v>
      </c>
      <c r="M97" s="2964" t="s">
        <v>3089</v>
      </c>
      <c r="O97" s="2964">
        <f t="shared" si="2"/>
        <v>452.15463908897777</v>
      </c>
    </row>
    <row r="98" spans="1:15" s="2964" customFormat="1">
      <c r="A98" s="3218" t="s">
        <v>3402</v>
      </c>
      <c r="B98" s="3218" t="s">
        <v>3096</v>
      </c>
      <c r="C98" s="3218" t="s">
        <v>3403</v>
      </c>
      <c r="D98" s="3218" t="s">
        <v>3085</v>
      </c>
      <c r="E98" s="3218">
        <v>42340.7</v>
      </c>
      <c r="F98" s="3218">
        <v>127022.1</v>
      </c>
      <c r="G98" s="3218" t="s">
        <v>3294</v>
      </c>
      <c r="H98" s="3218" t="s">
        <v>3380</v>
      </c>
      <c r="I98" s="3218" t="s">
        <v>3381</v>
      </c>
      <c r="J98" s="3218">
        <v>2233</v>
      </c>
      <c r="K98" s="3218">
        <v>175.8</v>
      </c>
      <c r="L98" s="3218">
        <v>0.45</v>
      </c>
      <c r="M98" s="3218" t="s">
        <v>3089</v>
      </c>
      <c r="O98" s="2964">
        <f t="shared" si="2"/>
        <v>527.38854104915606</v>
      </c>
    </row>
    <row r="99" spans="1:15" s="2964" customFormat="1">
      <c r="A99" s="3218" t="s">
        <v>3404</v>
      </c>
      <c r="B99" s="3218" t="s">
        <v>3096</v>
      </c>
      <c r="C99" s="3218" t="s">
        <v>3405</v>
      </c>
      <c r="D99" s="3218" t="s">
        <v>3085</v>
      </c>
      <c r="E99" s="3218">
        <v>53183.35</v>
      </c>
      <c r="F99" s="3218">
        <v>159550.04999999999</v>
      </c>
      <c r="G99" s="3218" t="s">
        <v>3206</v>
      </c>
      <c r="H99" s="3218" t="s">
        <v>3406</v>
      </c>
      <c r="I99" s="3218" t="s">
        <v>3407</v>
      </c>
      <c r="J99" s="3218">
        <v>2565</v>
      </c>
      <c r="K99" s="3218">
        <v>160.75</v>
      </c>
      <c r="L99" s="3218">
        <v>1.18</v>
      </c>
      <c r="M99" s="3218" t="s">
        <v>3089</v>
      </c>
      <c r="O99" s="2964">
        <f t="shared" si="2"/>
        <v>482.29380059736741</v>
      </c>
    </row>
    <row r="100" spans="1:15" s="2964" customFormat="1">
      <c r="A100" s="3218" t="s">
        <v>3404</v>
      </c>
      <c r="B100" s="3218" t="s">
        <v>3096</v>
      </c>
      <c r="C100" s="3218" t="s">
        <v>3405</v>
      </c>
      <c r="D100" s="3218" t="s">
        <v>3085</v>
      </c>
      <c r="E100" s="3218">
        <v>53183.35</v>
      </c>
      <c r="F100" s="3218">
        <v>159550.04999999999</v>
      </c>
      <c r="G100" s="3218" t="s">
        <v>3206</v>
      </c>
      <c r="H100" s="3218" t="s">
        <v>3406</v>
      </c>
      <c r="I100" s="3218" t="s">
        <v>3407</v>
      </c>
      <c r="J100" s="3218">
        <v>2565</v>
      </c>
      <c r="K100" s="3218">
        <v>160.75</v>
      </c>
      <c r="L100" s="3218">
        <v>1.18</v>
      </c>
      <c r="M100" s="3218" t="s">
        <v>3089</v>
      </c>
      <c r="O100" s="2964">
        <f t="shared" si="2"/>
        <v>482.29380059736741</v>
      </c>
    </row>
    <row r="101" spans="1:15" s="2964" customFormat="1">
      <c r="A101" s="3218" t="s">
        <v>3408</v>
      </c>
      <c r="B101" s="3218" t="s">
        <v>3096</v>
      </c>
      <c r="C101" s="3218" t="s">
        <v>3409</v>
      </c>
      <c r="D101" s="3218" t="s">
        <v>3085</v>
      </c>
      <c r="E101" s="3218">
        <v>59062.62</v>
      </c>
      <c r="F101" s="3218">
        <v>206719.17</v>
      </c>
      <c r="G101" s="3218" t="s">
        <v>3410</v>
      </c>
      <c r="H101" s="3218" t="s">
        <v>3316</v>
      </c>
      <c r="I101" s="3218" t="s">
        <v>3411</v>
      </c>
      <c r="J101" s="3218">
        <v>2874</v>
      </c>
      <c r="K101" s="3218">
        <v>139.03</v>
      </c>
      <c r="L101" s="3218">
        <v>70.67</v>
      </c>
      <c r="M101" s="3218" t="s">
        <v>3089</v>
      </c>
      <c r="O101" s="2964">
        <f t="shared" si="2"/>
        <v>486.60218595111422</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P22" sqref="P22"/>
    </sheetView>
  </sheetViews>
  <sheetFormatPr defaultRowHeight="13.5"/>
  <sheetData>
    <row r="1" spans="1:7">
      <c r="A1" s="3667" t="s">
        <v>3065</v>
      </c>
      <c r="B1" s="3667"/>
      <c r="C1" s="3667"/>
      <c r="D1" s="3667"/>
    </row>
    <row r="2" spans="1:7" ht="14.25" thickBot="1">
      <c r="A2" s="3182" t="s">
        <v>3008</v>
      </c>
      <c r="B2" s="3183" t="s">
        <v>3009</v>
      </c>
      <c r="C2" s="3183" t="s">
        <v>3010</v>
      </c>
      <c r="D2" s="3183" t="s">
        <v>3011</v>
      </c>
      <c r="G2" t="s">
        <v>3539</v>
      </c>
    </row>
    <row r="3" spans="1:7">
      <c r="A3" s="3184">
        <v>2017.1</v>
      </c>
      <c r="B3" s="3186">
        <v>2510</v>
      </c>
      <c r="C3" s="3186">
        <v>4.9800000000000004</v>
      </c>
      <c r="D3" s="3185"/>
      <c r="G3" t="s">
        <v>3540</v>
      </c>
    </row>
    <row r="4" spans="1:7">
      <c r="A4" s="3187">
        <v>2017.2</v>
      </c>
      <c r="B4" s="3189">
        <v>2654</v>
      </c>
      <c r="C4" s="3189">
        <v>5.74</v>
      </c>
      <c r="D4" s="3188"/>
      <c r="G4" s="3334" t="s">
        <v>3541</v>
      </c>
    </row>
    <row r="5" spans="1:7">
      <c r="A5" s="3184">
        <v>2017.3</v>
      </c>
      <c r="B5" s="3186">
        <v>2927</v>
      </c>
      <c r="C5" s="3186">
        <v>10.29</v>
      </c>
      <c r="D5" s="3185"/>
    </row>
    <row r="6" spans="1:7">
      <c r="A6" s="3187">
        <v>2017.4</v>
      </c>
      <c r="B6" s="3189">
        <v>3336</v>
      </c>
      <c r="C6" s="3189">
        <v>13.97</v>
      </c>
      <c r="D6" s="3188"/>
    </row>
    <row r="7" spans="1:7" ht="14.25">
      <c r="A7" s="3190">
        <v>2018.1</v>
      </c>
      <c r="B7" s="3191">
        <v>4178</v>
      </c>
      <c r="C7" s="3191">
        <v>25.24</v>
      </c>
    </row>
  </sheetData>
  <mergeCells count="1">
    <mergeCell ref="A1:D1"/>
  </mergeCells>
  <phoneticPr fontId="233" type="noConversion"/>
  <hyperlinks>
    <hyperlink ref="G4" r:id="rId1"/>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C8" sqref="C8"/>
    </sheetView>
  </sheetViews>
  <sheetFormatPr defaultColWidth="6.625" defaultRowHeight="12.75"/>
  <cols>
    <col min="1" max="1" width="9.625" style="2125" customWidth="1"/>
    <col min="2" max="2" width="25.62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10</v>
      </c>
    </row>
    <row r="2" spans="1:31" s="2042" customFormat="1" ht="18" customHeight="1">
      <c r="A2" s="2102" t="s">
        <v>467</v>
      </c>
      <c r="B2" s="2106">
        <f ca="1">C36</f>
        <v>40246</v>
      </c>
      <c r="C2" s="2105"/>
      <c r="D2" s="2105"/>
      <c r="E2" s="2105"/>
      <c r="F2" s="2105"/>
      <c r="G2" s="2105"/>
      <c r="H2" s="2105"/>
      <c r="I2" s="2105"/>
      <c r="J2" s="2105"/>
      <c r="K2" s="2105"/>
    </row>
    <row r="3" spans="1:31" s="2042" customFormat="1" ht="18" customHeight="1">
      <c r="A3" s="2107" t="s">
        <v>1684</v>
      </c>
      <c r="B3" s="2108">
        <f ca="1">ROUND(B2*10000/IF(B1="",'数据-汇总表'!E3,INDIRECT("'数据-取费表'!K"&amp;$K$1)),0)</f>
        <v>2575</v>
      </c>
      <c r="C3" s="2105"/>
      <c r="D3" s="2105"/>
      <c r="E3" s="2105"/>
      <c r="F3" s="2105"/>
      <c r="G3" s="2105"/>
      <c r="H3" s="2105"/>
      <c r="I3" s="2105"/>
      <c r="J3" s="2105"/>
      <c r="K3" s="2105"/>
    </row>
    <row r="4" spans="1:31" s="2042" customFormat="1" ht="18" customHeight="1">
      <c r="A4" s="426" t="s">
        <v>468</v>
      </c>
      <c r="B4" s="427">
        <f ca="1">ROUND(B2*10000/IF(B1="",'数据-汇总表'!D3,INDIRECT("'数据-取费表'!R"&amp;$K$1)),0)</f>
        <v>5975</v>
      </c>
      <c r="C4" s="428"/>
      <c r="D4" s="422"/>
      <c r="E4" s="422"/>
      <c r="F4" s="422"/>
      <c r="G4" s="422"/>
      <c r="H4" s="422"/>
      <c r="I4" s="422"/>
      <c r="J4" s="422"/>
      <c r="K4" s="422"/>
    </row>
    <row r="5" spans="1:31" s="2042" customFormat="1" ht="18" customHeight="1" thickBot="1">
      <c r="A5" s="429"/>
      <c r="B5" s="430">
        <f ca="1">ROUND(B2/(IF(B1="",'数据-汇总表'!D3,INDIRECT("'数据-取费表'!R"&amp;$K$1))/666.67),0)</f>
        <v>398</v>
      </c>
      <c r="C5" s="431" t="s">
        <v>469</v>
      </c>
      <c r="D5" s="422"/>
      <c r="E5" s="422"/>
      <c r="F5" s="422"/>
      <c r="G5" s="422"/>
      <c r="H5" s="422"/>
      <c r="I5" s="422"/>
      <c r="J5" s="422"/>
      <c r="K5" s="422"/>
    </row>
    <row r="6" spans="1:31" s="2112" customFormat="1" ht="16.5" customHeight="1">
      <c r="A6" s="2853" t="s">
        <v>1842</v>
      </c>
      <c r="B6" s="2854"/>
      <c r="C6" s="2855">
        <f ca="1">SUM(C10:K10)</f>
        <v>107976</v>
      </c>
      <c r="D6" s="2854"/>
      <c r="E6" s="2854"/>
      <c r="F6" s="2854"/>
      <c r="G6" s="2854"/>
      <c r="H6" s="2854"/>
      <c r="I6" s="2854"/>
      <c r="J6" s="2854"/>
      <c r="K6" s="2856"/>
    </row>
    <row r="7" spans="1:31" s="2114" customFormat="1" ht="15">
      <c r="A7" s="2857" t="s">
        <v>470</v>
      </c>
      <c r="B7" s="2858" t="s">
        <v>471</v>
      </c>
      <c r="C7" s="436" t="s">
        <v>3506</v>
      </c>
      <c r="D7" s="436" t="s">
        <v>2981</v>
      </c>
      <c r="E7" s="436" t="s">
        <v>2977</v>
      </c>
      <c r="F7" s="436" t="s">
        <v>3515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3330">
        <f>'不动产比较法-住宅（独栋）'!B3</f>
        <v>16132</v>
      </c>
      <c r="D8" s="3708">
        <f>ROUND(E8*(1+10%),0)</f>
        <v>8037</v>
      </c>
      <c r="E8" s="2859">
        <f>'不动产比较法-住宅（高层）'!B3</f>
        <v>7306</v>
      </c>
      <c r="F8" s="2859">
        <f ca="1">不动产收益法!B3</f>
        <v>1596</v>
      </c>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11954</v>
      </c>
      <c r="D9" s="441">
        <f>SUMIF('数据-汇总表'!$C19:$C33,'剩余法-待开发'!D7,'数据-汇总表'!$E19:$E33)</f>
        <v>46731.7</v>
      </c>
      <c r="E9" s="441">
        <f>SUMIF('数据-汇总表'!$C19:$C33,'剩余法-待开发'!E7,'数据-汇总表'!$E19:$E33)</f>
        <v>66359.8</v>
      </c>
      <c r="F9" s="441">
        <f>SUMIF('数据-汇总表'!$C19:$C33,'剩余法-待开发'!F7,'数据-汇总表'!$E19:$E33)</f>
        <v>16614.109999999997</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474</v>
      </c>
      <c r="C10" s="3331">
        <f>'不动产比较法-住宅（独栋）'!B2</f>
        <v>19284</v>
      </c>
      <c r="D10" s="3054">
        <f>ROUND(D8*D9/10000,0)</f>
        <v>37558</v>
      </c>
      <c r="E10" s="3054">
        <f>'不动产比较法-住宅（高层）'!B2</f>
        <v>48482</v>
      </c>
      <c r="F10" s="3054">
        <f ca="1">不动产收益法!B2</f>
        <v>2652</v>
      </c>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1848</v>
      </c>
      <c r="B13" s="2868" t="s">
        <v>479</v>
      </c>
      <c r="C13" s="450">
        <f ca="1">IF(B1="",'数据-取费表'!P16,INDIRECT("'数据-取费表'!p"&amp;$K$1)+INDIRECT("'数据-取费表'!t"&amp;$K$1))</f>
        <v>33301</v>
      </c>
      <c r="D13" s="2869"/>
      <c r="E13" s="2870"/>
      <c r="F13" s="2871"/>
      <c r="G13" s="2837"/>
      <c r="H13" s="2838"/>
      <c r="I13" s="2838"/>
      <c r="J13" s="2838"/>
      <c r="K13" s="2839"/>
    </row>
    <row r="14" spans="1:31" s="2117" customFormat="1" ht="13.5" customHeight="1">
      <c r="A14" s="2867" t="s">
        <v>1849</v>
      </c>
      <c r="B14" s="2868" t="s">
        <v>480</v>
      </c>
      <c r="C14" s="53">
        <f ca="1">ROUND(C13*F14,0)</f>
        <v>999</v>
      </c>
      <c r="D14" s="2869"/>
      <c r="E14" s="2870"/>
      <c r="F14" s="2872">
        <f>'数据-取费表'!B33</f>
        <v>0.03</v>
      </c>
      <c r="G14" s="2837" t="s">
        <v>481</v>
      </c>
      <c r="H14" s="2838"/>
      <c r="I14" s="2838"/>
      <c r="J14" s="2838"/>
      <c r="K14" s="2839"/>
    </row>
    <row r="15" spans="1:31" s="2117" customFormat="1" ht="13.5" customHeight="1">
      <c r="A15" s="2867" t="s">
        <v>1850</v>
      </c>
      <c r="B15" s="2868" t="s">
        <v>482</v>
      </c>
      <c r="C15" s="53">
        <f ca="1">ROUND(IF(B1="",SUMIF('数据-取费表'!C:C,"住宅",'数据-取费表'!P:P)*F15,IF(INDIRECT("'数据-取费表'!c"&amp;$K$1)="住宅",INDIRECT("'数据-取费表'!P"&amp;$K$1)*F15,0)),0)</f>
        <v>826</v>
      </c>
      <c r="D15" s="2869"/>
      <c r="E15" s="2870"/>
      <c r="F15" s="2872">
        <f>'数据-取费表'!B34</f>
        <v>0.03</v>
      </c>
      <c r="G15" s="2837" t="s">
        <v>483</v>
      </c>
      <c r="H15" s="2838"/>
      <c r="I15" s="2838"/>
      <c r="J15" s="2838"/>
      <c r="K15" s="2839"/>
    </row>
    <row r="16" spans="1:31" s="2118" customFormat="1" ht="13.5" customHeight="1">
      <c r="A16" s="2867" t="s">
        <v>1851</v>
      </c>
      <c r="B16" s="2868" t="s">
        <v>484</v>
      </c>
      <c r="C16" s="53">
        <f ca="1">ROUND(D16*E16/10000,0)</f>
        <v>3126</v>
      </c>
      <c r="D16" s="2869">
        <f ca="1">IF(B1="",'数据-汇总表'!E3,INDIRECT("'数据-取费表'!K"&amp;$K$1)+INDIRECT("'数据-取费表'!S"&amp;$K$1))</f>
        <v>156303.04999999999</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485</v>
      </c>
      <c r="C17" s="2873">
        <f ca="1">ROUND(C13*F17,0)</f>
        <v>500</v>
      </c>
      <c r="D17" s="475"/>
      <c r="E17" s="2873"/>
      <c r="F17" s="2874">
        <f>'数据-取费表'!B36</f>
        <v>1.4999999999999999E-2</v>
      </c>
      <c r="G17" s="261" t="s">
        <v>486</v>
      </c>
      <c r="H17" s="2840"/>
      <c r="I17" s="2840"/>
      <c r="J17" s="2840"/>
      <c r="K17" s="279"/>
    </row>
    <row r="18" spans="1:14" s="2117" customFormat="1" ht="13.5" customHeight="1">
      <c r="A18" s="2875" t="s">
        <v>1853</v>
      </c>
      <c r="B18" s="2876" t="s">
        <v>487</v>
      </c>
      <c r="C18" s="2877">
        <f ca="1">SUM(C13:C17)</f>
        <v>38752</v>
      </c>
      <c r="D18" s="2878"/>
      <c r="E18" s="468"/>
      <c r="F18" s="468"/>
      <c r="G18" s="2841" t="s">
        <v>2430</v>
      </c>
      <c r="H18" s="2842"/>
      <c r="I18" s="2842"/>
      <c r="J18" s="2842"/>
      <c r="K18" s="2843"/>
    </row>
    <row r="19" spans="1:14" s="2117" customFormat="1" ht="13.5" customHeight="1">
      <c r="A19" s="2875" t="s">
        <v>1854</v>
      </c>
      <c r="B19" s="2876" t="s">
        <v>488</v>
      </c>
      <c r="C19" s="2833">
        <f ca="1">ROUND(D19*E19/10000,0)</f>
        <v>782</v>
      </c>
      <c r="D19" s="2879">
        <f ca="1">D16</f>
        <v>156303.04999999999</v>
      </c>
      <c r="E19" s="2833">
        <f>'数据-取费表'!B32</f>
        <v>50</v>
      </c>
      <c r="F19" s="468"/>
      <c r="G19" s="2837" t="s">
        <v>489</v>
      </c>
      <c r="H19" s="2838"/>
      <c r="I19" s="2842"/>
      <c r="J19" s="2842"/>
      <c r="K19" s="2843"/>
    </row>
    <row r="20" spans="1:14" s="2117" customFormat="1" ht="13.5" customHeight="1">
      <c r="A20" s="2875" t="s">
        <v>1855</v>
      </c>
      <c r="B20" s="2876" t="s">
        <v>490</v>
      </c>
      <c r="C20" s="2833">
        <f ca="1">C21+C22-IF(B1="",'数据-取费表'!B29,IF(G20="已全部缴纳",C21+C22,H20))</f>
        <v>1876</v>
      </c>
      <c r="D20" s="2879"/>
      <c r="E20" s="2833"/>
      <c r="F20" s="2880"/>
      <c r="G20" s="3113"/>
      <c r="H20" s="2835"/>
      <c r="I20" s="2836" t="s">
        <v>2650</v>
      </c>
      <c r="J20" s="2842"/>
      <c r="K20" s="2843"/>
    </row>
    <row r="21" spans="1:14" s="2117" customFormat="1" ht="13.5" customHeight="1">
      <c r="A21" s="2867" t="s">
        <v>1856</v>
      </c>
      <c r="B21" s="2868" t="s">
        <v>491</v>
      </c>
      <c r="C21" s="53">
        <f ca="1">ROUND(D21*E21/10000,0)</f>
        <v>1501</v>
      </c>
      <c r="D21" s="2869">
        <f ca="1">IF(B1="",'数据-汇总表'!E5,IF(INDIRECT("'数据-取费表'!c"&amp;$K$1)="住宅",INDIRECT("'数据-取费表'!k"&amp;$K$1),0))</f>
        <v>125045.5</v>
      </c>
      <c r="E21" s="53">
        <f>'数据-取费表'!B27</f>
        <v>120</v>
      </c>
      <c r="F21" s="2872"/>
      <c r="G21" s="26"/>
      <c r="H21" s="51"/>
      <c r="I21" s="51"/>
      <c r="J21" s="51"/>
      <c r="K21" s="2844"/>
    </row>
    <row r="22" spans="1:14" s="2117" customFormat="1" ht="13.5" customHeight="1">
      <c r="A22" s="2867" t="s">
        <v>1857</v>
      </c>
      <c r="B22" s="2868" t="s">
        <v>492</v>
      </c>
      <c r="C22" s="53">
        <f ca="1">ROUND(D22*E22/10000,0)</f>
        <v>375</v>
      </c>
      <c r="D22" s="2869">
        <f ca="1">IF(B1="",'数据-汇总表'!E6,IF(INDIRECT("'数据-取费表'!c"&amp;$K$1)="住宅",INDIRECT("'数据-取费表'!s"&amp;$K$1),INDIRECT("'数据-取费表'!k"&amp;$K$1)+INDIRECT("'数据-取费表'!s"&amp;$K$1)))</f>
        <v>31257.549999999988</v>
      </c>
      <c r="E22" s="53">
        <f>'数据-取费表'!B28</f>
        <v>120</v>
      </c>
      <c r="F22" s="2872"/>
      <c r="G22" s="26"/>
      <c r="H22" s="51"/>
      <c r="I22" s="51"/>
      <c r="J22" s="51"/>
      <c r="K22" s="2844"/>
    </row>
    <row r="23" spans="1:14" s="2117" customFormat="1" ht="13.5" customHeight="1">
      <c r="A23" s="2875" t="s">
        <v>1858</v>
      </c>
      <c r="B23" s="3060" t="s">
        <v>2833</v>
      </c>
      <c r="C23" s="2877">
        <f ca="1">ROUND((C18+C19+C20)*F23,0)</f>
        <v>828</v>
      </c>
      <c r="D23" s="468"/>
      <c r="E23" s="468"/>
      <c r="F23" s="2881">
        <f>'数据-取费表'!B37</f>
        <v>0.02</v>
      </c>
      <c r="G23" s="2837" t="s">
        <v>2431</v>
      </c>
      <c r="H23" s="2838"/>
      <c r="I23" s="2838"/>
      <c r="J23" s="2838"/>
      <c r="K23" s="2839"/>
      <c r="L23" s="2119"/>
      <c r="M23" s="2119"/>
      <c r="N23" s="2119"/>
    </row>
    <row r="24" spans="1:14" s="2117" customFormat="1" ht="13.5" customHeight="1">
      <c r="A24" s="2875" t="s">
        <v>1859</v>
      </c>
      <c r="B24" s="3060" t="s">
        <v>2836</v>
      </c>
      <c r="C24" s="2877">
        <f ca="1">ROUND(C6*F24,0)</f>
        <v>1620</v>
      </c>
      <c r="D24" s="475"/>
      <c r="E24" s="473"/>
      <c r="F24" s="2881">
        <f>'数据-取费表'!B38</f>
        <v>1.4999999999999999E-2</v>
      </c>
      <c r="G24" s="2846" t="s">
        <v>499</v>
      </c>
      <c r="H24" s="2840"/>
      <c r="I24" s="2840"/>
      <c r="J24" s="2840"/>
      <c r="K24" s="279"/>
      <c r="L24" s="2119"/>
      <c r="M24" s="2119"/>
      <c r="N24" s="2119"/>
    </row>
    <row r="25" spans="1:14" s="2120" customFormat="1" ht="13.5" customHeight="1">
      <c r="A25" s="2875" t="s">
        <v>1860</v>
      </c>
      <c r="B25" s="3060" t="s">
        <v>2834</v>
      </c>
      <c r="C25" s="467">
        <f>ROUND(F25/(1+'数据-取费表'!C42),4)</f>
        <v>3.8600000000000002E-2</v>
      </c>
      <c r="D25" s="462" t="s">
        <v>2828</v>
      </c>
      <c r="E25" s="469"/>
      <c r="F25" s="2881">
        <f>'数据-取费表'!B48+'数据-取费表'!B49</f>
        <v>4.0500000000000001E-2</v>
      </c>
      <c r="G25" s="2845" t="s">
        <v>2290</v>
      </c>
      <c r="H25" s="2838"/>
      <c r="I25" s="2838"/>
      <c r="J25" s="2838"/>
      <c r="K25" s="2839"/>
    </row>
    <row r="26" spans="1:14" s="2119" customFormat="1" ht="13.5" customHeight="1">
      <c r="A26" s="2875" t="s">
        <v>1861</v>
      </c>
      <c r="B26" s="3061" t="s">
        <v>2835</v>
      </c>
      <c r="C26" s="2882">
        <f ca="1">C28</f>
        <v>1553</v>
      </c>
      <c r="D26" s="467">
        <f ca="1">C27</f>
        <v>7.4899999999999994E-2</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496</v>
      </c>
      <c r="C27" s="2884">
        <f ca="1">ROUND(IF('数据-取费表'!B22&lt;=1,(1+C25)*F26*'数据-取费表'!B24,(1+C25)*(POWER((1+F26),'数据-取费表'!B24)-1)),4)</f>
        <v>7.4899999999999994E-2</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2837</v>
      </c>
      <c r="C28" s="2885">
        <f ca="1">ROUND(IF('数据-取费表'!B22&lt;=1,(C18+C19+C20+C23+C24)*F26*'数据-取费表'!B24/2,(C18+C19+C20+C23+C24)*(POWER((1+F26),'数据-取费表'!B24/2)-1)),0)</f>
        <v>1553</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497</v>
      </c>
      <c r="C29" s="2877">
        <f ca="1">ROUND(C6*F29/(1+'数据-取费表'!C42),0)</f>
        <v>5759</v>
      </c>
      <c r="D29" s="468"/>
      <c r="E29" s="468"/>
      <c r="F29" s="3062">
        <f>'数据-取费表'!B41</f>
        <v>5.6000000000000001E-2</v>
      </c>
      <c r="G29" s="2846" t="s">
        <v>498</v>
      </c>
      <c r="H29" s="2838"/>
      <c r="I29" s="2838"/>
      <c r="J29" s="2838"/>
      <c r="K29" s="2839"/>
    </row>
    <row r="30" spans="1:14" s="2122" customFormat="1" ht="13.5" customHeight="1">
      <c r="A30" s="1635" t="s">
        <v>1863</v>
      </c>
      <c r="B30" s="2887" t="s">
        <v>500</v>
      </c>
      <c r="C30" s="2882">
        <f ca="1">C31</f>
        <v>51170</v>
      </c>
      <c r="D30" s="477">
        <f ca="1">C32</f>
        <v>0.1135</v>
      </c>
      <c r="E30" s="469" t="s">
        <v>495</v>
      </c>
      <c r="F30" s="471"/>
      <c r="G30" s="2845" t="s">
        <v>2966</v>
      </c>
      <c r="H30" s="2838"/>
      <c r="I30" s="2838"/>
      <c r="J30" s="2838"/>
      <c r="K30" s="2839"/>
    </row>
    <row r="31" spans="1:14" s="2121" customFormat="1" ht="13.5" customHeight="1">
      <c r="A31" s="803" t="s">
        <v>1856</v>
      </c>
      <c r="B31" s="2883"/>
      <c r="C31" s="450">
        <f ca="1">C18+C19+C20+C23+C24+C26+C29</f>
        <v>51170</v>
      </c>
      <c r="D31" s="472"/>
      <c r="E31" s="473"/>
      <c r="F31" s="474"/>
      <c r="G31" s="261"/>
      <c r="H31" s="2840"/>
      <c r="I31" s="2840"/>
      <c r="J31" s="2840"/>
      <c r="K31" s="279"/>
    </row>
    <row r="32" spans="1:14" s="2121" customFormat="1" ht="13.5" customHeight="1">
      <c r="A32" s="803" t="s">
        <v>1857</v>
      </c>
      <c r="B32" s="2883"/>
      <c r="C32" s="53">
        <f ca="1">ROUND(C25+D26,4)</f>
        <v>0.1135</v>
      </c>
      <c r="D32" s="472"/>
      <c r="E32" s="473"/>
      <c r="F32" s="474"/>
      <c r="G32" s="261"/>
      <c r="H32" s="2840"/>
      <c r="I32" s="2840"/>
      <c r="J32" s="2840"/>
      <c r="K32" s="279"/>
    </row>
    <row r="33" spans="1:11" s="2123" customFormat="1" ht="13.5" customHeight="1">
      <c r="A33" s="3059" t="s">
        <v>2832</v>
      </c>
      <c r="B33" s="3057" t="s">
        <v>2830</v>
      </c>
      <c r="C33" s="478">
        <f ca="1">C35</f>
        <v>6140</v>
      </c>
      <c r="D33" s="467">
        <f ca="1">C34</f>
        <v>0.1454</v>
      </c>
      <c r="E33" s="469" t="s">
        <v>495</v>
      </c>
      <c r="F33" s="479">
        <f ca="1">IF(B1="",'数据-取费表'!Q16,INDIRECT("'数据-取费表'!q"&amp;$K$1))</f>
        <v>0.14000000000000001</v>
      </c>
      <c r="G33" s="2841"/>
      <c r="H33" s="2842"/>
      <c r="I33" s="2842"/>
      <c r="J33" s="2842"/>
      <c r="K33" s="2843"/>
    </row>
    <row r="34" spans="1:11" s="2124" customFormat="1" ht="13.5" customHeight="1">
      <c r="A34" s="375" t="s">
        <v>1856</v>
      </c>
      <c r="B34" s="2888" t="s">
        <v>501</v>
      </c>
      <c r="C34" s="472">
        <f ca="1">ROUND((1+C25)*F33,4)</f>
        <v>0.1454</v>
      </c>
      <c r="D34" s="472"/>
      <c r="E34" s="473"/>
      <c r="F34" s="480"/>
      <c r="G34" s="261" t="s">
        <v>2291</v>
      </c>
      <c r="H34" s="2840"/>
      <c r="I34" s="2840"/>
      <c r="J34" s="2840"/>
      <c r="K34" s="279"/>
    </row>
    <row r="35" spans="1:11" s="2124" customFormat="1" ht="13.5" customHeight="1" thickBot="1">
      <c r="A35" s="1636" t="s">
        <v>1857</v>
      </c>
      <c r="B35" s="3058" t="s">
        <v>2838</v>
      </c>
      <c r="C35" s="1628">
        <f ca="1">ROUND((C18+C19+C20+C23+C24)*F33,0)</f>
        <v>6140</v>
      </c>
      <c r="D35" s="1629"/>
      <c r="E35" s="2889"/>
      <c r="F35" s="1630"/>
      <c r="G35" s="2847"/>
      <c r="H35" s="2848"/>
      <c r="I35" s="2848"/>
      <c r="J35" s="2848"/>
      <c r="K35" s="2849"/>
    </row>
    <row r="36" spans="1:11" s="2086" customFormat="1" ht="13.5" customHeight="1" thickBot="1">
      <c r="A36" s="284" t="s">
        <v>1844</v>
      </c>
      <c r="B36" s="2851"/>
      <c r="C36" s="2890">
        <f ca="1">ROUND((C6-C30-C33)/(1+D30+D33),0)</f>
        <v>40246</v>
      </c>
      <c r="D36" s="2851"/>
      <c r="E36" s="2851"/>
      <c r="F36" s="2851"/>
      <c r="G36" s="2850" t="s">
        <v>2839</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33" sqref="E33:G33"/>
    </sheetView>
  </sheetViews>
  <sheetFormatPr defaultColWidth="8.875" defaultRowHeight="13.5"/>
  <cols>
    <col min="1" max="1" width="10.5" customWidth="1"/>
    <col min="2" max="2" width="12.875" customWidth="1"/>
    <col min="3" max="3" width="8.625" customWidth="1"/>
  </cols>
  <sheetData>
    <row r="1" spans="1:9" ht="14.25">
      <c r="A1" s="3668" t="s">
        <v>2471</v>
      </c>
      <c r="B1" s="3669"/>
      <c r="C1" s="3670"/>
      <c r="D1" s="3671">
        <f>SUM(I10,I15,I20,I21,I23)</f>
        <v>0</v>
      </c>
      <c r="E1" s="3671"/>
      <c r="F1" s="3671"/>
      <c r="G1" s="3671"/>
      <c r="H1" s="3671"/>
      <c r="I1" s="3672"/>
    </row>
    <row r="2" spans="1:9">
      <c r="A2" s="3673" t="s">
        <v>2472</v>
      </c>
      <c r="B2" s="3674" t="s">
        <v>2473</v>
      </c>
      <c r="C2" s="3674"/>
      <c r="D2" s="2532" t="s">
        <v>2474</v>
      </c>
      <c r="E2" s="2532" t="s">
        <v>2475</v>
      </c>
      <c r="F2" s="2532" t="s">
        <v>2476</v>
      </c>
      <c r="G2" s="2532" t="s">
        <v>2477</v>
      </c>
      <c r="H2" s="2532" t="s">
        <v>2478</v>
      </c>
      <c r="I2" s="2533" t="s">
        <v>2479</v>
      </c>
    </row>
    <row r="3" spans="1:9">
      <c r="A3" s="3673"/>
      <c r="B3" s="3674" t="s">
        <v>2480</v>
      </c>
      <c r="C3" s="3674"/>
      <c r="D3" s="2534"/>
      <c r="E3" s="2532"/>
      <c r="F3" s="2535"/>
      <c r="G3" s="2535"/>
      <c r="H3" s="2536"/>
      <c r="I3" s="2537">
        <f>ROUND(D3*E3*F3*G3*H3/10000,0)</f>
        <v>0</v>
      </c>
    </row>
    <row r="4" spans="1:9">
      <c r="A4" s="3673"/>
      <c r="B4" s="3674" t="s">
        <v>2481</v>
      </c>
      <c r="C4" s="3674"/>
      <c r="D4" s="2534"/>
      <c r="E4" s="2532"/>
      <c r="F4" s="2535"/>
      <c r="G4" s="2535"/>
      <c r="H4" s="2536"/>
      <c r="I4" s="2537">
        <f t="shared" ref="I4:I9" si="0">ROUND(D4*E4*F4*G4*H4/10000,0)</f>
        <v>0</v>
      </c>
    </row>
    <row r="5" spans="1:9">
      <c r="A5" s="3673"/>
      <c r="B5" s="3674" t="s">
        <v>2482</v>
      </c>
      <c r="C5" s="3674"/>
      <c r="D5" s="2534"/>
      <c r="E5" s="2532"/>
      <c r="F5" s="2535"/>
      <c r="G5" s="2535"/>
      <c r="H5" s="2536"/>
      <c r="I5" s="2537">
        <f t="shared" si="0"/>
        <v>0</v>
      </c>
    </row>
    <row r="6" spans="1:9">
      <c r="A6" s="3673"/>
      <c r="B6" s="3674" t="s">
        <v>2483</v>
      </c>
      <c r="C6" s="3674"/>
      <c r="D6" s="2534"/>
      <c r="E6" s="2532"/>
      <c r="F6" s="2535"/>
      <c r="G6" s="2535"/>
      <c r="H6" s="2536"/>
      <c r="I6" s="2537">
        <f t="shared" si="0"/>
        <v>0</v>
      </c>
    </row>
    <row r="7" spans="1:9">
      <c r="A7" s="3673"/>
      <c r="B7" s="3674" t="s">
        <v>2484</v>
      </c>
      <c r="C7" s="3674"/>
      <c r="D7" s="2534"/>
      <c r="E7" s="2532"/>
      <c r="F7" s="2535"/>
      <c r="G7" s="2535"/>
      <c r="H7" s="2536"/>
      <c r="I7" s="2537">
        <f t="shared" si="0"/>
        <v>0</v>
      </c>
    </row>
    <row r="8" spans="1:9">
      <c r="A8" s="3673"/>
      <c r="B8" s="3674" t="s">
        <v>2485</v>
      </c>
      <c r="C8" s="3674"/>
      <c r="D8" s="2534"/>
      <c r="E8" s="2532"/>
      <c r="F8" s="2535"/>
      <c r="G8" s="2535"/>
      <c r="H8" s="2536"/>
      <c r="I8" s="2537">
        <f t="shared" si="0"/>
        <v>0</v>
      </c>
    </row>
    <row r="9" spans="1:9">
      <c r="A9" s="3673"/>
      <c r="B9" s="3674" t="s">
        <v>2486</v>
      </c>
      <c r="C9" s="3674"/>
      <c r="D9" s="2534"/>
      <c r="E9" s="2532"/>
      <c r="F9" s="2535"/>
      <c r="G9" s="2535"/>
      <c r="H9" s="2536"/>
      <c r="I9" s="2537">
        <f t="shared" si="0"/>
        <v>0</v>
      </c>
    </row>
    <row r="10" spans="1:9">
      <c r="A10" s="3673"/>
      <c r="B10" s="3675" t="s">
        <v>2487</v>
      </c>
      <c r="C10" s="3675"/>
      <c r="D10" s="2538">
        <v>527</v>
      </c>
      <c r="E10" s="2538" t="e">
        <f>ROUND(D1*10000/D10/H9,0)</f>
        <v>#DIV/0!</v>
      </c>
      <c r="F10" s="2539"/>
      <c r="G10" s="2539"/>
      <c r="H10" s="2540"/>
      <c r="I10" s="2541">
        <f>SUM(I3:I9)</f>
        <v>0</v>
      </c>
    </row>
    <row r="11" spans="1:9" ht="14.25">
      <c r="A11" s="3673" t="s">
        <v>2488</v>
      </c>
      <c r="B11" s="3674" t="s">
        <v>2489</v>
      </c>
      <c r="C11" s="3674"/>
      <c r="D11" s="2534" t="s">
        <v>2490</v>
      </c>
      <c r="E11" s="2534" t="s">
        <v>2491</v>
      </c>
      <c r="F11" s="2535" t="s">
        <v>2492</v>
      </c>
      <c r="G11" s="2535" t="s">
        <v>2493</v>
      </c>
      <c r="H11" s="2542" t="s">
        <v>2494</v>
      </c>
      <c r="I11" s="2533" t="s">
        <v>2495</v>
      </c>
    </row>
    <row r="12" spans="1:9">
      <c r="A12" s="3673"/>
      <c r="B12" s="3674" t="s">
        <v>2496</v>
      </c>
      <c r="C12" s="3674"/>
      <c r="D12" s="2534"/>
      <c r="E12" s="2534"/>
      <c r="F12" s="2535"/>
      <c r="G12" s="2536"/>
      <c r="H12" s="2543"/>
      <c r="I12" s="2533">
        <f>ROUND(D12*E12*F12*G12/10000,0)</f>
        <v>0</v>
      </c>
    </row>
    <row r="13" spans="1:9">
      <c r="A13" s="3673"/>
      <c r="B13" s="3674" t="s">
        <v>2497</v>
      </c>
      <c r="C13" s="3674"/>
      <c r="D13" s="2534"/>
      <c r="E13" s="2534"/>
      <c r="F13" s="2535"/>
      <c r="G13" s="2536"/>
      <c r="H13" s="2543"/>
      <c r="I13" s="2533">
        <f>ROUND(D13*E13*F13*G13/10000,0)</f>
        <v>0</v>
      </c>
    </row>
    <row r="14" spans="1:9">
      <c r="A14" s="3673"/>
      <c r="B14" s="3674" t="s">
        <v>2498</v>
      </c>
      <c r="C14" s="3674"/>
      <c r="D14" s="2534"/>
      <c r="E14" s="2534"/>
      <c r="F14" s="2535"/>
      <c r="G14" s="2536"/>
      <c r="H14" s="2543"/>
      <c r="I14" s="2533">
        <f>ROUND(D14*E14*F14*G14/10000,0)</f>
        <v>0</v>
      </c>
    </row>
    <row r="15" spans="1:9">
      <c r="A15" s="3673"/>
      <c r="B15" s="3675" t="s">
        <v>2487</v>
      </c>
      <c r="C15" s="3675"/>
      <c r="D15" s="2538"/>
      <c r="E15" s="2538">
        <f>SUM(E12:E14)</f>
        <v>0</v>
      </c>
      <c r="F15" s="2539"/>
      <c r="G15" s="2536"/>
      <c r="H15" s="2543"/>
      <c r="I15" s="2544">
        <f>SUM(I12:I14)</f>
        <v>0</v>
      </c>
    </row>
    <row r="16" spans="1:9" ht="24">
      <c r="A16" s="3673" t="s">
        <v>2499</v>
      </c>
      <c r="B16" s="3674" t="s">
        <v>2500</v>
      </c>
      <c r="C16" s="3674"/>
      <c r="D16" s="2534" t="s">
        <v>2501</v>
      </c>
      <c r="E16" s="2545" t="s">
        <v>2502</v>
      </c>
      <c r="F16" s="2535" t="s">
        <v>2503</v>
      </c>
      <c r="G16" s="2536" t="s">
        <v>2493</v>
      </c>
      <c r="H16" s="2542" t="s">
        <v>2494</v>
      </c>
      <c r="I16" s="2533" t="s">
        <v>2495</v>
      </c>
    </row>
    <row r="17" spans="1:9" ht="14.25">
      <c r="A17" s="3673"/>
      <c r="B17" s="3674" t="s">
        <v>2504</v>
      </c>
      <c r="C17" s="3674"/>
      <c r="D17" s="2534"/>
      <c r="E17" s="2534"/>
      <c r="F17" s="2535"/>
      <c r="G17" s="2536"/>
      <c r="H17" s="2546"/>
      <c r="I17" s="2547">
        <f>ROUND(D17*E17*F17*G17/10000,0)</f>
        <v>0</v>
      </c>
    </row>
    <row r="18" spans="1:9" ht="14.25">
      <c r="A18" s="3673"/>
      <c r="B18" s="3674" t="s">
        <v>2505</v>
      </c>
      <c r="C18" s="3674"/>
      <c r="D18" s="2534"/>
      <c r="E18" s="2534"/>
      <c r="F18" s="2535"/>
      <c r="G18" s="2536"/>
      <c r="H18" s="2546"/>
      <c r="I18" s="2547">
        <f>ROUND(D18*E18*F18*G18/10000,0)</f>
        <v>0</v>
      </c>
    </row>
    <row r="19" spans="1:9" ht="14.25">
      <c r="A19" s="3673"/>
      <c r="B19" s="3674" t="s">
        <v>2506</v>
      </c>
      <c r="C19" s="3674"/>
      <c r="D19" s="2534"/>
      <c r="E19" s="2534"/>
      <c r="F19" s="2535"/>
      <c r="G19" s="2536"/>
      <c r="H19" s="2546"/>
      <c r="I19" s="2547">
        <f>ROUND(D19*E19*F19*G19/10000,0)</f>
        <v>0</v>
      </c>
    </row>
    <row r="20" spans="1:9">
      <c r="A20" s="3673"/>
      <c r="B20" s="3675" t="s">
        <v>2487</v>
      </c>
      <c r="C20" s="3675"/>
      <c r="D20" s="2538">
        <f>SUM(D17:D19)</f>
        <v>0</v>
      </c>
      <c r="E20" s="2538"/>
      <c r="F20" s="2539"/>
      <c r="G20" s="2536"/>
      <c r="H20" s="2543"/>
      <c r="I20" s="2544">
        <f>SUM(I17:I19)</f>
        <v>0</v>
      </c>
    </row>
    <row r="21" spans="1:9">
      <c r="A21" s="3673" t="s">
        <v>2507</v>
      </c>
      <c r="B21" s="3677"/>
      <c r="C21" s="3677"/>
      <c r="D21" s="3677"/>
      <c r="E21" s="3677"/>
      <c r="F21" s="3677"/>
      <c r="G21" s="3677"/>
      <c r="H21" s="2548">
        <v>0.1</v>
      </c>
      <c r="I21" s="2541">
        <f>ROUND(I10*H21,0)</f>
        <v>0</v>
      </c>
    </row>
    <row r="22" spans="1:9" ht="14.25">
      <c r="A22" s="3678" t="s">
        <v>2508</v>
      </c>
      <c r="B22" s="3679"/>
      <c r="C22" s="3680"/>
      <c r="D22" s="2549" t="s">
        <v>2509</v>
      </c>
      <c r="E22" s="2549" t="s">
        <v>2510</v>
      </c>
      <c r="F22" s="2550" t="s">
        <v>2511</v>
      </c>
      <c r="G22" s="2550" t="s">
        <v>2512</v>
      </c>
      <c r="H22" s="2542" t="s">
        <v>2513</v>
      </c>
      <c r="I22" s="2533" t="s">
        <v>2514</v>
      </c>
    </row>
    <row r="23" spans="1:9" ht="14.25" thickBot="1">
      <c r="A23" s="3681"/>
      <c r="B23" s="3682"/>
      <c r="C23" s="3683"/>
      <c r="D23" s="2551"/>
      <c r="E23" s="2551"/>
      <c r="F23" s="2551"/>
      <c r="G23" s="2552"/>
      <c r="H23" s="2553"/>
      <c r="I23" s="2554">
        <f>ROUND(E23*D23*F23*(1-G23)/10000,0)</f>
        <v>0</v>
      </c>
    </row>
    <row r="26" spans="1:9">
      <c r="A26" s="2555" t="s">
        <v>2515</v>
      </c>
      <c r="B26" s="2555"/>
      <c r="C26" s="2555"/>
      <c r="D26" s="2555"/>
      <c r="E26" s="3684">
        <f>C27-C30-C31-C32</f>
        <v>0</v>
      </c>
      <c r="F26" s="3684"/>
      <c r="G26" s="3684"/>
      <c r="H26" s="3069" t="s">
        <v>2842</v>
      </c>
    </row>
    <row r="27" spans="1:9">
      <c r="A27" s="2556">
        <v>1</v>
      </c>
      <c r="B27" s="2557" t="s">
        <v>2516</v>
      </c>
      <c r="C27" s="2557"/>
      <c r="D27" s="2557"/>
      <c r="E27" s="3685"/>
      <c r="F27" s="3685"/>
      <c r="G27" s="3685"/>
    </row>
    <row r="28" spans="1:9">
      <c r="A28" s="2558" t="s">
        <v>2517</v>
      </c>
      <c r="B28" s="2557" t="s">
        <v>2518</v>
      </c>
      <c r="C28" s="2557"/>
      <c r="D28" s="2557"/>
      <c r="E28" s="3685"/>
      <c r="F28" s="3685"/>
      <c r="G28" s="3685"/>
    </row>
    <row r="29" spans="1:9">
      <c r="A29" s="2558" t="s">
        <v>2519</v>
      </c>
      <c r="B29" s="2557" t="s">
        <v>2460</v>
      </c>
      <c r="C29" s="2557"/>
      <c r="D29" s="2557"/>
      <c r="E29" s="2557" t="s">
        <v>2520</v>
      </c>
      <c r="F29" s="2557"/>
      <c r="G29" s="2557"/>
    </row>
    <row r="30" spans="1:9">
      <c r="A30" s="2556">
        <v>2</v>
      </c>
      <c r="B30" s="2557" t="s">
        <v>2521</v>
      </c>
      <c r="C30" s="2557">
        <f>C27*D30</f>
        <v>0</v>
      </c>
      <c r="D30" s="2559">
        <v>0.2</v>
      </c>
      <c r="E30" s="2557" t="s">
        <v>2522</v>
      </c>
      <c r="F30" s="2557"/>
      <c r="G30" s="2557"/>
    </row>
    <row r="31" spans="1:9">
      <c r="A31" s="2556">
        <v>3</v>
      </c>
      <c r="B31" s="2557" t="s">
        <v>2523</v>
      </c>
      <c r="C31" s="2557">
        <f>C25*D31</f>
        <v>0</v>
      </c>
      <c r="D31" s="2559">
        <v>0.15</v>
      </c>
      <c r="E31" s="2557" t="s">
        <v>2524</v>
      </c>
      <c r="F31" s="2557"/>
      <c r="G31" s="2557"/>
    </row>
    <row r="32" spans="1:9">
      <c r="A32" s="2556">
        <v>4</v>
      </c>
      <c r="B32" s="2557" t="s">
        <v>2525</v>
      </c>
      <c r="C32" s="2557">
        <f>C27*D32</f>
        <v>0</v>
      </c>
      <c r="D32" s="2559">
        <v>0.05</v>
      </c>
      <c r="E32" s="3676"/>
      <c r="F32" s="3676"/>
      <c r="G32" s="3676"/>
    </row>
    <row r="33" spans="1:7" hidden="1">
      <c r="A33" s="3686" t="s">
        <v>2526</v>
      </c>
      <c r="B33" s="3687"/>
      <c r="C33" s="3687"/>
      <c r="D33" s="3688"/>
      <c r="E33" s="3684"/>
      <c r="F33" s="3684"/>
      <c r="G33" s="3684"/>
    </row>
    <row r="34" spans="1:7" hidden="1">
      <c r="A34" s="2560">
        <v>1</v>
      </c>
      <c r="B34" s="2557" t="s">
        <v>2527</v>
      </c>
      <c r="C34" s="2557"/>
      <c r="D34" s="2557"/>
      <c r="E34" s="3685"/>
      <c r="F34" s="3685"/>
      <c r="G34" s="3685"/>
    </row>
    <row r="35" spans="1:7" hidden="1">
      <c r="A35" s="2560">
        <v>2</v>
      </c>
      <c r="B35" s="2557" t="s">
        <v>2528</v>
      </c>
      <c r="C35" s="2557"/>
      <c r="D35" s="2557"/>
      <c r="E35" s="3685"/>
      <c r="F35" s="3685"/>
      <c r="G35" s="3685"/>
    </row>
    <row r="36" spans="1:7" hidden="1">
      <c r="A36" s="2560">
        <v>3</v>
      </c>
      <c r="B36" s="2557" t="s">
        <v>2529</v>
      </c>
      <c r="C36" s="2557"/>
      <c r="D36" s="2557"/>
      <c r="E36" s="3685"/>
      <c r="F36" s="3685"/>
      <c r="G36" s="3685"/>
    </row>
    <row r="37" spans="1:7" hidden="1">
      <c r="A37" s="2560">
        <v>4</v>
      </c>
      <c r="B37" s="2557" t="s">
        <v>2530</v>
      </c>
      <c r="C37" s="2557"/>
      <c r="D37" s="2557"/>
      <c r="E37" s="3685"/>
      <c r="F37" s="3685"/>
      <c r="G37" s="3685"/>
    </row>
    <row r="38" spans="1:7" hidden="1">
      <c r="A38" s="3686" t="s">
        <v>2531</v>
      </c>
      <c r="B38" s="3687"/>
      <c r="C38" s="3687"/>
      <c r="D38" s="3688"/>
      <c r="E38" s="3684"/>
      <c r="F38" s="3684"/>
      <c r="G38" s="36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E33" sqref="E33:G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613</v>
      </c>
      <c r="C10" s="749">
        <f>C11+C14+C15</f>
        <v>0</v>
      </c>
      <c r="D10" s="760">
        <f>'数据-汇总表'!E3</f>
        <v>156303.04999999999</v>
      </c>
      <c r="E10" s="749">
        <f>'数据-取费表'!B31</f>
        <v>150</v>
      </c>
      <c r="F10" s="761"/>
      <c r="G10" s="759" t="s">
        <v>614</v>
      </c>
    </row>
    <row r="11" spans="1:25" s="2184" customFormat="1" ht="13.5" customHeight="1">
      <c r="A11" s="2494" t="s">
        <v>2440</v>
      </c>
      <c r="B11" s="752" t="s">
        <v>610</v>
      </c>
      <c r="C11" s="753">
        <f>'数据-取费表'!B29</f>
        <v>0</v>
      </c>
      <c r="D11" s="754"/>
      <c r="E11" s="753"/>
      <c r="F11" s="755"/>
      <c r="G11" s="2503" t="s">
        <v>2451</v>
      </c>
    </row>
    <row r="12" spans="1:25" s="2184" customFormat="1" ht="13.5" customHeight="1">
      <c r="A12" s="2501" t="s">
        <v>2448</v>
      </c>
      <c r="B12" s="756" t="s">
        <v>611</v>
      </c>
      <c r="C12" s="757">
        <f>ROUND(D12*E12/10000,0)</f>
        <v>1501</v>
      </c>
      <c r="D12" s="758">
        <f>'数据-汇总表'!E5</f>
        <v>125045.5</v>
      </c>
      <c r="E12" s="757">
        <f>'数据-取费表'!B27</f>
        <v>120</v>
      </c>
      <c r="F12" s="755"/>
      <c r="G12" s="759"/>
    </row>
    <row r="13" spans="1:25" s="2184" customFormat="1" ht="13.5" customHeight="1">
      <c r="A13" s="2501" t="s">
        <v>2447</v>
      </c>
      <c r="B13" s="756" t="s">
        <v>612</v>
      </c>
      <c r="C13" s="757">
        <f>ROUND(D13*E13/10000,0)</f>
        <v>375</v>
      </c>
      <c r="D13" s="758">
        <f>'数据-汇总表'!E6</f>
        <v>31257.549999999988</v>
      </c>
      <c r="E13" s="757">
        <f>'数据-取费表'!B28</f>
        <v>120</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615</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0.94499999999999995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6" zoomScale="80" zoomScaleNormal="80" zoomScalePageLayoutView="80" workbookViewId="0">
      <selection activeCell="G24" sqref="G24"/>
    </sheetView>
  </sheetViews>
  <sheetFormatPr defaultColWidth="8.875" defaultRowHeight="14.25"/>
  <cols>
    <col min="1" max="1" width="10.5" style="1337" customWidth="1"/>
    <col min="2"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8" t="s">
        <v>719</v>
      </c>
      <c r="C1" s="2649" t="s">
        <v>720</v>
      </c>
      <c r="D1" s="2650" t="s">
        <v>2977</v>
      </c>
      <c r="E1" s="2651"/>
      <c r="F1" s="2832" t="s">
        <v>3054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f>ROUND(B3*D3/10000,0)</f>
        <v>48482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7306</v>
      </c>
      <c r="C3" s="852" t="s">
        <v>722</v>
      </c>
      <c r="D3" s="851">
        <f>SUMIF('数据-汇总表'!$C19:$C33,D1,'数据-汇总表'!$E19:$E33)</f>
        <v>66359.8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581" t="s">
        <v>522</v>
      </c>
      <c r="D4" s="3582"/>
      <c r="E4" s="3618" t="s">
        <v>523</v>
      </c>
      <c r="F4" s="3619"/>
      <c r="G4" s="3692" t="s">
        <v>524</v>
      </c>
      <c r="H4" s="3693"/>
      <c r="I4" s="3581" t="s">
        <v>525</v>
      </c>
      <c r="J4" s="3582"/>
      <c r="K4" s="853" t="s">
        <v>526</v>
      </c>
      <c r="L4" s="2134"/>
      <c r="M4" s="2135"/>
      <c r="N4" s="2135"/>
      <c r="O4" s="2135"/>
      <c r="P4" s="3583" t="s">
        <v>527</v>
      </c>
      <c r="Q4" s="3584"/>
      <c r="R4" s="3589" t="s">
        <v>523</v>
      </c>
      <c r="S4" s="3590"/>
      <c r="T4" s="3589" t="s">
        <v>524</v>
      </c>
      <c r="U4" s="3590"/>
      <c r="V4" s="3576" t="s">
        <v>525</v>
      </c>
      <c r="W4" s="3576"/>
      <c r="X4" s="1567"/>
      <c r="Y4" s="3589" t="s">
        <v>527</v>
      </c>
      <c r="Z4" s="3590"/>
      <c r="AA4" s="3578" t="s">
        <v>523</v>
      </c>
      <c r="AB4" s="3578" t="s">
        <v>524</v>
      </c>
      <c r="AC4" s="3578" t="s">
        <v>525</v>
      </c>
    </row>
    <row r="5" spans="1:29" ht="15">
      <c r="A5" s="515"/>
      <c r="B5" s="516"/>
      <c r="C5" s="3599" t="s">
        <v>2920</v>
      </c>
      <c r="D5" s="3598"/>
      <c r="E5" s="3695" t="s">
        <v>3027</v>
      </c>
      <c r="F5" s="3621"/>
      <c r="G5" s="3597" t="s">
        <v>3550</v>
      </c>
      <c r="H5" s="3598"/>
      <c r="I5" s="3597" t="s">
        <v>3053</v>
      </c>
      <c r="J5" s="3598"/>
      <c r="K5" s="854"/>
      <c r="L5" s="2134"/>
      <c r="M5" s="2135"/>
      <c r="N5" s="2135"/>
      <c r="O5" s="2135"/>
      <c r="P5" s="3585"/>
      <c r="Q5" s="3586"/>
      <c r="R5" s="3591"/>
      <c r="S5" s="3592"/>
      <c r="T5" s="3591"/>
      <c r="U5" s="3592"/>
      <c r="V5" s="3576"/>
      <c r="W5" s="3576"/>
      <c r="X5" s="1567"/>
      <c r="Y5" s="3591"/>
      <c r="Z5" s="3592"/>
      <c r="AA5" s="3579"/>
      <c r="AB5" s="3579"/>
      <c r="AC5" s="3579"/>
    </row>
    <row r="6" spans="1:29" ht="30" customHeight="1" thickBot="1">
      <c r="A6" s="517"/>
      <c r="B6" s="518"/>
      <c r="C6" s="3615" t="s">
        <v>2924</v>
      </c>
      <c r="D6" s="3596"/>
      <c r="E6" s="3694" t="s">
        <v>3050</v>
      </c>
      <c r="F6" s="3617"/>
      <c r="G6" s="3595" t="s">
        <v>3551</v>
      </c>
      <c r="H6" s="3596"/>
      <c r="I6" s="3595" t="s">
        <v>3052</v>
      </c>
      <c r="J6" s="3596"/>
      <c r="K6" s="854" t="s">
        <v>528</v>
      </c>
      <c r="L6" s="2134"/>
      <c r="M6" s="2135"/>
      <c r="N6" s="2135"/>
      <c r="O6" s="2135"/>
      <c r="P6" s="3587"/>
      <c r="Q6" s="3588"/>
      <c r="R6" s="3591"/>
      <c r="S6" s="3592"/>
      <c r="T6" s="3593"/>
      <c r="U6" s="3594"/>
      <c r="V6" s="3576"/>
      <c r="W6" s="3576"/>
      <c r="X6" s="1567"/>
      <c r="Y6" s="3593"/>
      <c r="Z6" s="3594"/>
      <c r="AA6" s="3580"/>
      <c r="AB6" s="3580"/>
      <c r="AC6" s="3580"/>
    </row>
    <row r="7" spans="1:29" s="1220" customFormat="1" ht="15.75" thickBot="1">
      <c r="A7" s="2937"/>
      <c r="B7" s="2944" t="s">
        <v>529</v>
      </c>
      <c r="C7" s="519">
        <f>'数据-取费表'!B2</f>
        <v>43236</v>
      </c>
      <c r="D7" s="520">
        <v>100</v>
      </c>
      <c r="E7" s="521">
        <f>C7</f>
        <v>43236</v>
      </c>
      <c r="F7" s="522">
        <f>SUMIF(58:58,YEAR(E7)&amp;"-"&amp;MONTH(E7),59:59)</f>
        <v>100</v>
      </c>
      <c r="G7" s="523">
        <f>E7</f>
        <v>43236</v>
      </c>
      <c r="H7" s="520">
        <f>SUMIF(58:58,YEAR(G7)&amp;"-"&amp;MONTH(G7),59:59)</f>
        <v>100</v>
      </c>
      <c r="I7" s="523">
        <f>E7</f>
        <v>43236</v>
      </c>
      <c r="J7" s="520">
        <f>SUMIF(58:58,YEAR(I7)&amp;"-"&amp;MONTH(I7),59:59)</f>
        <v>100</v>
      </c>
      <c r="K7" s="855"/>
      <c r="L7" s="2136"/>
      <c r="M7" s="2137"/>
      <c r="N7" s="2137"/>
      <c r="O7" s="2137"/>
      <c r="P7" s="3608" t="s">
        <v>530</v>
      </c>
      <c r="Q7" s="3610"/>
      <c r="R7" s="1568" t="s">
        <v>13</v>
      </c>
      <c r="S7" s="1569">
        <f t="shared" ref="S7:S15" si="0">F7</f>
        <v>100</v>
      </c>
      <c r="T7" s="1568" t="s">
        <v>13</v>
      </c>
      <c r="U7" s="1569">
        <f t="shared" ref="U7:U15" si="1">H7</f>
        <v>100</v>
      </c>
      <c r="V7" s="1568" t="s">
        <v>13</v>
      </c>
      <c r="W7" s="1569">
        <f t="shared" ref="W7:W15" si="2">J7</f>
        <v>100</v>
      </c>
      <c r="X7" s="1570"/>
      <c r="Y7" s="3608" t="s">
        <v>530</v>
      </c>
      <c r="Z7" s="3609"/>
      <c r="AA7" s="1571">
        <f>D7/F7</f>
        <v>1</v>
      </c>
      <c r="AB7" s="1571">
        <f>D7/H7</f>
        <v>1</v>
      </c>
      <c r="AC7" s="1571">
        <f>D7/J7</f>
        <v>1</v>
      </c>
    </row>
    <row r="8" spans="1:29" s="1220" customFormat="1" ht="15.75" thickBot="1">
      <c r="A8" s="2938"/>
      <c r="B8" s="2945" t="s">
        <v>531</v>
      </c>
      <c r="C8" s="525" t="s">
        <v>576</v>
      </c>
      <c r="D8" s="520">
        <v>100</v>
      </c>
      <c r="E8" s="856" t="s">
        <v>2985</v>
      </c>
      <c r="F8" s="522">
        <f>SUMIF(61:61,E8,62:62)-SUMIF(61:61,C8,62:62)+100</f>
        <v>100</v>
      </c>
      <c r="G8" s="856" t="s">
        <v>2985</v>
      </c>
      <c r="H8" s="520">
        <f>SUMIF(61:61,G8,62:62)-SUMIF(61:61,C8,62:62)+100</f>
        <v>100</v>
      </c>
      <c r="I8" s="856" t="s">
        <v>2985</v>
      </c>
      <c r="J8" s="520">
        <f>SUMIF(61:61,I8,62:62)-SUMIF(61:61,C8,62:62)+100</f>
        <v>100</v>
      </c>
      <c r="K8" s="855"/>
      <c r="L8" s="2136"/>
      <c r="M8" s="2137"/>
      <c r="N8" s="2137"/>
      <c r="O8" s="2137"/>
      <c r="P8" s="3608" t="s">
        <v>533</v>
      </c>
      <c r="Q8" s="3609"/>
      <c r="R8" s="1568" t="s">
        <v>13</v>
      </c>
      <c r="S8" s="1569">
        <f t="shared" si="0"/>
        <v>100</v>
      </c>
      <c r="T8" s="1568" t="s">
        <v>13</v>
      </c>
      <c r="U8" s="1569">
        <f t="shared" si="1"/>
        <v>100</v>
      </c>
      <c r="V8" s="1568" t="s">
        <v>13</v>
      </c>
      <c r="W8" s="1569">
        <f t="shared" si="2"/>
        <v>100</v>
      </c>
      <c r="X8" s="1570"/>
      <c r="Y8" s="3608" t="s">
        <v>533</v>
      </c>
      <c r="Z8" s="3609"/>
      <c r="AA8" s="1571">
        <f t="shared" ref="AA8:AA46" si="3">D8/F8</f>
        <v>1</v>
      </c>
      <c r="AB8" s="1571">
        <f t="shared" ref="AB8:AB46" si="4">D8/H8</f>
        <v>1</v>
      </c>
      <c r="AC8" s="1571">
        <f t="shared" ref="AC8:AC46" si="5">D8/J8</f>
        <v>1</v>
      </c>
    </row>
    <row r="9" spans="1:29" s="1220" customFormat="1" ht="15">
      <c r="A9" s="2939"/>
      <c r="B9" s="2946" t="s">
        <v>2755</v>
      </c>
      <c r="C9" s="3197" t="s">
        <v>3028</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575" t="s">
        <v>535</v>
      </c>
      <c r="Q9" s="1151" t="str">
        <f t="shared" ref="Q9:Q15" si="6">B9</f>
        <v>用途</v>
      </c>
      <c r="R9" s="1568" t="s">
        <v>8</v>
      </c>
      <c r="S9" s="1569">
        <f t="shared" si="0"/>
        <v>100</v>
      </c>
      <c r="T9" s="1568" t="s">
        <v>8</v>
      </c>
      <c r="U9" s="1569">
        <f t="shared" si="1"/>
        <v>100</v>
      </c>
      <c r="V9" s="1568" t="s">
        <v>8</v>
      </c>
      <c r="W9" s="1569">
        <f t="shared" si="2"/>
        <v>100</v>
      </c>
      <c r="X9" s="1570"/>
      <c r="Y9" s="3521" t="s">
        <v>536</v>
      </c>
      <c r="Z9" s="1150" t="str">
        <f t="shared" ref="Z9:Z15" si="7">Q9</f>
        <v>用途</v>
      </c>
      <c r="AA9" s="1571">
        <f t="shared" si="3"/>
        <v>1</v>
      </c>
      <c r="AB9" s="1571">
        <f t="shared" si="4"/>
        <v>1</v>
      </c>
      <c r="AC9" s="1571">
        <f t="shared" si="5"/>
        <v>1</v>
      </c>
    </row>
    <row r="10" spans="1:29" s="1338" customFormat="1" ht="27">
      <c r="A10" s="2940"/>
      <c r="B10" s="2945" t="s">
        <v>2756</v>
      </c>
      <c r="C10" s="861" t="s">
        <v>3029</v>
      </c>
      <c r="D10" s="255">
        <v>100</v>
      </c>
      <c r="E10" s="862" t="s">
        <v>3029</v>
      </c>
      <c r="F10" s="863">
        <f>SUMIF(65:65,E10,66:66)-SUMIF(65:65,C10,66:66)+100</f>
        <v>100</v>
      </c>
      <c r="G10" s="862" t="s">
        <v>3029</v>
      </c>
      <c r="H10" s="255">
        <f>SUMIF(65:65,G10,66:66)-SUMIF(65:65,C10,66:66)+100</f>
        <v>100</v>
      </c>
      <c r="I10" s="862" t="s">
        <v>3029</v>
      </c>
      <c r="J10" s="255">
        <f>SUMIF(65:65,I10,66:66)-SUMIF(65:65,C10,66:66)+100</f>
        <v>100</v>
      </c>
      <c r="K10" s="864">
        <v>1</v>
      </c>
      <c r="L10" s="2139"/>
      <c r="M10" s="2179"/>
      <c r="N10" s="2179"/>
      <c r="O10" s="2140"/>
      <c r="P10" s="3575"/>
      <c r="Q10" s="1151" t="str">
        <f t="shared" si="6"/>
        <v>土地使用年限（年）</v>
      </c>
      <c r="R10" s="1568" t="s">
        <v>8</v>
      </c>
      <c r="S10" s="1569">
        <f t="shared" si="0"/>
        <v>100</v>
      </c>
      <c r="T10" s="1568" t="s">
        <v>8</v>
      </c>
      <c r="U10" s="1569">
        <f t="shared" si="1"/>
        <v>100</v>
      </c>
      <c r="V10" s="1568" t="s">
        <v>8</v>
      </c>
      <c r="W10" s="1569">
        <f t="shared" si="2"/>
        <v>100</v>
      </c>
      <c r="X10" s="1570"/>
      <c r="Y10" s="3521"/>
      <c r="Z10" s="1150" t="str">
        <f t="shared" si="7"/>
        <v>土地使用年限（年）</v>
      </c>
      <c r="AA10" s="1571">
        <f t="shared" si="3"/>
        <v>1</v>
      </c>
      <c r="AB10" s="1571">
        <f t="shared" si="4"/>
        <v>1</v>
      </c>
      <c r="AC10" s="1571">
        <f t="shared" si="5"/>
        <v>1</v>
      </c>
    </row>
    <row r="11" spans="1:29" ht="15.75" thickBot="1">
      <c r="A11" s="2941"/>
      <c r="B11" s="2945" t="s">
        <v>2757</v>
      </c>
      <c r="C11" s="533">
        <f>'数据-汇总表'!I6</f>
        <v>1.92</v>
      </c>
      <c r="D11" s="255">
        <v>100</v>
      </c>
      <c r="E11" s="534">
        <v>2</v>
      </c>
      <c r="F11" s="863">
        <f>LOOKUP(E11,68:68,69:69)-LOOKUP(C11,68:68,69:69)+100</f>
        <v>99</v>
      </c>
      <c r="G11" s="533">
        <v>1.36</v>
      </c>
      <c r="H11" s="255">
        <f>LOOKUP(G11,68:68,69:69)-LOOKUP(C11,68:68,69:69)+100</f>
        <v>100</v>
      </c>
      <c r="I11" s="533">
        <v>2.4900000000000002</v>
      </c>
      <c r="J11" s="255">
        <f>LOOKUP(I11,68:68,69:69)-LOOKUP(C11,68:68,69:69)+100</f>
        <v>99</v>
      </c>
      <c r="K11" s="864">
        <v>1</v>
      </c>
      <c r="L11" s="2141"/>
      <c r="M11" s="2135"/>
      <c r="N11" s="2135"/>
      <c r="O11" s="2142"/>
      <c r="P11" s="3575"/>
      <c r="Q11" s="1151" t="str">
        <f t="shared" si="6"/>
        <v>容积率</v>
      </c>
      <c r="R11" s="1568" t="s">
        <v>11</v>
      </c>
      <c r="S11" s="1569">
        <f t="shared" si="0"/>
        <v>99</v>
      </c>
      <c r="T11" s="1568" t="s">
        <v>11</v>
      </c>
      <c r="U11" s="1569">
        <f t="shared" si="1"/>
        <v>100</v>
      </c>
      <c r="V11" s="1568" t="s">
        <v>11</v>
      </c>
      <c r="W11" s="1569">
        <f t="shared" si="2"/>
        <v>99</v>
      </c>
      <c r="X11" s="1570"/>
      <c r="Y11" s="3521"/>
      <c r="Z11" s="1150" t="str">
        <f t="shared" si="7"/>
        <v>容积率</v>
      </c>
      <c r="AA11" s="1571">
        <f t="shared" si="3"/>
        <v>1.0101010101010102</v>
      </c>
      <c r="AB11" s="1571">
        <f t="shared" si="4"/>
        <v>1</v>
      </c>
      <c r="AC11" s="1571">
        <f t="shared" si="5"/>
        <v>1.0101010101010102</v>
      </c>
    </row>
    <row r="12" spans="1:29" s="1220" customFormat="1" ht="15" hidden="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575"/>
      <c r="Q12" s="1151">
        <f t="shared" si="6"/>
        <v>0</v>
      </c>
      <c r="R12" s="1568" t="s">
        <v>11</v>
      </c>
      <c r="S12" s="1569">
        <f t="shared" si="0"/>
        <v>100</v>
      </c>
      <c r="T12" s="1568" t="s">
        <v>11</v>
      </c>
      <c r="U12" s="1569">
        <f t="shared" si="1"/>
        <v>100</v>
      </c>
      <c r="V12" s="1568" t="s">
        <v>11</v>
      </c>
      <c r="W12" s="1569">
        <f t="shared" si="2"/>
        <v>100</v>
      </c>
      <c r="X12" s="1570"/>
      <c r="Y12" s="3521"/>
      <c r="Z12" s="1150">
        <f t="shared" si="7"/>
        <v>0</v>
      </c>
      <c r="AA12" s="1571">
        <f>D12/F12</f>
        <v>1</v>
      </c>
      <c r="AB12" s="1571">
        <f>D12/H12</f>
        <v>1</v>
      </c>
      <c r="AC12" s="1571">
        <f>D12/J12</f>
        <v>1</v>
      </c>
    </row>
    <row r="13" spans="1:29" ht="15" hidden="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575"/>
      <c r="Q13" s="1151">
        <f t="shared" si="6"/>
        <v>0</v>
      </c>
      <c r="R13" s="1568" t="s">
        <v>11</v>
      </c>
      <c r="S13" s="1569">
        <f t="shared" si="0"/>
        <v>100</v>
      </c>
      <c r="T13" s="1568" t="s">
        <v>11</v>
      </c>
      <c r="U13" s="1569">
        <f t="shared" si="1"/>
        <v>100</v>
      </c>
      <c r="V13" s="1568" t="s">
        <v>11</v>
      </c>
      <c r="W13" s="1569">
        <f t="shared" si="2"/>
        <v>100</v>
      </c>
      <c r="X13" s="1570"/>
      <c r="Y13" s="3521"/>
      <c r="Z13" s="1150">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575"/>
      <c r="Q14" s="1151">
        <f t="shared" si="6"/>
        <v>0</v>
      </c>
      <c r="R14" s="1568" t="s">
        <v>11</v>
      </c>
      <c r="S14" s="1569">
        <f t="shared" si="0"/>
        <v>100</v>
      </c>
      <c r="T14" s="1568" t="s">
        <v>11</v>
      </c>
      <c r="U14" s="1569">
        <f t="shared" si="1"/>
        <v>100</v>
      </c>
      <c r="V14" s="1568" t="s">
        <v>11</v>
      </c>
      <c r="W14" s="1569">
        <f t="shared" si="2"/>
        <v>100</v>
      </c>
      <c r="X14" s="1570"/>
      <c r="Y14" s="3521"/>
      <c r="Z14" s="1150">
        <f t="shared" si="7"/>
        <v>0</v>
      </c>
      <c r="AA14" s="1571">
        <f t="shared" si="3"/>
        <v>1</v>
      </c>
      <c r="AB14" s="1571">
        <f t="shared" si="4"/>
        <v>1</v>
      </c>
      <c r="AC14" s="1571">
        <f t="shared" si="5"/>
        <v>1</v>
      </c>
    </row>
    <row r="15" spans="1:29" ht="85.5">
      <c r="A15" s="2935" t="s">
        <v>2753</v>
      </c>
      <c r="B15" s="166" t="s">
        <v>295</v>
      </c>
      <c r="C15" s="867" t="str">
        <f>估价对象房地状况!C3</f>
        <v>周边居住用地比例、居住小区规模和社区发展完善程度（居住用地比例适宜，较多住宅项目，但尚未开发完成，社区发展完善程度较差）</v>
      </c>
      <c r="D15" s="549">
        <v>100</v>
      </c>
      <c r="E15" s="550"/>
      <c r="F15" s="551">
        <f>SUMIF(76:76,E16,77:77)-SUMIF(76:76,C16,77:77)+100</f>
        <v>95</v>
      </c>
      <c r="G15" s="552"/>
      <c r="H15" s="549">
        <f>SUMIF(76:76,G16,77:77)-SUMIF(76:76,C16,77:77)+100</f>
        <v>100</v>
      </c>
      <c r="I15" s="550"/>
      <c r="J15" s="549">
        <f>SUMIF(76:76,I16,77:77)-SUMIF(76:76,C16,77:77)+100</f>
        <v>95</v>
      </c>
      <c r="K15" s="868">
        <v>5</v>
      </c>
      <c r="L15" s="2143"/>
      <c r="M15" s="2135"/>
      <c r="N15" s="2135"/>
      <c r="O15" s="2142"/>
      <c r="P15" s="3611" t="s">
        <v>540</v>
      </c>
      <c r="Q15" s="1572" t="str">
        <f t="shared" si="6"/>
        <v>居住社区成熟度</v>
      </c>
      <c r="R15" s="1573" t="s">
        <v>11</v>
      </c>
      <c r="S15" s="1574">
        <f t="shared" si="0"/>
        <v>95</v>
      </c>
      <c r="T15" s="1573" t="s">
        <v>11</v>
      </c>
      <c r="U15" s="1574">
        <f t="shared" si="1"/>
        <v>100</v>
      </c>
      <c r="V15" s="1573" t="s">
        <v>11</v>
      </c>
      <c r="W15" s="1574">
        <f t="shared" si="2"/>
        <v>95</v>
      </c>
      <c r="X15" s="1567"/>
      <c r="Y15" s="3611" t="s">
        <v>540</v>
      </c>
      <c r="Z15" s="1575" t="str">
        <f t="shared" si="7"/>
        <v>居住社区成熟度</v>
      </c>
      <c r="AA15" s="1576">
        <f t="shared" si="3"/>
        <v>1.0526315789473684</v>
      </c>
      <c r="AB15" s="1576">
        <f t="shared" si="4"/>
        <v>1</v>
      </c>
      <c r="AC15" s="1576">
        <f t="shared" si="5"/>
        <v>1.0526315789473684</v>
      </c>
    </row>
    <row r="16" spans="1:29" ht="15">
      <c r="A16" s="532"/>
      <c r="B16" s="869"/>
      <c r="C16" s="576" t="s">
        <v>3017</v>
      </c>
      <c r="D16" s="555"/>
      <c r="E16" s="576" t="s">
        <v>3018</v>
      </c>
      <c r="F16" s="557"/>
      <c r="G16" s="576" t="s">
        <v>3017</v>
      </c>
      <c r="H16" s="559"/>
      <c r="I16" s="576" t="s">
        <v>3018</v>
      </c>
      <c r="J16" s="555"/>
      <c r="K16" s="870"/>
      <c r="L16" s="2143"/>
      <c r="M16" s="2135"/>
      <c r="N16" s="2135"/>
      <c r="O16" s="2142"/>
      <c r="P16" s="3612"/>
      <c r="Q16" s="1572"/>
      <c r="R16" s="1573"/>
      <c r="S16" s="1574"/>
      <c r="T16" s="1573"/>
      <c r="U16" s="1574"/>
      <c r="V16" s="1573"/>
      <c r="W16" s="1574"/>
      <c r="X16" s="1567"/>
      <c r="Y16" s="3612"/>
      <c r="Z16" s="1575"/>
      <c r="AA16" s="1576">
        <v>1</v>
      </c>
      <c r="AB16" s="1576">
        <v>1</v>
      </c>
      <c r="AC16" s="1576">
        <v>1</v>
      </c>
    </row>
    <row r="17" spans="1:29" ht="85.5">
      <c r="A17" s="532"/>
      <c r="B17" s="871" t="s">
        <v>296</v>
      </c>
      <c r="C17" s="872" t="str">
        <f>估价对象房地状况!C6</f>
        <v>周边道路状况、公共交通通达情况、停车便捷程度（北至文峰大道 南至文明大道 均为城市主干道 南距安阳东站直线1.5公里 y1路 11路 16路）</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612"/>
      <c r="Q17" s="1572" t="str">
        <f>B17</f>
        <v>交通便捷度</v>
      </c>
      <c r="R17" s="1573" t="s">
        <v>11</v>
      </c>
      <c r="S17" s="1574">
        <f>F17</f>
        <v>100</v>
      </c>
      <c r="T17" s="1573" t="s">
        <v>11</v>
      </c>
      <c r="U17" s="1574">
        <f>H17</f>
        <v>100</v>
      </c>
      <c r="V17" s="1573" t="s">
        <v>11</v>
      </c>
      <c r="W17" s="1574">
        <f>J17</f>
        <v>100</v>
      </c>
      <c r="X17" s="1567"/>
      <c r="Y17" s="3612"/>
      <c r="Z17" s="1575" t="str">
        <f>Q17</f>
        <v>交通便捷度</v>
      </c>
      <c r="AA17" s="1576">
        <f t="shared" si="3"/>
        <v>1</v>
      </c>
      <c r="AB17" s="1576">
        <f t="shared" si="4"/>
        <v>1</v>
      </c>
      <c r="AC17" s="1576">
        <f t="shared" si="5"/>
        <v>1</v>
      </c>
    </row>
    <row r="18" spans="1:29" ht="15">
      <c r="A18" s="532"/>
      <c r="B18" s="595"/>
      <c r="C18" s="873" t="s">
        <v>3019</v>
      </c>
      <c r="D18" s="559"/>
      <c r="E18" s="873" t="s">
        <v>3019</v>
      </c>
      <c r="F18" s="563"/>
      <c r="G18" s="873" t="s">
        <v>3019</v>
      </c>
      <c r="H18" s="555"/>
      <c r="I18" s="873" t="s">
        <v>3019</v>
      </c>
      <c r="J18" s="555"/>
      <c r="K18" s="870"/>
      <c r="L18" s="2143"/>
      <c r="M18" s="2135"/>
      <c r="N18" s="2135"/>
      <c r="O18" s="2142"/>
      <c r="P18" s="3612"/>
      <c r="Q18" s="1572"/>
      <c r="R18" s="1573"/>
      <c r="S18" s="1574"/>
      <c r="T18" s="1573"/>
      <c r="U18" s="1574"/>
      <c r="V18" s="1573"/>
      <c r="W18" s="1574"/>
      <c r="X18" s="1567"/>
      <c r="Y18" s="3612"/>
      <c r="Z18" s="1575"/>
      <c r="AA18" s="1576">
        <v>1</v>
      </c>
      <c r="AB18" s="1576">
        <v>1</v>
      </c>
      <c r="AC18" s="1576">
        <v>1</v>
      </c>
    </row>
    <row r="19" spans="1:29" ht="15">
      <c r="A19" s="532"/>
      <c r="B19" s="2625" t="s">
        <v>2546</v>
      </c>
      <c r="C19" s="872">
        <f>估价对象房地状况!C7</f>
        <v>0</v>
      </c>
      <c r="D19" s="565">
        <v>100</v>
      </c>
      <c r="E19" s="570"/>
      <c r="F19" s="571">
        <f>SUMIF(80:80,E20,81:81)-SUMIF(80:80,C20,81:81)+100</f>
        <v>97</v>
      </c>
      <c r="G19" s="572"/>
      <c r="H19" s="559">
        <f>SUMIF(80:80,G20,81:81)-SUMIF(80:80,C20,81:81)+100</f>
        <v>103</v>
      </c>
      <c r="I19" s="570"/>
      <c r="J19" s="559">
        <f>SUMIF(80:80,I20,81:81)-SUMIF(80:80,C20,81:81)+100</f>
        <v>97</v>
      </c>
      <c r="K19" s="868">
        <v>3</v>
      </c>
      <c r="L19" s="2143"/>
      <c r="M19" s="2135"/>
      <c r="N19" s="2135"/>
      <c r="O19" s="2142"/>
      <c r="P19" s="3612"/>
      <c r="Q19" s="1572" t="str">
        <f>B19</f>
        <v>公共配套设施</v>
      </c>
      <c r="R19" s="1573" t="s">
        <v>11</v>
      </c>
      <c r="S19" s="1574">
        <f>F19</f>
        <v>97</v>
      </c>
      <c r="T19" s="1573" t="s">
        <v>11</v>
      </c>
      <c r="U19" s="1574">
        <f>H19</f>
        <v>103</v>
      </c>
      <c r="V19" s="1573" t="s">
        <v>11</v>
      </c>
      <c r="W19" s="1574">
        <f>J19</f>
        <v>97</v>
      </c>
      <c r="X19" s="1567"/>
      <c r="Y19" s="3612"/>
      <c r="Z19" s="1575" t="str">
        <f>Q19</f>
        <v>公共配套设施</v>
      </c>
      <c r="AA19" s="1576">
        <f t="shared" si="3"/>
        <v>1.0309278350515463</v>
      </c>
      <c r="AB19" s="1576">
        <f t="shared" si="4"/>
        <v>0.970873786407767</v>
      </c>
      <c r="AC19" s="1576">
        <f t="shared" si="5"/>
        <v>1.0309278350515463</v>
      </c>
    </row>
    <row r="20" spans="1:29" ht="15">
      <c r="A20" s="532"/>
      <c r="B20" s="595"/>
      <c r="C20" s="576" t="s">
        <v>3017</v>
      </c>
      <c r="D20" s="555"/>
      <c r="E20" s="576" t="s">
        <v>3018</v>
      </c>
      <c r="F20" s="557"/>
      <c r="G20" s="576" t="s">
        <v>3019</v>
      </c>
      <c r="H20" s="555"/>
      <c r="I20" s="576" t="s">
        <v>3018</v>
      </c>
      <c r="J20" s="555"/>
      <c r="K20" s="870"/>
      <c r="L20" s="2143"/>
      <c r="M20" s="2135"/>
      <c r="N20" s="2135"/>
      <c r="O20" s="2142"/>
      <c r="P20" s="3612"/>
      <c r="Q20" s="1572"/>
      <c r="R20" s="1573"/>
      <c r="S20" s="1574"/>
      <c r="T20" s="1573"/>
      <c r="U20" s="1574"/>
      <c r="V20" s="1573"/>
      <c r="W20" s="1574"/>
      <c r="X20" s="1567"/>
      <c r="Y20" s="3612"/>
      <c r="Z20" s="1575"/>
      <c r="AA20" s="1576">
        <v>1</v>
      </c>
      <c r="AB20" s="1576">
        <v>1</v>
      </c>
      <c r="AC20" s="1576">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612"/>
      <c r="Q21" s="2604" t="str">
        <f>B21</f>
        <v>基础设施水平</v>
      </c>
      <c r="R21" s="1573" t="s">
        <v>11</v>
      </c>
      <c r="S21" s="1574">
        <f>F21</f>
        <v>100</v>
      </c>
      <c r="T21" s="1573" t="s">
        <v>11</v>
      </c>
      <c r="U21" s="1574">
        <f>H21</f>
        <v>100</v>
      </c>
      <c r="V21" s="1573" t="s">
        <v>11</v>
      </c>
      <c r="W21" s="1574">
        <f>J21</f>
        <v>100</v>
      </c>
      <c r="X21" s="2606"/>
      <c r="Y21" s="3612"/>
      <c r="Z21" s="2605" t="str">
        <f>Q21</f>
        <v>基础设施水平</v>
      </c>
      <c r="AA21" s="1576">
        <f t="shared" ref="AA21" si="8">D21/F21</f>
        <v>1</v>
      </c>
      <c r="AB21" s="1576">
        <f t="shared" ref="AB21" si="9">D21/H21</f>
        <v>1</v>
      </c>
      <c r="AC21" s="1576">
        <f t="shared" ref="AC21" si="10">D21/J21</f>
        <v>1</v>
      </c>
    </row>
    <row r="22" spans="1:29" ht="15">
      <c r="A22" s="532"/>
      <c r="B22" s="922"/>
      <c r="C22" s="873" t="s">
        <v>3020</v>
      </c>
      <c r="D22" s="555"/>
      <c r="E22" s="873" t="s">
        <v>3020</v>
      </c>
      <c r="F22" s="557"/>
      <c r="G22" s="873" t="s">
        <v>3020</v>
      </c>
      <c r="H22" s="555"/>
      <c r="I22" s="873" t="s">
        <v>3020</v>
      </c>
      <c r="J22" s="555"/>
      <c r="K22" s="2624"/>
      <c r="L22" s="2143"/>
      <c r="M22" s="2135"/>
      <c r="N22" s="2135"/>
      <c r="O22" s="2142"/>
      <c r="P22" s="3612"/>
      <c r="Q22" s="2604"/>
      <c r="R22" s="1573"/>
      <c r="S22" s="1574"/>
      <c r="T22" s="1573"/>
      <c r="U22" s="1574"/>
      <c r="V22" s="1573"/>
      <c r="W22" s="1574"/>
      <c r="X22" s="2606"/>
      <c r="Y22" s="3612"/>
      <c r="Z22" s="2605"/>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612"/>
      <c r="Q23" s="1572" t="str">
        <f>B23</f>
        <v>自然及人文环境</v>
      </c>
      <c r="R23" s="1573" t="s">
        <v>11</v>
      </c>
      <c r="S23" s="1574">
        <f>F23</f>
        <v>100</v>
      </c>
      <c r="T23" s="1573" t="s">
        <v>11</v>
      </c>
      <c r="U23" s="1574">
        <f>H23</f>
        <v>100</v>
      </c>
      <c r="V23" s="1573" t="s">
        <v>11</v>
      </c>
      <c r="W23" s="1574">
        <f>J23</f>
        <v>100</v>
      </c>
      <c r="X23" s="1567"/>
      <c r="Y23" s="3612"/>
      <c r="Z23" s="1575" t="str">
        <f>Q23</f>
        <v>自然及人文环境</v>
      </c>
      <c r="AA23" s="1576">
        <f t="shared" si="3"/>
        <v>1</v>
      </c>
      <c r="AB23" s="1576">
        <f t="shared" si="4"/>
        <v>1</v>
      </c>
      <c r="AC23" s="1576">
        <f t="shared" si="5"/>
        <v>1</v>
      </c>
    </row>
    <row r="24" spans="1:29" ht="15">
      <c r="A24" s="532"/>
      <c r="B24" s="595"/>
      <c r="C24" s="3341" t="s">
        <v>3019</v>
      </c>
      <c r="D24" s="555"/>
      <c r="E24" s="576" t="s">
        <v>3019</v>
      </c>
      <c r="F24" s="557"/>
      <c r="G24" s="576" t="s">
        <v>3019</v>
      </c>
      <c r="H24" s="555"/>
      <c r="I24" s="576" t="s">
        <v>3019</v>
      </c>
      <c r="J24" s="555"/>
      <c r="K24" s="870"/>
      <c r="L24" s="2143"/>
      <c r="M24" s="2135"/>
      <c r="N24" s="2135"/>
      <c r="O24" s="2142"/>
      <c r="P24" s="3612"/>
      <c r="Q24" s="1572"/>
      <c r="R24" s="1573"/>
      <c r="S24" s="1574"/>
      <c r="T24" s="1573"/>
      <c r="U24" s="1574"/>
      <c r="V24" s="1573"/>
      <c r="W24" s="1574"/>
      <c r="X24" s="1567"/>
      <c r="Y24" s="3612"/>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12"/>
      <c r="Q25" s="1572" t="str">
        <f t="shared" ref="Q25:Q46" si="11">B25</f>
        <v>楼层-1</v>
      </c>
      <c r="R25" s="1573" t="s">
        <v>11</v>
      </c>
      <c r="S25" s="1574">
        <f>F25</f>
        <v>100</v>
      </c>
      <c r="T25" s="1573" t="s">
        <v>11</v>
      </c>
      <c r="U25" s="1574">
        <f>H25</f>
        <v>100</v>
      </c>
      <c r="V25" s="1573" t="s">
        <v>11</v>
      </c>
      <c r="W25" s="1574">
        <f>J25</f>
        <v>100</v>
      </c>
      <c r="X25" s="1567"/>
      <c r="Y25" s="3612"/>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12"/>
      <c r="Q26" s="1572" t="str">
        <f t="shared" si="11"/>
        <v>朝向</v>
      </c>
      <c r="R26" s="1573" t="s">
        <v>11</v>
      </c>
      <c r="S26" s="1574">
        <f>F26</f>
        <v>100</v>
      </c>
      <c r="T26" s="1573" t="s">
        <v>11</v>
      </c>
      <c r="U26" s="1574">
        <f>H26</f>
        <v>100</v>
      </c>
      <c r="V26" s="1573" t="s">
        <v>11</v>
      </c>
      <c r="W26" s="1574">
        <f>J26</f>
        <v>100</v>
      </c>
      <c r="X26" s="1567"/>
      <c r="Y26" s="3612"/>
      <c r="Z26" s="1575" t="str">
        <f>Q26</f>
        <v>朝向</v>
      </c>
      <c r="AA26" s="1576">
        <f t="shared" si="3"/>
        <v>1</v>
      </c>
      <c r="AB26" s="1576">
        <f t="shared" si="4"/>
        <v>1</v>
      </c>
      <c r="AC26" s="1576">
        <f t="shared" si="5"/>
        <v>1</v>
      </c>
    </row>
    <row r="27" spans="1:29" s="1220" customFormat="1" ht="15.75" thickBot="1">
      <c r="A27" s="536"/>
      <c r="B27" s="3200" t="s">
        <v>3048</v>
      </c>
      <c r="C27" s="3201" t="s">
        <v>3049</v>
      </c>
      <c r="D27" s="875">
        <v>100</v>
      </c>
      <c r="E27" s="3202" t="s">
        <v>3045</v>
      </c>
      <c r="F27" s="876">
        <f>SUMIF(90:90,E27,91:91)-SUMIF(90:90,C27,91:91)+100</f>
        <v>99</v>
      </c>
      <c r="G27" s="3201" t="s">
        <v>3049</v>
      </c>
      <c r="H27" s="875">
        <f>SUMIF(90:90,G27,91:91)-SUMIF(90:90,C27,91:91)+100</f>
        <v>100</v>
      </c>
      <c r="I27" s="3201" t="s">
        <v>3055</v>
      </c>
      <c r="J27" s="875">
        <f>SUMIF(90:90,I27,91:91)-SUMIF(90:90,C27,91:91)+100</f>
        <v>101</v>
      </c>
      <c r="K27" s="865"/>
      <c r="L27" s="2136"/>
      <c r="M27" s="2137"/>
      <c r="N27" s="2137"/>
      <c r="O27" s="2138"/>
      <c r="P27" s="3612"/>
      <c r="Q27" s="1151" t="str">
        <f t="shared" si="11"/>
        <v>楼层</v>
      </c>
      <c r="R27" s="1568" t="s">
        <v>11</v>
      </c>
      <c r="S27" s="1569">
        <f>F27</f>
        <v>99</v>
      </c>
      <c r="T27" s="1568" t="s">
        <v>11</v>
      </c>
      <c r="U27" s="1569">
        <f>H27</f>
        <v>100</v>
      </c>
      <c r="V27" s="1568" t="s">
        <v>11</v>
      </c>
      <c r="W27" s="1569">
        <f>J27</f>
        <v>101</v>
      </c>
      <c r="X27" s="1570"/>
      <c r="Y27" s="3612"/>
      <c r="Z27" s="1150" t="str">
        <f>Q27</f>
        <v>楼层</v>
      </c>
      <c r="AA27" s="1576">
        <f>D27/F27</f>
        <v>1.0101010101010102</v>
      </c>
      <c r="AB27" s="1576">
        <f>D27/H27</f>
        <v>1</v>
      </c>
      <c r="AC27" s="1576">
        <f>D27/J27</f>
        <v>0.99009900990099009</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12"/>
      <c r="Q28" s="1572">
        <f t="shared" si="11"/>
        <v>0</v>
      </c>
      <c r="R28" s="1573" t="s">
        <v>11</v>
      </c>
      <c r="S28" s="1574">
        <f t="shared" ref="S28:S46" si="12">F28</f>
        <v>100</v>
      </c>
      <c r="T28" s="1573" t="s">
        <v>11</v>
      </c>
      <c r="U28" s="1574">
        <f t="shared" ref="U28:U46" si="13">H28</f>
        <v>100</v>
      </c>
      <c r="V28" s="1573" t="s">
        <v>11</v>
      </c>
      <c r="W28" s="1574">
        <f t="shared" ref="W28:W46" si="14">J28</f>
        <v>100</v>
      </c>
      <c r="X28" s="1567"/>
      <c r="Y28" s="3612"/>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12"/>
      <c r="Q29" s="1572">
        <f t="shared" si="11"/>
        <v>0</v>
      </c>
      <c r="R29" s="1573" t="s">
        <v>11</v>
      </c>
      <c r="S29" s="1574">
        <f t="shared" si="12"/>
        <v>100</v>
      </c>
      <c r="T29" s="1573" t="s">
        <v>11</v>
      </c>
      <c r="U29" s="1574">
        <f t="shared" si="13"/>
        <v>100</v>
      </c>
      <c r="V29" s="1573" t="s">
        <v>11</v>
      </c>
      <c r="W29" s="1574">
        <f t="shared" si="14"/>
        <v>100</v>
      </c>
      <c r="X29" s="1567"/>
      <c r="Y29" s="3612"/>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12"/>
      <c r="Q30" s="1572">
        <f t="shared" si="11"/>
        <v>0</v>
      </c>
      <c r="R30" s="1573" t="s">
        <v>11</v>
      </c>
      <c r="S30" s="1574">
        <f t="shared" si="12"/>
        <v>100</v>
      </c>
      <c r="T30" s="1573" t="s">
        <v>11</v>
      </c>
      <c r="U30" s="1574">
        <f t="shared" si="13"/>
        <v>100</v>
      </c>
      <c r="V30" s="1573" t="s">
        <v>11</v>
      </c>
      <c r="W30" s="1574">
        <f t="shared" si="14"/>
        <v>100</v>
      </c>
      <c r="X30" s="1567"/>
      <c r="Y30" s="3612"/>
      <c r="Z30" s="1575">
        <f t="shared" si="15"/>
        <v>0</v>
      </c>
      <c r="AA30" s="1576">
        <f t="shared" si="3"/>
        <v>1</v>
      </c>
      <c r="AB30" s="1576">
        <f t="shared" si="4"/>
        <v>1</v>
      </c>
      <c r="AC30" s="1576">
        <f t="shared" si="5"/>
        <v>1</v>
      </c>
    </row>
    <row r="31" spans="1:29" ht="15" hidden="1" customHeight="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12"/>
      <c r="Q31" s="1572">
        <f t="shared" si="11"/>
        <v>0</v>
      </c>
      <c r="R31" s="1573" t="s">
        <v>11</v>
      </c>
      <c r="S31" s="1574">
        <f t="shared" si="12"/>
        <v>100</v>
      </c>
      <c r="T31" s="1573" t="s">
        <v>11</v>
      </c>
      <c r="U31" s="1574">
        <f t="shared" si="13"/>
        <v>100</v>
      </c>
      <c r="V31" s="1573" t="s">
        <v>11</v>
      </c>
      <c r="W31" s="1574">
        <f t="shared" si="14"/>
        <v>100</v>
      </c>
      <c r="X31" s="1567"/>
      <c r="Y31" s="3612"/>
      <c r="Z31" s="1575">
        <f t="shared" si="15"/>
        <v>0</v>
      </c>
      <c r="AA31" s="1576">
        <f t="shared" si="3"/>
        <v>1</v>
      </c>
      <c r="AB31" s="1576">
        <f t="shared" si="4"/>
        <v>1</v>
      </c>
      <c r="AC31" s="1576">
        <f t="shared" si="5"/>
        <v>1</v>
      </c>
    </row>
    <row r="32" spans="1:29" ht="15">
      <c r="A32" s="2932" t="s">
        <v>2754</v>
      </c>
      <c r="B32" s="172" t="s">
        <v>724</v>
      </c>
      <c r="C32" s="878" t="s">
        <v>2977</v>
      </c>
      <c r="D32" s="597">
        <v>100</v>
      </c>
      <c r="E32" s="879" t="s">
        <v>2977</v>
      </c>
      <c r="F32" s="575">
        <f>SUMIF(100:100,E32,101:101)-SUMIF(100:100,C32,101:101)+100</f>
        <v>100</v>
      </c>
      <c r="G32" s="878" t="s">
        <v>2981</v>
      </c>
      <c r="H32" s="597">
        <f>SUMIF(100:100,G32,101:101)-SUMIF(100:100,C32,101:101)+100</f>
        <v>110</v>
      </c>
      <c r="I32" s="879" t="s">
        <v>2977</v>
      </c>
      <c r="J32" s="540">
        <f>SUMIF(100:100,I32,101:101)-SUMIF(100:100,C32,101:101)+100</f>
        <v>100</v>
      </c>
      <c r="K32" s="864">
        <v>5</v>
      </c>
      <c r="L32" s="2143"/>
      <c r="M32" s="2135"/>
      <c r="N32" s="2135"/>
      <c r="O32" s="2142"/>
      <c r="P32" s="3613" t="s">
        <v>550</v>
      </c>
      <c r="Q32" s="1572" t="str">
        <f t="shared" si="11"/>
        <v>建筑类型</v>
      </c>
      <c r="R32" s="1573" t="s">
        <v>11</v>
      </c>
      <c r="S32" s="1574">
        <f t="shared" si="12"/>
        <v>100</v>
      </c>
      <c r="T32" s="1573" t="s">
        <v>11</v>
      </c>
      <c r="U32" s="1574">
        <f t="shared" si="13"/>
        <v>110</v>
      </c>
      <c r="V32" s="1573" t="s">
        <v>11</v>
      </c>
      <c r="W32" s="1574">
        <f t="shared" si="14"/>
        <v>100</v>
      </c>
      <c r="X32" s="1567"/>
      <c r="Y32" s="3614" t="s">
        <v>550</v>
      </c>
      <c r="Z32" s="1575" t="str">
        <f t="shared" si="15"/>
        <v>建筑类型</v>
      </c>
      <c r="AA32" s="1576">
        <f t="shared" si="3"/>
        <v>1</v>
      </c>
      <c r="AB32" s="1576">
        <f t="shared" si="4"/>
        <v>0.90909090909090906</v>
      </c>
      <c r="AC32" s="1576">
        <f t="shared" si="5"/>
        <v>1</v>
      </c>
    </row>
    <row r="33" spans="1:29" s="1339" customFormat="1" ht="15">
      <c r="A33" s="603"/>
      <c r="B33" s="527" t="s">
        <v>725</v>
      </c>
      <c r="C33" s="533">
        <f>'数据-汇总表'!E3</f>
        <v>156303.04999999999</v>
      </c>
      <c r="D33" s="255">
        <v>100</v>
      </c>
      <c r="E33" s="534">
        <v>180000</v>
      </c>
      <c r="F33" s="863">
        <f>LOOKUP(E33,103:103,104:104)-LOOKUP(C33,103:103,104:104)+100</f>
        <v>100</v>
      </c>
      <c r="G33" s="533">
        <v>480000</v>
      </c>
      <c r="H33" s="255">
        <f>LOOKUP(G33,103:103,104:104)-LOOKUP(C33,103:103,104:104)+100</f>
        <v>100</v>
      </c>
      <c r="I33" s="534">
        <v>240248</v>
      </c>
      <c r="J33" s="255">
        <f>LOOKUP(I33,103:103,104:104)-LOOKUP(C33,103:103,104:104)+100</f>
        <v>100</v>
      </c>
      <c r="K33" s="865"/>
      <c r="L33" s="2141"/>
      <c r="M33" s="2172"/>
      <c r="N33" s="2172"/>
      <c r="O33" s="2144"/>
      <c r="P33" s="3614"/>
      <c r="Q33" s="1605" t="str">
        <f t="shared" si="11"/>
        <v>项目建筑规模</v>
      </c>
      <c r="R33" s="1577" t="s">
        <v>11</v>
      </c>
      <c r="S33" s="1578">
        <f t="shared" si="12"/>
        <v>100</v>
      </c>
      <c r="T33" s="1577" t="s">
        <v>11</v>
      </c>
      <c r="U33" s="1578">
        <f t="shared" si="13"/>
        <v>100</v>
      </c>
      <c r="V33" s="1577" t="s">
        <v>11</v>
      </c>
      <c r="W33" s="1578">
        <f t="shared" si="14"/>
        <v>100</v>
      </c>
      <c r="X33" s="1579"/>
      <c r="Y33" s="3614"/>
      <c r="Z33" s="1580" t="str">
        <f t="shared" si="15"/>
        <v>项目建筑规模</v>
      </c>
      <c r="AA33" s="1576">
        <f t="shared" si="3"/>
        <v>1</v>
      </c>
      <c r="AB33" s="1576">
        <f t="shared" si="4"/>
        <v>1</v>
      </c>
      <c r="AC33" s="1576">
        <f t="shared" si="5"/>
        <v>1</v>
      </c>
    </row>
    <row r="34" spans="1:29" ht="15">
      <c r="A34" s="594"/>
      <c r="B34" s="527" t="s">
        <v>726</v>
      </c>
      <c r="C34" s="881" t="s">
        <v>3025</v>
      </c>
      <c r="D34" s="540">
        <v>100</v>
      </c>
      <c r="E34" s="882" t="s">
        <v>3025</v>
      </c>
      <c r="F34" s="575">
        <f>SUMIF(105:105,E34,106:106)-SUMIF(105:105,C34,106:106)+100</f>
        <v>100</v>
      </c>
      <c r="G34" s="881" t="s">
        <v>3025</v>
      </c>
      <c r="H34" s="540">
        <f>SUMIF(105:105,G34,106:106)-SUMIF(105:105,C34,106:106)+100</f>
        <v>100</v>
      </c>
      <c r="I34" s="882" t="s">
        <v>3025</v>
      </c>
      <c r="J34" s="540">
        <f>SUMIF(105:105,I34,106:106)-SUMIF(105:105,C34,106:106)+100</f>
        <v>100</v>
      </c>
      <c r="K34" s="864">
        <v>2</v>
      </c>
      <c r="L34" s="2143"/>
      <c r="M34" s="2135"/>
      <c r="N34" s="2135"/>
      <c r="O34" s="2142"/>
      <c r="P34" s="3614"/>
      <c r="Q34" s="1572" t="str">
        <f t="shared" si="11"/>
        <v>建筑结构</v>
      </c>
      <c r="R34" s="1573" t="s">
        <v>11</v>
      </c>
      <c r="S34" s="1574">
        <f t="shared" si="12"/>
        <v>100</v>
      </c>
      <c r="T34" s="1573" t="s">
        <v>11</v>
      </c>
      <c r="U34" s="1574">
        <f t="shared" si="13"/>
        <v>100</v>
      </c>
      <c r="V34" s="1573" t="s">
        <v>11</v>
      </c>
      <c r="W34" s="1574">
        <f t="shared" si="14"/>
        <v>100</v>
      </c>
      <c r="X34" s="1567"/>
      <c r="Y34" s="3614"/>
      <c r="Z34" s="1575" t="str">
        <f t="shared" si="15"/>
        <v>建筑结构</v>
      </c>
      <c r="AA34" s="1576">
        <f t="shared" si="3"/>
        <v>1</v>
      </c>
      <c r="AB34" s="1576">
        <f t="shared" si="4"/>
        <v>1</v>
      </c>
      <c r="AC34" s="1576">
        <f t="shared" si="5"/>
        <v>1</v>
      </c>
    </row>
    <row r="35" spans="1:29" ht="15">
      <c r="A35" s="594"/>
      <c r="B35" s="527" t="s">
        <v>727</v>
      </c>
      <c r="C35" s="599" t="s">
        <v>3034</v>
      </c>
      <c r="D35" s="540">
        <v>100</v>
      </c>
      <c r="E35" s="874" t="s">
        <v>3034</v>
      </c>
      <c r="F35" s="575">
        <f>SUMIF(107:107,E35,108:108)-SUMIF(107:107,C35,108:108)+100</f>
        <v>100</v>
      </c>
      <c r="G35" s="599" t="s">
        <v>3034</v>
      </c>
      <c r="H35" s="540">
        <f>SUMIF(107:107,G35,108:108)-SUMIF(107:107,C35,108:108)+100</f>
        <v>100</v>
      </c>
      <c r="I35" s="874" t="s">
        <v>3034</v>
      </c>
      <c r="J35" s="540">
        <f>SUMIF(107:107,I35,108:108)-SUMIF(107:107,C35,108:108)+100</f>
        <v>100</v>
      </c>
      <c r="K35" s="864">
        <v>2</v>
      </c>
      <c r="L35" s="2143"/>
      <c r="M35" s="2135"/>
      <c r="N35" s="2135"/>
      <c r="O35" s="2142"/>
      <c r="P35" s="3614"/>
      <c r="Q35" s="1572" t="str">
        <f t="shared" si="11"/>
        <v>建筑品质</v>
      </c>
      <c r="R35" s="1573" t="s">
        <v>11</v>
      </c>
      <c r="S35" s="1574">
        <f t="shared" si="12"/>
        <v>100</v>
      </c>
      <c r="T35" s="1573" t="s">
        <v>11</v>
      </c>
      <c r="U35" s="1574">
        <f t="shared" si="13"/>
        <v>100</v>
      </c>
      <c r="V35" s="1573" t="s">
        <v>11</v>
      </c>
      <c r="W35" s="1574">
        <f t="shared" si="14"/>
        <v>100</v>
      </c>
      <c r="X35" s="1567"/>
      <c r="Y35" s="3614"/>
      <c r="Z35" s="1575" t="str">
        <f t="shared" si="15"/>
        <v>建筑品质</v>
      </c>
      <c r="AA35" s="1576">
        <f t="shared" si="3"/>
        <v>1</v>
      </c>
      <c r="AB35" s="1576">
        <f t="shared" si="4"/>
        <v>1</v>
      </c>
      <c r="AC35" s="1576">
        <f t="shared" si="5"/>
        <v>1</v>
      </c>
    </row>
    <row r="36" spans="1:29" ht="15">
      <c r="A36" s="594"/>
      <c r="B36" s="527" t="s">
        <v>728</v>
      </c>
      <c r="C36" s="599" t="s">
        <v>3036</v>
      </c>
      <c r="D36" s="540">
        <v>100</v>
      </c>
      <c r="E36" s="874" t="s">
        <v>3036</v>
      </c>
      <c r="F36" s="575">
        <f>SUMIF(109:109,E36,110:110)-SUMIF(109:109,C36,110:110)+100</f>
        <v>100</v>
      </c>
      <c r="G36" s="599" t="s">
        <v>3036</v>
      </c>
      <c r="H36" s="540">
        <f>SUMIF(109:109,G36,110:110)-SUMIF(109:109,C36,110:110)+100</f>
        <v>100</v>
      </c>
      <c r="I36" s="874" t="s">
        <v>3036</v>
      </c>
      <c r="J36" s="540">
        <f>SUMIF(109:109,I36,110:110)-SUMIF(109:109,C36,110:110)+100</f>
        <v>100</v>
      </c>
      <c r="K36" s="864">
        <v>2</v>
      </c>
      <c r="L36" s="2143"/>
      <c r="M36" s="2135"/>
      <c r="N36" s="2135"/>
      <c r="O36" s="2142"/>
      <c r="P36" s="3614"/>
      <c r="Q36" s="1572" t="str">
        <f t="shared" si="11"/>
        <v>公共部分装修</v>
      </c>
      <c r="R36" s="1573" t="s">
        <v>11</v>
      </c>
      <c r="S36" s="1574">
        <f t="shared" si="12"/>
        <v>100</v>
      </c>
      <c r="T36" s="1573" t="s">
        <v>11</v>
      </c>
      <c r="U36" s="1574">
        <f t="shared" si="13"/>
        <v>100</v>
      </c>
      <c r="V36" s="1573" t="s">
        <v>11</v>
      </c>
      <c r="W36" s="1574">
        <f t="shared" si="14"/>
        <v>100</v>
      </c>
      <c r="X36" s="1567"/>
      <c r="Y36" s="3614"/>
      <c r="Z36" s="1575" t="str">
        <f t="shared" si="15"/>
        <v>公共部分装修</v>
      </c>
      <c r="AA36" s="1576">
        <f t="shared" si="3"/>
        <v>1</v>
      </c>
      <c r="AB36" s="1576">
        <f t="shared" si="4"/>
        <v>1</v>
      </c>
      <c r="AC36" s="1576">
        <f t="shared" si="5"/>
        <v>1</v>
      </c>
    </row>
    <row r="37" spans="1:29" s="1220" customFormat="1" ht="15">
      <c r="A37" s="600"/>
      <c r="B37" s="527" t="s">
        <v>729</v>
      </c>
      <c r="C37" s="885">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614"/>
      <c r="Q37" s="1151" t="str">
        <f t="shared" si="11"/>
        <v>成新度</v>
      </c>
      <c r="R37" s="1568" t="s">
        <v>11</v>
      </c>
      <c r="S37" s="1569">
        <f t="shared" si="12"/>
        <v>100</v>
      </c>
      <c r="T37" s="1568" t="s">
        <v>11</v>
      </c>
      <c r="U37" s="1569">
        <f t="shared" si="13"/>
        <v>100</v>
      </c>
      <c r="V37" s="1568" t="s">
        <v>11</v>
      </c>
      <c r="W37" s="1569">
        <f t="shared" si="14"/>
        <v>100</v>
      </c>
      <c r="X37" s="1570"/>
      <c r="Y37" s="3614"/>
      <c r="Z37" s="1150" t="str">
        <f t="shared" si="15"/>
        <v>成新度</v>
      </c>
      <c r="AA37" s="1571">
        <f t="shared" si="3"/>
        <v>1</v>
      </c>
      <c r="AB37" s="1571">
        <f t="shared" si="4"/>
        <v>1</v>
      </c>
      <c r="AC37" s="1571">
        <f t="shared" si="5"/>
        <v>1</v>
      </c>
    </row>
    <row r="38" spans="1:29" ht="15">
      <c r="A38" s="594"/>
      <c r="B38" s="527" t="s">
        <v>730</v>
      </c>
      <c r="C38" s="599" t="s">
        <v>3038</v>
      </c>
      <c r="D38" s="540">
        <v>100</v>
      </c>
      <c r="E38" s="874" t="s">
        <v>3038</v>
      </c>
      <c r="F38" s="575">
        <f>SUMIF(114:114,E38,115:115)-SUMIF(114:114,C38,115:115)+100</f>
        <v>100</v>
      </c>
      <c r="G38" s="599" t="s">
        <v>3038</v>
      </c>
      <c r="H38" s="540">
        <f>SUMIF(114:114,G38,115:115)-SUMIF(114:114,C38,115:115)+100</f>
        <v>100</v>
      </c>
      <c r="I38" s="874" t="s">
        <v>3038</v>
      </c>
      <c r="J38" s="540">
        <f>SUMIF(114:114,I38,115:115)-SUMIF(114:114,C38,115:115)+100</f>
        <v>100</v>
      </c>
      <c r="K38" s="864">
        <v>2</v>
      </c>
      <c r="L38" s="2143"/>
      <c r="M38" s="2135"/>
      <c r="N38" s="2135"/>
      <c r="O38" s="2142"/>
      <c r="P38" s="3614" t="s">
        <v>550</v>
      </c>
      <c r="Q38" s="1572" t="str">
        <f t="shared" si="11"/>
        <v>物业管理</v>
      </c>
      <c r="R38" s="1573" t="s">
        <v>11</v>
      </c>
      <c r="S38" s="1574">
        <f t="shared" si="12"/>
        <v>100</v>
      </c>
      <c r="T38" s="1573" t="s">
        <v>11</v>
      </c>
      <c r="U38" s="1574">
        <f t="shared" si="13"/>
        <v>100</v>
      </c>
      <c r="V38" s="1573" t="s">
        <v>11</v>
      </c>
      <c r="W38" s="1574">
        <f t="shared" si="14"/>
        <v>100</v>
      </c>
      <c r="X38" s="1567"/>
      <c r="Y38" s="3614" t="s">
        <v>550</v>
      </c>
      <c r="Z38" s="1575" t="str">
        <f t="shared" si="15"/>
        <v>物业管理</v>
      </c>
      <c r="AA38" s="1576">
        <f t="shared" si="3"/>
        <v>1</v>
      </c>
      <c r="AB38" s="1576">
        <f t="shared" si="4"/>
        <v>1</v>
      </c>
      <c r="AC38" s="1576">
        <f t="shared" si="5"/>
        <v>1</v>
      </c>
    </row>
    <row r="39" spans="1:29" ht="15">
      <c r="A39" s="594"/>
      <c r="B39" s="1896" t="s">
        <v>2564</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2</v>
      </c>
      <c r="L39" s="2143"/>
      <c r="M39" s="2135"/>
      <c r="N39" s="2135"/>
      <c r="O39" s="2142"/>
      <c r="P39" s="3614"/>
      <c r="Q39" s="1572" t="str">
        <f t="shared" si="11"/>
        <v>市政基础设施</v>
      </c>
      <c r="R39" s="1573" t="s">
        <v>11</v>
      </c>
      <c r="S39" s="1574">
        <f t="shared" si="12"/>
        <v>100</v>
      </c>
      <c r="T39" s="1573" t="s">
        <v>11</v>
      </c>
      <c r="U39" s="1574">
        <f t="shared" si="13"/>
        <v>100</v>
      </c>
      <c r="V39" s="1573" t="s">
        <v>11</v>
      </c>
      <c r="W39" s="1574">
        <f t="shared" si="14"/>
        <v>100</v>
      </c>
      <c r="X39" s="1567"/>
      <c r="Y39" s="3614"/>
      <c r="Z39" s="1575" t="str">
        <f t="shared" si="15"/>
        <v>市政基础设施</v>
      </c>
      <c r="AA39" s="1576">
        <f t="shared" si="3"/>
        <v>1</v>
      </c>
      <c r="AB39" s="1576">
        <f t="shared" si="4"/>
        <v>1</v>
      </c>
      <c r="AC39" s="1576">
        <f t="shared" si="5"/>
        <v>1</v>
      </c>
    </row>
    <row r="40" spans="1:29" ht="15">
      <c r="A40" s="594"/>
      <c r="B40" s="527" t="s">
        <v>731</v>
      </c>
      <c r="C40" s="599" t="s">
        <v>3041</v>
      </c>
      <c r="D40" s="540">
        <v>100</v>
      </c>
      <c r="E40" s="874" t="s">
        <v>3041</v>
      </c>
      <c r="F40" s="575">
        <f>SUMIF(118:118,E40,119:119)-SUMIF(118:118,C40,119:119)+100</f>
        <v>100</v>
      </c>
      <c r="G40" s="599" t="s">
        <v>3041</v>
      </c>
      <c r="H40" s="540">
        <f>SUMIF(118:118,G40,119:119)-SUMIF(118:118,C40,119:119)+100</f>
        <v>100</v>
      </c>
      <c r="I40" s="874" t="s">
        <v>3041</v>
      </c>
      <c r="J40" s="540">
        <f>SUMIF(118:118,I40,119:119)-SUMIF(118:118,C40,119:119)+100</f>
        <v>100</v>
      </c>
      <c r="K40" s="864">
        <v>3</v>
      </c>
      <c r="L40" s="2143"/>
      <c r="M40" s="2135"/>
      <c r="N40" s="2135"/>
      <c r="O40" s="2142"/>
      <c r="P40" s="3614"/>
      <c r="Q40" s="1572" t="str">
        <f t="shared" si="11"/>
        <v>房型</v>
      </c>
      <c r="R40" s="1573" t="s">
        <v>11</v>
      </c>
      <c r="S40" s="1574">
        <f t="shared" si="12"/>
        <v>100</v>
      </c>
      <c r="T40" s="1573" t="s">
        <v>11</v>
      </c>
      <c r="U40" s="1574">
        <f t="shared" si="13"/>
        <v>100</v>
      </c>
      <c r="V40" s="1573" t="s">
        <v>11</v>
      </c>
      <c r="W40" s="1574">
        <f t="shared" si="14"/>
        <v>100</v>
      </c>
      <c r="X40" s="1567"/>
      <c r="Y40" s="3614"/>
      <c r="Z40" s="1575" t="str">
        <f t="shared" si="15"/>
        <v>房型</v>
      </c>
      <c r="AA40" s="1576">
        <f t="shared" si="3"/>
        <v>1</v>
      </c>
      <c r="AB40" s="1576">
        <f t="shared" si="4"/>
        <v>1</v>
      </c>
      <c r="AC40" s="1576">
        <f t="shared" si="5"/>
        <v>1</v>
      </c>
    </row>
    <row r="41" spans="1:29" s="1339" customFormat="1" ht="28.5">
      <c r="A41" s="603"/>
      <c r="B41" s="527" t="s">
        <v>732</v>
      </c>
      <c r="C41" s="533"/>
      <c r="D41" s="255">
        <v>100</v>
      </c>
      <c r="E41" s="534" t="s">
        <v>3057</v>
      </c>
      <c r="F41" s="863">
        <f>SUMIF(120:120,E41,121:121)-SUMIF(120:120,C41,121:121)+100</f>
        <v>100</v>
      </c>
      <c r="G41" s="533" t="s">
        <v>3058</v>
      </c>
      <c r="H41" s="255">
        <f>SUMIF(120:120,G41,121:121)-SUMIF(120:120,C41,121:121)+100</f>
        <v>100</v>
      </c>
      <c r="I41" s="534" t="s">
        <v>3059</v>
      </c>
      <c r="J41" s="540">
        <f>SUMIF(120:120,I41,121:121)-SUMIF(120:120,C41,121:121)+100</f>
        <v>100</v>
      </c>
      <c r="K41" s="865"/>
      <c r="L41" s="2141"/>
      <c r="M41" s="2172"/>
      <c r="N41" s="2172"/>
      <c r="O41" s="2144"/>
      <c r="P41" s="3614"/>
      <c r="Q41" s="1605" t="str">
        <f t="shared" si="11"/>
        <v>单套/主力户型建筑面积</v>
      </c>
      <c r="R41" s="1577" t="s">
        <v>11</v>
      </c>
      <c r="S41" s="1578">
        <f t="shared" si="12"/>
        <v>100</v>
      </c>
      <c r="T41" s="1577" t="s">
        <v>11</v>
      </c>
      <c r="U41" s="1578">
        <f t="shared" si="13"/>
        <v>100</v>
      </c>
      <c r="V41" s="1577" t="s">
        <v>11</v>
      </c>
      <c r="W41" s="1578">
        <f t="shared" si="14"/>
        <v>100</v>
      </c>
      <c r="X41" s="1579"/>
      <c r="Y41" s="3614"/>
      <c r="Z41" s="1580" t="str">
        <f t="shared" si="15"/>
        <v>单套/主力户型建筑面积</v>
      </c>
      <c r="AA41" s="1576">
        <f t="shared" si="3"/>
        <v>1</v>
      </c>
      <c r="AB41" s="1576">
        <f t="shared" si="4"/>
        <v>1</v>
      </c>
      <c r="AC41" s="1576">
        <f t="shared" si="5"/>
        <v>1</v>
      </c>
    </row>
    <row r="42" spans="1:29" ht="15">
      <c r="A42" s="594"/>
      <c r="B42" s="527" t="s">
        <v>733</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3</v>
      </c>
      <c r="L42" s="2143"/>
      <c r="M42" s="2135"/>
      <c r="N42" s="2135"/>
      <c r="O42" s="2142"/>
      <c r="P42" s="3614"/>
      <c r="Q42" s="1572" t="str">
        <f t="shared" si="11"/>
        <v>内部装修</v>
      </c>
      <c r="R42" s="1573" t="s">
        <v>11</v>
      </c>
      <c r="S42" s="1574">
        <f t="shared" si="12"/>
        <v>100</v>
      </c>
      <c r="T42" s="1573" t="s">
        <v>11</v>
      </c>
      <c r="U42" s="1574">
        <f t="shared" si="13"/>
        <v>100</v>
      </c>
      <c r="V42" s="1573" t="s">
        <v>11</v>
      </c>
      <c r="W42" s="1574">
        <f t="shared" si="14"/>
        <v>100</v>
      </c>
      <c r="X42" s="1567"/>
      <c r="Y42" s="3614"/>
      <c r="Z42" s="1575" t="str">
        <f t="shared" si="15"/>
        <v>内部装修</v>
      </c>
      <c r="AA42" s="1576">
        <f t="shared" si="3"/>
        <v>1</v>
      </c>
      <c r="AB42" s="1576">
        <f t="shared" si="4"/>
        <v>1</v>
      </c>
      <c r="AC42" s="1576">
        <f t="shared" si="5"/>
        <v>1</v>
      </c>
    </row>
    <row r="43" spans="1:29" ht="27.75" thickBot="1">
      <c r="A43" s="594"/>
      <c r="B43" s="527" t="s">
        <v>734</v>
      </c>
      <c r="C43" s="3199" t="s">
        <v>3019</v>
      </c>
      <c r="D43" s="546">
        <v>100</v>
      </c>
      <c r="E43" s="874" t="s">
        <v>3019</v>
      </c>
      <c r="F43" s="575">
        <f>SUMIF(124:124,E43,125:125)-SUMIF(124:124,C43,125:125)+100</f>
        <v>100</v>
      </c>
      <c r="G43" s="3199" t="s">
        <v>3019</v>
      </c>
      <c r="H43" s="546">
        <f>SUMIF(124:124,G43,125:125)-SUMIF(124:124,C43,125:125)+100</f>
        <v>100</v>
      </c>
      <c r="I43" s="874" t="s">
        <v>3019</v>
      </c>
      <c r="J43" s="540">
        <f>SUMIF(124:124,I43,125:125)-SUMIF(124:124,C43,125:125)+100</f>
        <v>100</v>
      </c>
      <c r="K43" s="864">
        <v>2</v>
      </c>
      <c r="L43" s="2143"/>
      <c r="M43" s="2135"/>
      <c r="N43" s="2135"/>
      <c r="O43" s="2142"/>
      <c r="P43" s="3614"/>
      <c r="Q43" s="1572" t="str">
        <f t="shared" si="11"/>
        <v>内部装修维护情况</v>
      </c>
      <c r="R43" s="1573" t="s">
        <v>11</v>
      </c>
      <c r="S43" s="1574">
        <f t="shared" si="12"/>
        <v>100</v>
      </c>
      <c r="T43" s="1573" t="s">
        <v>11</v>
      </c>
      <c r="U43" s="1574">
        <f t="shared" si="13"/>
        <v>100</v>
      </c>
      <c r="V43" s="1573" t="s">
        <v>11</v>
      </c>
      <c r="W43" s="1574">
        <f t="shared" si="14"/>
        <v>100</v>
      </c>
      <c r="X43" s="1567"/>
      <c r="Y43" s="3614"/>
      <c r="Z43" s="1575" t="str">
        <f t="shared" si="15"/>
        <v>内部装修维护情况</v>
      </c>
      <c r="AA43" s="1576">
        <f t="shared" si="3"/>
        <v>1</v>
      </c>
      <c r="AB43" s="1576">
        <f t="shared" si="4"/>
        <v>1</v>
      </c>
      <c r="AC43" s="1576">
        <f t="shared" si="5"/>
        <v>1</v>
      </c>
    </row>
    <row r="44" spans="1:29" s="1220" customFormat="1" ht="15" hidden="1">
      <c r="A44" s="600"/>
      <c r="B44" s="877"/>
      <c r="C44" s="3198"/>
      <c r="D44" s="875">
        <v>100</v>
      </c>
      <c r="E44" s="880"/>
      <c r="F44" s="863">
        <f>SUMIF(126:126,E44,127:127)-SUMIF(126:126,C44,127:127)+100</f>
        <v>100</v>
      </c>
      <c r="G44" s="3198"/>
      <c r="H44" s="875">
        <f>SUMIF(126:126,G44,127:127)-SUMIF(126:126,C44,127:127)+100</f>
        <v>100</v>
      </c>
      <c r="I44" s="880"/>
      <c r="J44" s="255">
        <f>SUMIF(126:126,I44,127:127)-SUMIF(126:126,C44,127:127)+100</f>
        <v>100</v>
      </c>
      <c r="K44" s="865"/>
      <c r="L44" s="2136"/>
      <c r="M44" s="2137"/>
      <c r="N44" s="2137"/>
      <c r="O44" s="2138"/>
      <c r="P44" s="3614"/>
      <c r="Q44" s="1151">
        <f t="shared" si="11"/>
        <v>0</v>
      </c>
      <c r="R44" s="1568" t="s">
        <v>11</v>
      </c>
      <c r="S44" s="1569">
        <f t="shared" si="12"/>
        <v>100</v>
      </c>
      <c r="T44" s="1568" t="s">
        <v>11</v>
      </c>
      <c r="U44" s="1569">
        <f t="shared" si="13"/>
        <v>100</v>
      </c>
      <c r="V44" s="1568" t="s">
        <v>11</v>
      </c>
      <c r="W44" s="1569">
        <f t="shared" si="14"/>
        <v>100</v>
      </c>
      <c r="X44" s="1570"/>
      <c r="Y44" s="3614"/>
      <c r="Z44" s="1150">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14"/>
      <c r="Q45" s="1572">
        <f t="shared" si="11"/>
        <v>0</v>
      </c>
      <c r="R45" s="1573" t="s">
        <v>11</v>
      </c>
      <c r="S45" s="1574">
        <f t="shared" si="12"/>
        <v>100</v>
      </c>
      <c r="T45" s="1573" t="s">
        <v>11</v>
      </c>
      <c r="U45" s="1574">
        <f t="shared" si="13"/>
        <v>100</v>
      </c>
      <c r="V45" s="1573" t="s">
        <v>11</v>
      </c>
      <c r="W45" s="1574">
        <f t="shared" si="14"/>
        <v>100</v>
      </c>
      <c r="X45" s="1567"/>
      <c r="Y45" s="3614"/>
      <c r="Z45" s="1575">
        <f t="shared" si="15"/>
        <v>0</v>
      </c>
      <c r="AA45" s="1576">
        <f t="shared" si="3"/>
        <v>1</v>
      </c>
      <c r="AB45" s="1576">
        <f t="shared" si="4"/>
        <v>1</v>
      </c>
      <c r="AC45" s="1576">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691"/>
      <c r="Q46" s="1572">
        <f t="shared" si="11"/>
        <v>0</v>
      </c>
      <c r="R46" s="1573" t="s">
        <v>10</v>
      </c>
      <c r="S46" s="1574">
        <f t="shared" si="12"/>
        <v>100</v>
      </c>
      <c r="T46" s="1573" t="s">
        <v>10</v>
      </c>
      <c r="U46" s="1574">
        <f t="shared" si="13"/>
        <v>100</v>
      </c>
      <c r="V46" s="1573" t="s">
        <v>10</v>
      </c>
      <c r="W46" s="1574">
        <f t="shared" si="14"/>
        <v>100</v>
      </c>
      <c r="X46" s="1567"/>
      <c r="Y46" s="3691"/>
      <c r="Z46" s="1575">
        <f t="shared" si="15"/>
        <v>0</v>
      </c>
      <c r="AA46" s="1576">
        <f t="shared" si="3"/>
        <v>1</v>
      </c>
      <c r="AB46" s="1576">
        <f t="shared" si="4"/>
        <v>1</v>
      </c>
      <c r="AC46" s="1576">
        <f t="shared" si="5"/>
        <v>1</v>
      </c>
    </row>
    <row r="47" spans="1:29" ht="15">
      <c r="A47" s="607" t="s">
        <v>735</v>
      </c>
      <c r="B47" s="887"/>
      <c r="C47" s="2652" t="s">
        <v>9</v>
      </c>
      <c r="D47" s="2653"/>
      <c r="E47" s="2654">
        <f>ROUND(7200*0.95,0)</f>
        <v>6840</v>
      </c>
      <c r="F47" s="2655"/>
      <c r="G47" s="2656">
        <f>ROUND(8500*0.95,0)</f>
        <v>8075</v>
      </c>
      <c r="H47" s="2657"/>
      <c r="I47" s="2654">
        <f>ROUND(7000*0.95,0)</f>
        <v>6650</v>
      </c>
      <c r="J47" s="2657"/>
      <c r="K47" s="1606"/>
      <c r="L47" s="2145"/>
      <c r="M47" s="2146"/>
      <c r="N47" s="2135"/>
      <c r="O47" s="2146"/>
      <c r="P47" s="3575" t="str">
        <f>A47</f>
        <v>成交单价（元/平方米）</v>
      </c>
      <c r="Q47" s="3575"/>
      <c r="R47" s="3690">
        <f>E47</f>
        <v>6840</v>
      </c>
      <c r="S47" s="3690"/>
      <c r="T47" s="3690">
        <f>G47</f>
        <v>8075</v>
      </c>
      <c r="U47" s="3690"/>
      <c r="V47" s="3690">
        <f>I47</f>
        <v>6650</v>
      </c>
      <c r="W47" s="3690"/>
      <c r="X47" s="1559"/>
      <c r="Y47" s="1581"/>
      <c r="Z47" s="1559"/>
      <c r="AA47" s="1559"/>
      <c r="AB47" s="1559"/>
      <c r="AC47" s="1559"/>
    </row>
    <row r="48" spans="1:29" ht="15.75" thickBot="1">
      <c r="A48" s="615" t="s">
        <v>2759</v>
      </c>
      <c r="B48" s="888"/>
      <c r="C48" s="2658">
        <f>R49</f>
        <v>7306</v>
      </c>
      <c r="D48" s="2659"/>
      <c r="E48" s="2660">
        <f>R48</f>
        <v>7573</v>
      </c>
      <c r="F48" s="2660"/>
      <c r="G48" s="2658">
        <f>T48</f>
        <v>7127</v>
      </c>
      <c r="H48" s="2659"/>
      <c r="I48" s="2660">
        <f>V48</f>
        <v>7217</v>
      </c>
      <c r="J48" s="2659"/>
      <c r="K48" s="1607"/>
      <c r="L48" s="2145"/>
      <c r="M48" s="2146"/>
      <c r="N48" s="2146"/>
      <c r="O48" s="2146"/>
      <c r="P48" s="3575" t="str">
        <f>A48</f>
        <v>比较价格（元/平方米）</v>
      </c>
      <c r="Q48" s="3575"/>
      <c r="R48" s="3690">
        <f>IF(F1="售价",ROUND(PRODUCT(R47,AA7:AA46),0),ROUND(PRODUCT(R47,AA7:AA46),1))</f>
        <v>7573</v>
      </c>
      <c r="S48" s="3690"/>
      <c r="T48" s="3690">
        <f>IF(F1="售价",ROUND(PRODUCT(T47,AB7:AB46),0),ROUND(PRODUCT(T47,AB7:AB46),1))</f>
        <v>7127</v>
      </c>
      <c r="U48" s="3690"/>
      <c r="V48" s="3690">
        <f>IF(F1="售价",ROUND(PRODUCT(V47,AC7:AC46),0),ROUND(PRODUCT(V47,AC7:AC46),1))</f>
        <v>7217</v>
      </c>
      <c r="W48" s="3690"/>
      <c r="X48" s="1559"/>
      <c r="Y48" s="1559"/>
      <c r="Z48" s="1559"/>
      <c r="AA48" s="1559"/>
      <c r="AB48" s="1559"/>
      <c r="AC48" s="1559"/>
    </row>
    <row r="49" spans="1:29" ht="15.75" thickBot="1">
      <c r="A49" s="621" t="s">
        <v>2926</v>
      </c>
      <c r="B49" s="622"/>
      <c r="C49" s="2661">
        <f>R49</f>
        <v>7306</v>
      </c>
      <c r="D49" s="2661"/>
      <c r="E49" s="2661"/>
      <c r="F49" s="2661"/>
      <c r="G49" s="2661"/>
      <c r="H49" s="2661"/>
      <c r="I49" s="2661"/>
      <c r="J49" s="2661"/>
      <c r="K49" s="1608"/>
      <c r="L49" s="2145"/>
      <c r="M49" s="2146"/>
      <c r="N49" s="2146"/>
      <c r="O49" s="2146"/>
      <c r="P49" s="3572" t="str">
        <f>A49</f>
        <v>估价对象XX用房的比较价格（楼面单价，元/平方米）</v>
      </c>
      <c r="Q49" s="3573"/>
      <c r="R49" s="3689">
        <f>IF(F1="售价",ROUND(AVERAGE(R48:V48),0),ROUND(AVERAGE(R48:V48),1))</f>
        <v>7306</v>
      </c>
      <c r="S49" s="3689"/>
      <c r="T49" s="3689"/>
      <c r="U49" s="3689"/>
      <c r="V49" s="3689"/>
      <c r="W49" s="3689"/>
      <c r="X49" s="1559"/>
      <c r="Y49" s="1559"/>
      <c r="Z49" s="1559"/>
      <c r="AA49" s="1559"/>
      <c r="AB49" s="1559"/>
      <c r="AC49" s="1559"/>
    </row>
    <row r="50" spans="1:29">
      <c r="A50" s="2146"/>
      <c r="B50" s="2146"/>
      <c r="C50" s="2146"/>
      <c r="D50" s="2146"/>
      <c r="E50" s="2146"/>
      <c r="F50" s="2146"/>
      <c r="G50" s="2149">
        <v>0.01</v>
      </c>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0.10716374269005846</v>
      </c>
      <c r="F52" s="627" t="str">
        <f>IF(OR(E52&gt;=0.3,E52&lt;=-0.3),"超过30%","")</f>
        <v/>
      </c>
      <c r="G52" s="626">
        <f>IF(G47&lt;G48,G48/G47-1,G47/G48-1)</f>
        <v>0.13301529395257461</v>
      </c>
      <c r="H52" s="627" t="str">
        <f>IF(OR(G52&gt;=0.3,G52&lt;=-0.3),"超过30%","")</f>
        <v/>
      </c>
      <c r="I52" s="626">
        <f>IF(I47&lt;I48,I48/I47-1,I47/I48-1)</f>
        <v>8.526315789473693E-2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6.2578925213975012E-2</v>
      </c>
      <c r="F53" s="627" t="str">
        <f>IF(OR(E53&gt;=0.2,E53&lt;=-0.2),"超过20%","")</f>
        <v/>
      </c>
      <c r="G53" s="626">
        <f>IF(G48&lt;I48,I48/G48-1,G48/I48-1)</f>
        <v>1.2628034236003893E-2</v>
      </c>
      <c r="H53" s="627" t="str">
        <f>IF(OR(G53&gt;=0.2,G53&lt;=-0.2),"超过20%","")</f>
        <v/>
      </c>
      <c r="I53" s="626">
        <f>IF(I48&lt;E48,E48/I48-1,I48/E48-1)</f>
        <v>4.9327975613135733E-2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0.18055555555555558</v>
      </c>
      <c r="F54" s="627" t="str">
        <f>IF(OR(E54&gt;=0.3,E54&lt;=-0.3),"超过30%","")</f>
        <v/>
      </c>
      <c r="G54" s="626">
        <f>IF(G47&lt;I47,I47/G47-1,G47/I47-1)</f>
        <v>0.21428571428571419</v>
      </c>
      <c r="H54" s="627" t="str">
        <f>IF(OR(G54&gt;=0.3,G54&lt;=-0.3),"超过30%","")</f>
        <v/>
      </c>
      <c r="I54" s="626">
        <f>IF(I47&lt;E47,E47/I47-1,I47/E47-1)</f>
        <v>2.857142857142847E-2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f>C59-C60</f>
        <v>99.5</v>
      </c>
      <c r="E59" s="650">
        <f t="shared" ref="E59:G59" si="17">D59-D60</f>
        <v>99.5</v>
      </c>
      <c r="F59" s="650">
        <f t="shared" si="17"/>
        <v>99.5</v>
      </c>
      <c r="G59" s="650">
        <f t="shared" si="17"/>
        <v>99.5</v>
      </c>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v>0.5</v>
      </c>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8.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29.25" thickTop="1">
      <c r="A67" s="669"/>
      <c r="B67" s="681" t="s">
        <v>538</v>
      </c>
      <c r="C67" s="682" t="str">
        <f>C68&amp;"（含）"&amp;"-"&amp;D68</f>
        <v>1（含）-2</v>
      </c>
      <c r="D67" s="682" t="str">
        <f t="shared" ref="D67:L67" si="19">D68&amp;"（含）"&amp;"-"&amp;E68</f>
        <v>2（含）-3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3194"/>
      <c r="D86" s="3194"/>
      <c r="E86" s="3194"/>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楼层</v>
      </c>
      <c r="C90" s="3194" t="s">
        <v>3045</v>
      </c>
      <c r="D90" s="3194" t="s">
        <v>3046</v>
      </c>
      <c r="E90" s="3194" t="s">
        <v>3047</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101</v>
      </c>
      <c r="E91" s="692">
        <v>102</v>
      </c>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551</v>
      </c>
      <c r="B100" s="665" t="s">
        <v>746</v>
      </c>
      <c r="C100" s="3193" t="s">
        <v>3030</v>
      </c>
      <c r="D100" s="3193" t="s">
        <v>3031</v>
      </c>
      <c r="E100" s="3193" t="s">
        <v>3032</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67"/>
      <c r="O101" s="2167"/>
      <c r="P101" s="2166"/>
      <c r="Q101" s="2159"/>
      <c r="R101" s="2146"/>
      <c r="S101" s="2146"/>
      <c r="T101" s="2146"/>
      <c r="U101" s="2146"/>
      <c r="V101" s="2146"/>
      <c r="W101" s="2146"/>
      <c r="X101" s="2146"/>
      <c r="Y101" s="2146"/>
      <c r="Z101" s="2146"/>
      <c r="AA101" s="2146"/>
      <c r="AB101" s="2146"/>
      <c r="AC101" s="2146"/>
    </row>
    <row r="102" spans="1:29" ht="43.5" thickTop="1">
      <c r="A102" s="669"/>
      <c r="B102" s="673" t="s">
        <v>747</v>
      </c>
      <c r="C102" s="708" t="str">
        <f>C103&amp;"(含)"&amp;"-"&amp;D103</f>
        <v>0(含)-500000</v>
      </c>
      <c r="D102" s="708" t="str">
        <f t="shared" ref="D102:L102" si="24">D103&amp;"(含)"&amp;"-"&amp;E103</f>
        <v>500000(含)-1000000</v>
      </c>
      <c r="E102" s="708" t="str">
        <f t="shared" si="24"/>
        <v>1000000(含)-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4" t="s">
        <v>3033</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96" t="s">
        <v>3035</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4" t="s">
        <v>3037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9" customFormat="1" ht="29.2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4" t="s">
        <v>3039</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3040</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196" t="s">
        <v>3042</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97</v>
      </c>
      <c r="E119" s="679">
        <f t="shared" si="29"/>
        <v>94</v>
      </c>
      <c r="F119" s="679">
        <f t="shared" si="29"/>
        <v>91</v>
      </c>
      <c r="G119" s="679">
        <f t="shared" si="29"/>
        <v>88</v>
      </c>
      <c r="H119" s="679">
        <f t="shared" si="29"/>
        <v>85</v>
      </c>
      <c r="I119" s="679">
        <f t="shared" si="29"/>
        <v>82</v>
      </c>
      <c r="J119" s="679">
        <f t="shared" si="29"/>
        <v>79</v>
      </c>
      <c r="K119" s="679">
        <f t="shared" si="29"/>
        <v>76</v>
      </c>
      <c r="L119" s="679">
        <f t="shared" si="29"/>
        <v>73</v>
      </c>
      <c r="M119" s="679">
        <f t="shared" si="29"/>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94" t="s">
        <v>3044</v>
      </c>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G131" sqref="C126:G131"/>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756</v>
      </c>
      <c r="C1" s="504" t="s">
        <v>720</v>
      </c>
      <c r="D1" s="2371"/>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581" t="s">
        <v>522</v>
      </c>
      <c r="D4" s="3582"/>
      <c r="E4" s="3618" t="s">
        <v>523</v>
      </c>
      <c r="F4" s="3619"/>
      <c r="G4" s="3581" t="s">
        <v>524</v>
      </c>
      <c r="H4" s="3582"/>
      <c r="I4" s="3581" t="s">
        <v>525</v>
      </c>
      <c r="J4" s="3582"/>
      <c r="K4" s="514" t="s">
        <v>526</v>
      </c>
      <c r="L4" s="2134"/>
      <c r="M4" s="2135"/>
      <c r="N4" s="2135"/>
      <c r="O4" s="2135"/>
      <c r="P4" s="3583" t="s">
        <v>527</v>
      </c>
      <c r="Q4" s="3584"/>
      <c r="R4" s="3589" t="s">
        <v>523</v>
      </c>
      <c r="S4" s="3590"/>
      <c r="T4" s="3589" t="s">
        <v>524</v>
      </c>
      <c r="U4" s="3590"/>
      <c r="V4" s="3576" t="s">
        <v>525</v>
      </c>
      <c r="W4" s="3576"/>
      <c r="X4" s="1567"/>
      <c r="Y4" s="3589" t="s">
        <v>527</v>
      </c>
      <c r="Z4" s="3590"/>
      <c r="AA4" s="3578" t="s">
        <v>523</v>
      </c>
      <c r="AB4" s="3576" t="s">
        <v>524</v>
      </c>
      <c r="AC4" s="3578" t="s">
        <v>525</v>
      </c>
    </row>
    <row r="5" spans="1:29" ht="15">
      <c r="A5" s="515"/>
      <c r="B5" s="516"/>
      <c r="C5" s="3599" t="s">
        <v>2920</v>
      </c>
      <c r="D5" s="3598"/>
      <c r="E5" s="3620" t="s">
        <v>2921</v>
      </c>
      <c r="F5" s="3621"/>
      <c r="G5" s="3599" t="s">
        <v>2922</v>
      </c>
      <c r="H5" s="3598"/>
      <c r="I5" s="3599" t="s">
        <v>2923</v>
      </c>
      <c r="J5" s="3598"/>
      <c r="K5" s="514"/>
      <c r="L5" s="2134"/>
      <c r="M5" s="2135"/>
      <c r="N5" s="2135"/>
      <c r="O5" s="2135"/>
      <c r="P5" s="3585"/>
      <c r="Q5" s="3586"/>
      <c r="R5" s="3591"/>
      <c r="S5" s="3592"/>
      <c r="T5" s="3591"/>
      <c r="U5" s="3592"/>
      <c r="V5" s="3576"/>
      <c r="W5" s="3576"/>
      <c r="X5" s="1567"/>
      <c r="Y5" s="3591"/>
      <c r="Z5" s="3592"/>
      <c r="AA5" s="3579"/>
      <c r="AB5" s="3576"/>
      <c r="AC5" s="3579"/>
    </row>
    <row r="6" spans="1:29" ht="15.75" thickBot="1">
      <c r="A6" s="517"/>
      <c r="B6" s="518"/>
      <c r="C6" s="3615" t="s">
        <v>2924</v>
      </c>
      <c r="D6" s="3596"/>
      <c r="E6" s="3616" t="s">
        <v>2924</v>
      </c>
      <c r="F6" s="3617"/>
      <c r="G6" s="3615" t="s">
        <v>2924</v>
      </c>
      <c r="H6" s="3596"/>
      <c r="I6" s="3615" t="s">
        <v>2924</v>
      </c>
      <c r="J6" s="3596"/>
      <c r="K6" s="514" t="s">
        <v>528</v>
      </c>
      <c r="L6" s="2134"/>
      <c r="M6" s="2135"/>
      <c r="N6" s="2135"/>
      <c r="O6" s="2135"/>
      <c r="P6" s="3587"/>
      <c r="Q6" s="3588"/>
      <c r="R6" s="3591"/>
      <c r="S6" s="3592"/>
      <c r="T6" s="3593"/>
      <c r="U6" s="3594"/>
      <c r="V6" s="3576"/>
      <c r="W6" s="3576"/>
      <c r="X6" s="1567"/>
      <c r="Y6" s="3593"/>
      <c r="Z6" s="3594"/>
      <c r="AA6" s="3580"/>
      <c r="AB6" s="3576"/>
      <c r="AC6" s="3580"/>
    </row>
    <row r="7" spans="1:29" s="1220" customFormat="1" ht="15.75" thickBot="1">
      <c r="A7" s="2937"/>
      <c r="B7" s="2944" t="s">
        <v>529</v>
      </c>
      <c r="C7" s="519">
        <f>'数据-取费表'!B2</f>
        <v>43236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08" t="s">
        <v>530</v>
      </c>
      <c r="Q7" s="3610"/>
      <c r="R7" s="1568" t="s">
        <v>8</v>
      </c>
      <c r="S7" s="1569">
        <f t="shared" ref="S7:S15" si="0">F7</f>
        <v>0</v>
      </c>
      <c r="T7" s="1568" t="s">
        <v>8</v>
      </c>
      <c r="U7" s="1569">
        <f t="shared" ref="U7:U15" si="1">H7</f>
        <v>0</v>
      </c>
      <c r="V7" s="1568" t="s">
        <v>8</v>
      </c>
      <c r="W7" s="1569">
        <f t="shared" ref="W7:W15" si="2">J7</f>
        <v>0</v>
      </c>
      <c r="X7" s="1570"/>
      <c r="Y7" s="3608" t="s">
        <v>530</v>
      </c>
      <c r="Z7" s="3609"/>
      <c r="AA7" s="1571" t="e">
        <f>D7/F7</f>
        <v>#DIV/0!</v>
      </c>
      <c r="AB7" s="1571" t="e">
        <f>D7/H7</f>
        <v>#DIV/0!</v>
      </c>
      <c r="AC7" s="1571"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08" t="s">
        <v>533</v>
      </c>
      <c r="Q8" s="3609"/>
      <c r="R8" s="1568" t="s">
        <v>8</v>
      </c>
      <c r="S8" s="1569">
        <f t="shared" si="0"/>
        <v>0</v>
      </c>
      <c r="T8" s="1568" t="s">
        <v>8</v>
      </c>
      <c r="U8" s="1569">
        <f t="shared" si="1"/>
        <v>0</v>
      </c>
      <c r="V8" s="1568" t="s">
        <v>8</v>
      </c>
      <c r="W8" s="1569">
        <f t="shared" si="2"/>
        <v>0</v>
      </c>
      <c r="X8" s="1570"/>
      <c r="Y8" s="3608" t="s">
        <v>533</v>
      </c>
      <c r="Z8" s="3609"/>
      <c r="AA8" s="1571" t="e">
        <f t="shared" ref="AA8:AA46" si="3">D8/F8</f>
        <v>#DIV/0!</v>
      </c>
      <c r="AB8" s="1571" t="e">
        <f t="shared" ref="AB8:AB46" si="4">D8/H8</f>
        <v>#DIV/0!</v>
      </c>
      <c r="AC8" s="1571" t="e">
        <f t="shared" ref="AC8:AC46" si="5">D8/J8</f>
        <v>#DIV/0!</v>
      </c>
    </row>
    <row r="9" spans="1:29" s="1220" customFormat="1" ht="15">
      <c r="A9" s="2939"/>
      <c r="B9" s="2946"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575" t="s">
        <v>535</v>
      </c>
      <c r="Q9" s="1151" t="str">
        <f t="shared" ref="Q9:Q15" si="6">B9</f>
        <v>用途</v>
      </c>
      <c r="R9" s="1568" t="s">
        <v>8</v>
      </c>
      <c r="S9" s="1569">
        <f t="shared" si="0"/>
        <v>100</v>
      </c>
      <c r="T9" s="1568" t="s">
        <v>8</v>
      </c>
      <c r="U9" s="1569">
        <f t="shared" si="1"/>
        <v>100</v>
      </c>
      <c r="V9" s="1568" t="s">
        <v>8</v>
      </c>
      <c r="W9" s="1569">
        <f t="shared" si="2"/>
        <v>100</v>
      </c>
      <c r="X9" s="1570"/>
      <c r="Y9" s="3521" t="s">
        <v>536</v>
      </c>
      <c r="Z9" s="1150" t="str">
        <f t="shared" ref="Z9:Z15" si="7">Q9</f>
        <v>用途</v>
      </c>
      <c r="AA9" s="1571">
        <f t="shared" si="3"/>
        <v>1</v>
      </c>
      <c r="AB9" s="1571">
        <f t="shared" si="4"/>
        <v>1</v>
      </c>
      <c r="AC9" s="1571">
        <f t="shared" si="5"/>
        <v>1</v>
      </c>
    </row>
    <row r="10" spans="1:29" s="1338" customFormat="1" ht="27">
      <c r="A10" s="2940"/>
      <c r="B10" s="2945"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575"/>
      <c r="Q10" s="1151" t="str">
        <f t="shared" si="6"/>
        <v>土地使用年限（年）</v>
      </c>
      <c r="R10" s="1568" t="s">
        <v>8</v>
      </c>
      <c r="S10" s="1569">
        <f t="shared" si="0"/>
        <v>100</v>
      </c>
      <c r="T10" s="1568" t="s">
        <v>8</v>
      </c>
      <c r="U10" s="1569">
        <f t="shared" si="1"/>
        <v>100</v>
      </c>
      <c r="V10" s="1568" t="s">
        <v>8</v>
      </c>
      <c r="W10" s="1569">
        <f t="shared" si="2"/>
        <v>100</v>
      </c>
      <c r="X10" s="1570"/>
      <c r="Y10" s="3521"/>
      <c r="Z10" s="1150" t="str">
        <f t="shared" si="7"/>
        <v>土地使用年限（年）</v>
      </c>
      <c r="AA10" s="1571">
        <f t="shared" si="3"/>
        <v>1</v>
      </c>
      <c r="AB10" s="1571">
        <f t="shared" si="4"/>
        <v>1</v>
      </c>
      <c r="AC10" s="1571">
        <f t="shared" si="5"/>
        <v>1</v>
      </c>
    </row>
    <row r="11" spans="1:29" ht="15">
      <c r="A11" s="2941"/>
      <c r="B11" s="294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575"/>
      <c r="Q11" s="1151" t="str">
        <f t="shared" si="6"/>
        <v>容积率</v>
      </c>
      <c r="R11" s="1568" t="s">
        <v>8</v>
      </c>
      <c r="S11" s="1569" t="e">
        <f t="shared" si="0"/>
        <v>#N/A</v>
      </c>
      <c r="T11" s="1568" t="s">
        <v>8</v>
      </c>
      <c r="U11" s="1569" t="e">
        <f t="shared" si="1"/>
        <v>#N/A</v>
      </c>
      <c r="V11" s="1568" t="s">
        <v>8</v>
      </c>
      <c r="W11" s="1569" t="e">
        <f t="shared" si="2"/>
        <v>#N/A</v>
      </c>
      <c r="X11" s="1570"/>
      <c r="Y11" s="352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575"/>
      <c r="Q12" s="1151">
        <f t="shared" si="6"/>
        <v>111</v>
      </c>
      <c r="R12" s="1568" t="s">
        <v>8</v>
      </c>
      <c r="S12" s="1569">
        <f t="shared" si="0"/>
        <v>100</v>
      </c>
      <c r="T12" s="1568" t="s">
        <v>8</v>
      </c>
      <c r="U12" s="1569">
        <f t="shared" si="1"/>
        <v>100</v>
      </c>
      <c r="V12" s="1568" t="s">
        <v>8</v>
      </c>
      <c r="W12" s="1569">
        <f t="shared" si="2"/>
        <v>100</v>
      </c>
      <c r="X12" s="1570"/>
      <c r="Y12" s="3521"/>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575"/>
      <c r="Q13" s="1151">
        <f t="shared" si="6"/>
        <v>111</v>
      </c>
      <c r="R13" s="1568" t="s">
        <v>8</v>
      </c>
      <c r="S13" s="1569">
        <f t="shared" si="0"/>
        <v>100</v>
      </c>
      <c r="T13" s="1568" t="s">
        <v>8</v>
      </c>
      <c r="U13" s="1569">
        <f t="shared" si="1"/>
        <v>100</v>
      </c>
      <c r="V13" s="1568" t="s">
        <v>8</v>
      </c>
      <c r="W13" s="1569">
        <f t="shared" si="2"/>
        <v>100</v>
      </c>
      <c r="X13" s="1570"/>
      <c r="Y13" s="3521"/>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575"/>
      <c r="Q14" s="1151">
        <f t="shared" si="6"/>
        <v>111</v>
      </c>
      <c r="R14" s="1568" t="s">
        <v>8</v>
      </c>
      <c r="S14" s="1569">
        <f t="shared" si="0"/>
        <v>100</v>
      </c>
      <c r="T14" s="1568" t="s">
        <v>8</v>
      </c>
      <c r="U14" s="1569">
        <f t="shared" si="1"/>
        <v>100</v>
      </c>
      <c r="V14" s="1568" t="s">
        <v>8</v>
      </c>
      <c r="W14" s="1569">
        <f t="shared" si="2"/>
        <v>100</v>
      </c>
      <c r="X14" s="1570"/>
      <c r="Y14" s="3521"/>
      <c r="Z14" s="1150">
        <f t="shared" si="7"/>
        <v>111</v>
      </c>
      <c r="AA14" s="1571">
        <f t="shared" si="3"/>
        <v>1</v>
      </c>
      <c r="AB14" s="1571">
        <f t="shared" si="4"/>
        <v>1</v>
      </c>
      <c r="AC14" s="1571">
        <f t="shared" si="5"/>
        <v>1</v>
      </c>
    </row>
    <row r="15" spans="1:29" ht="85.5">
      <c r="A15" s="2935" t="s">
        <v>2753</v>
      </c>
      <c r="B15" s="166" t="s">
        <v>541</v>
      </c>
      <c r="C15" s="867" t="str">
        <f>估价对象房地状况!C4</f>
        <v>XX商圈，周边商业氛围，人流量（城乡一体化示范区 住宅底商 氛围较差 人流量较少）</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11" t="s">
        <v>540</v>
      </c>
      <c r="Q15" s="1572" t="str">
        <f t="shared" si="6"/>
        <v>商业繁华度</v>
      </c>
      <c r="R15" s="1573" t="s">
        <v>8</v>
      </c>
      <c r="S15" s="1574">
        <f t="shared" si="0"/>
        <v>100</v>
      </c>
      <c r="T15" s="1573" t="s">
        <v>8</v>
      </c>
      <c r="U15" s="1574">
        <f t="shared" si="1"/>
        <v>100</v>
      </c>
      <c r="V15" s="1573" t="s">
        <v>8</v>
      </c>
      <c r="W15" s="1574">
        <f t="shared" si="2"/>
        <v>100</v>
      </c>
      <c r="X15" s="1567"/>
      <c r="Y15" s="3611"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12"/>
      <c r="Q16" s="1572"/>
      <c r="R16" s="1573"/>
      <c r="S16" s="1574"/>
      <c r="T16" s="1573"/>
      <c r="U16" s="1574"/>
      <c r="V16" s="1573"/>
      <c r="W16" s="1574"/>
      <c r="X16" s="1567"/>
      <c r="Y16" s="3612"/>
      <c r="Z16" s="1575"/>
      <c r="AA16" s="1576">
        <v>1</v>
      </c>
      <c r="AB16" s="1576">
        <v>1</v>
      </c>
      <c r="AC16" s="1576">
        <v>1</v>
      </c>
    </row>
    <row r="17" spans="1:29" ht="128.25">
      <c r="A17" s="532"/>
      <c r="B17" s="871" t="s">
        <v>296</v>
      </c>
      <c r="C17" s="872" t="str">
        <f>估价对象房地状况!C6</f>
        <v>周边道路状况、公共交通通达情况、停车便捷程度（北至文峰大道 南至文明大道 均为城市主干道 南距安阳东站直线1.5公里 y1路 11路 16路）</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12"/>
      <c r="Q17" s="1572" t="str">
        <f>B17</f>
        <v>交通便捷度</v>
      </c>
      <c r="R17" s="1573" t="s">
        <v>8</v>
      </c>
      <c r="S17" s="1574">
        <f>F17</f>
        <v>100</v>
      </c>
      <c r="T17" s="1573" t="s">
        <v>8</v>
      </c>
      <c r="U17" s="1574">
        <f>H17</f>
        <v>100</v>
      </c>
      <c r="V17" s="1573" t="s">
        <v>8</v>
      </c>
      <c r="W17" s="1574">
        <f>J17</f>
        <v>100</v>
      </c>
      <c r="X17" s="1567"/>
      <c r="Y17" s="361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12"/>
      <c r="Q18" s="1572"/>
      <c r="R18" s="1573"/>
      <c r="S18" s="1574"/>
      <c r="T18" s="1573"/>
      <c r="U18" s="1574"/>
      <c r="V18" s="1573"/>
      <c r="W18" s="1574"/>
      <c r="X18" s="1567"/>
      <c r="Y18" s="3612"/>
      <c r="Z18" s="1575"/>
      <c r="AA18" s="1576">
        <v>1</v>
      </c>
      <c r="AB18" s="1576">
        <v>1</v>
      </c>
      <c r="AC18" s="1576">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12"/>
      <c r="Q19" s="1572" t="str">
        <f>B19</f>
        <v>公共配套设施</v>
      </c>
      <c r="R19" s="1573" t="s">
        <v>8</v>
      </c>
      <c r="S19" s="1574">
        <f>F19</f>
        <v>100</v>
      </c>
      <c r="T19" s="1573" t="s">
        <v>8</v>
      </c>
      <c r="U19" s="1574">
        <f>H19</f>
        <v>100</v>
      </c>
      <c r="V19" s="1573" t="s">
        <v>8</v>
      </c>
      <c r="W19" s="1574">
        <f>J19</f>
        <v>100</v>
      </c>
      <c r="X19" s="1567"/>
      <c r="Y19" s="361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612"/>
      <c r="Q20" s="1572"/>
      <c r="R20" s="1573"/>
      <c r="S20" s="1574"/>
      <c r="T20" s="1573"/>
      <c r="U20" s="1574"/>
      <c r="V20" s="1573"/>
      <c r="W20" s="1574"/>
      <c r="X20" s="1567"/>
      <c r="Y20" s="3612"/>
      <c r="Z20" s="1575"/>
      <c r="AA20" s="1576">
        <v>1</v>
      </c>
      <c r="AB20" s="1576">
        <v>1</v>
      </c>
      <c r="AC20" s="1576">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12"/>
      <c r="Q21" s="2604" t="str">
        <f>B21</f>
        <v>基础设施水平</v>
      </c>
      <c r="R21" s="1573" t="s">
        <v>8</v>
      </c>
      <c r="S21" s="1574">
        <f>F21</f>
        <v>100</v>
      </c>
      <c r="T21" s="1573" t="s">
        <v>8</v>
      </c>
      <c r="U21" s="1574">
        <f>H21</f>
        <v>100</v>
      </c>
      <c r="V21" s="1573" t="s">
        <v>8</v>
      </c>
      <c r="W21" s="1574">
        <f>J21</f>
        <v>100</v>
      </c>
      <c r="X21" s="2606"/>
      <c r="Y21" s="3612"/>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612"/>
      <c r="Q22" s="2604"/>
      <c r="R22" s="1573"/>
      <c r="S22" s="1574"/>
      <c r="T22" s="1573"/>
      <c r="U22" s="1574"/>
      <c r="V22" s="1573"/>
      <c r="W22" s="1574"/>
      <c r="X22" s="2606"/>
      <c r="Y22" s="3612"/>
      <c r="Z22" s="2605"/>
      <c r="AA22" s="1576">
        <v>1</v>
      </c>
      <c r="AB22" s="1576">
        <v>1</v>
      </c>
      <c r="AC22" s="1576">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12"/>
      <c r="Q23" s="1572" t="str">
        <f>B23</f>
        <v>自然及人文环境</v>
      </c>
      <c r="R23" s="1573" t="s">
        <v>8</v>
      </c>
      <c r="S23" s="1574">
        <f>F23</f>
        <v>100</v>
      </c>
      <c r="T23" s="1573" t="s">
        <v>8</v>
      </c>
      <c r="U23" s="1574">
        <f>H23</f>
        <v>100</v>
      </c>
      <c r="V23" s="1573" t="s">
        <v>8</v>
      </c>
      <c r="W23" s="1574">
        <f>J23</f>
        <v>100</v>
      </c>
      <c r="X23" s="1567"/>
      <c r="Y23" s="361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612"/>
      <c r="Q24" s="1572"/>
      <c r="R24" s="1573"/>
      <c r="S24" s="1574"/>
      <c r="T24" s="1573"/>
      <c r="U24" s="1574"/>
      <c r="V24" s="1573"/>
      <c r="W24" s="1574"/>
      <c r="X24" s="1567"/>
      <c r="Y24" s="3612"/>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12"/>
      <c r="Q25" s="1572" t="str">
        <f t="shared" ref="Q25:Q46" si="11">B25</f>
        <v>临街状况</v>
      </c>
      <c r="R25" s="1573" t="s">
        <v>8</v>
      </c>
      <c r="S25" s="1574">
        <f>F25</f>
        <v>100</v>
      </c>
      <c r="T25" s="1573" t="s">
        <v>8</v>
      </c>
      <c r="U25" s="1574">
        <f>H25</f>
        <v>100</v>
      </c>
      <c r="V25" s="1573" t="s">
        <v>8</v>
      </c>
      <c r="W25" s="1574">
        <f>J25</f>
        <v>100</v>
      </c>
      <c r="X25" s="1567"/>
      <c r="Y25" s="3612"/>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12"/>
      <c r="Q26" s="1572" t="str">
        <f t="shared" si="11"/>
        <v>平面位置/可视性</v>
      </c>
      <c r="R26" s="1573" t="s">
        <v>8</v>
      </c>
      <c r="S26" s="1574">
        <f>F26</f>
        <v>100</v>
      </c>
      <c r="T26" s="1573" t="s">
        <v>8</v>
      </c>
      <c r="U26" s="1574">
        <f>H26</f>
        <v>100</v>
      </c>
      <c r="V26" s="1573" t="s">
        <v>8</v>
      </c>
      <c r="W26" s="1574">
        <f>J26</f>
        <v>100</v>
      </c>
      <c r="X26" s="1567"/>
      <c r="Y26" s="3612"/>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12"/>
      <c r="Q27" s="1151" t="str">
        <f t="shared" si="11"/>
        <v>人流量</v>
      </c>
      <c r="R27" s="1568" t="s">
        <v>8</v>
      </c>
      <c r="S27" s="1569">
        <f>F27</f>
        <v>100</v>
      </c>
      <c r="T27" s="1568" t="s">
        <v>8</v>
      </c>
      <c r="U27" s="1569">
        <f>H27</f>
        <v>100</v>
      </c>
      <c r="V27" s="1568" t="s">
        <v>8</v>
      </c>
      <c r="W27" s="1569">
        <f>J27</f>
        <v>100</v>
      </c>
      <c r="X27" s="1570"/>
      <c r="Y27" s="3612"/>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1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1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12"/>
      <c r="Q29" s="1572">
        <f t="shared" si="11"/>
        <v>111</v>
      </c>
      <c r="R29" s="1573" t="s">
        <v>8</v>
      </c>
      <c r="S29" s="1574">
        <f t="shared" si="12"/>
        <v>100</v>
      </c>
      <c r="T29" s="1573" t="s">
        <v>8</v>
      </c>
      <c r="U29" s="1574">
        <f t="shared" si="13"/>
        <v>100</v>
      </c>
      <c r="V29" s="1573" t="s">
        <v>8</v>
      </c>
      <c r="W29" s="1574">
        <f t="shared" si="14"/>
        <v>100</v>
      </c>
      <c r="X29" s="1567"/>
      <c r="Y29" s="361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12"/>
      <c r="Q30" s="1572">
        <f t="shared" si="11"/>
        <v>111</v>
      </c>
      <c r="R30" s="1573" t="s">
        <v>8</v>
      </c>
      <c r="S30" s="1574">
        <f t="shared" si="12"/>
        <v>100</v>
      </c>
      <c r="T30" s="1573" t="s">
        <v>8</v>
      </c>
      <c r="U30" s="1574">
        <f t="shared" si="13"/>
        <v>100</v>
      </c>
      <c r="V30" s="1573" t="s">
        <v>8</v>
      </c>
      <c r="W30" s="1574">
        <f t="shared" si="14"/>
        <v>100</v>
      </c>
      <c r="X30" s="1567"/>
      <c r="Y30" s="361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12"/>
      <c r="Q31" s="1572">
        <f t="shared" si="11"/>
        <v>111</v>
      </c>
      <c r="R31" s="1573" t="s">
        <v>8</v>
      </c>
      <c r="S31" s="1574">
        <f t="shared" si="12"/>
        <v>100</v>
      </c>
      <c r="T31" s="1573" t="s">
        <v>8</v>
      </c>
      <c r="U31" s="1574">
        <f t="shared" si="13"/>
        <v>100</v>
      </c>
      <c r="V31" s="1573" t="s">
        <v>8</v>
      </c>
      <c r="W31" s="1574">
        <f t="shared" si="14"/>
        <v>100</v>
      </c>
      <c r="X31" s="1567"/>
      <c r="Y31" s="3612"/>
      <c r="Z31" s="1575">
        <f t="shared" si="15"/>
        <v>111</v>
      </c>
      <c r="AA31" s="1576">
        <f t="shared" si="3"/>
        <v>1</v>
      </c>
      <c r="AB31" s="1576">
        <f t="shared" si="4"/>
        <v>1</v>
      </c>
      <c r="AC31" s="1576">
        <f t="shared" si="5"/>
        <v>1</v>
      </c>
    </row>
    <row r="32" spans="1:29" ht="15">
      <c r="A32" s="293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13" t="s">
        <v>550</v>
      </c>
      <c r="Q32" s="1572" t="str">
        <f t="shared" si="11"/>
        <v>商业类型</v>
      </c>
      <c r="R32" s="1573" t="s">
        <v>8</v>
      </c>
      <c r="S32" s="1574">
        <f t="shared" si="12"/>
        <v>100</v>
      </c>
      <c r="T32" s="1573" t="s">
        <v>8</v>
      </c>
      <c r="U32" s="1574">
        <f t="shared" si="13"/>
        <v>100</v>
      </c>
      <c r="V32" s="1573" t="s">
        <v>8</v>
      </c>
      <c r="W32" s="1574">
        <f t="shared" si="14"/>
        <v>100</v>
      </c>
      <c r="X32" s="1567"/>
      <c r="Y32" s="3614" t="s">
        <v>550</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14"/>
      <c r="Q33" s="1605" t="str">
        <f t="shared" si="11"/>
        <v>项目建筑规模</v>
      </c>
      <c r="R33" s="1577" t="s">
        <v>8</v>
      </c>
      <c r="S33" s="1578" t="e">
        <f t="shared" si="12"/>
        <v>#N/A</v>
      </c>
      <c r="T33" s="1577" t="s">
        <v>8</v>
      </c>
      <c r="U33" s="1578" t="e">
        <f t="shared" si="13"/>
        <v>#N/A</v>
      </c>
      <c r="V33" s="1577" t="s">
        <v>8</v>
      </c>
      <c r="W33" s="1578" t="e">
        <f t="shared" si="14"/>
        <v>#N/A</v>
      </c>
      <c r="X33" s="1579"/>
      <c r="Y33" s="3614"/>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14"/>
      <c r="Q34" s="1572" t="str">
        <f t="shared" si="11"/>
        <v>建筑结构</v>
      </c>
      <c r="R34" s="1573" t="s">
        <v>8</v>
      </c>
      <c r="S34" s="1574">
        <f t="shared" si="12"/>
        <v>100</v>
      </c>
      <c r="T34" s="1573" t="s">
        <v>8</v>
      </c>
      <c r="U34" s="1574">
        <f t="shared" si="13"/>
        <v>100</v>
      </c>
      <c r="V34" s="1573" t="s">
        <v>8</v>
      </c>
      <c r="W34" s="1574">
        <f t="shared" si="14"/>
        <v>100</v>
      </c>
      <c r="X34" s="1567"/>
      <c r="Y34" s="3614"/>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14"/>
      <c r="Q35" s="1572" t="str">
        <f t="shared" si="11"/>
        <v>公共部分装修</v>
      </c>
      <c r="R35" s="1573" t="s">
        <v>8</v>
      </c>
      <c r="S35" s="1574">
        <f t="shared" si="12"/>
        <v>100</v>
      </c>
      <c r="T35" s="1573" t="s">
        <v>8</v>
      </c>
      <c r="U35" s="1574">
        <f t="shared" si="13"/>
        <v>100</v>
      </c>
      <c r="V35" s="1573" t="s">
        <v>8</v>
      </c>
      <c r="W35" s="1574">
        <f t="shared" si="14"/>
        <v>100</v>
      </c>
      <c r="X35" s="1567"/>
      <c r="Y35" s="3614"/>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14"/>
      <c r="Q36" s="1572" t="str">
        <f t="shared" si="11"/>
        <v>成新度</v>
      </c>
      <c r="R36" s="1573" t="s">
        <v>8</v>
      </c>
      <c r="S36" s="1574" t="e">
        <f t="shared" si="12"/>
        <v>#N/A</v>
      </c>
      <c r="T36" s="1573" t="s">
        <v>8</v>
      </c>
      <c r="U36" s="1574" t="e">
        <f t="shared" si="13"/>
        <v>#N/A</v>
      </c>
      <c r="V36" s="1573" t="s">
        <v>8</v>
      </c>
      <c r="W36" s="1574" t="e">
        <f t="shared" si="14"/>
        <v>#N/A</v>
      </c>
      <c r="X36" s="1567"/>
      <c r="Y36" s="3614"/>
      <c r="Z36" s="1575" t="str">
        <f t="shared" si="15"/>
        <v>成新度</v>
      </c>
      <c r="AA36" s="1576" t="e">
        <f t="shared" si="3"/>
        <v>#N/A</v>
      </c>
      <c r="AB36" s="1576" t="e">
        <f t="shared" si="4"/>
        <v>#N/A</v>
      </c>
      <c r="AC36" s="1576"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14"/>
      <c r="Q37" s="1151" t="str">
        <f t="shared" si="11"/>
        <v>市政基础设施</v>
      </c>
      <c r="R37" s="1568" t="s">
        <v>8</v>
      </c>
      <c r="S37" s="1569">
        <f t="shared" si="12"/>
        <v>100</v>
      </c>
      <c r="T37" s="1568" t="s">
        <v>8</v>
      </c>
      <c r="U37" s="1569">
        <f t="shared" si="13"/>
        <v>100</v>
      </c>
      <c r="V37" s="1568" t="s">
        <v>8</v>
      </c>
      <c r="W37" s="1569">
        <f t="shared" si="14"/>
        <v>100</v>
      </c>
      <c r="X37" s="1570"/>
      <c r="Y37" s="3614"/>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14" t="s">
        <v>765</v>
      </c>
      <c r="Q38" s="1572" t="str">
        <f t="shared" si="11"/>
        <v>业态</v>
      </c>
      <c r="R38" s="1573" t="s">
        <v>8</v>
      </c>
      <c r="S38" s="1574">
        <f t="shared" si="12"/>
        <v>100</v>
      </c>
      <c r="T38" s="1573" t="s">
        <v>8</v>
      </c>
      <c r="U38" s="1574">
        <f t="shared" si="13"/>
        <v>100</v>
      </c>
      <c r="V38" s="1573" t="s">
        <v>8</v>
      </c>
      <c r="W38" s="1574">
        <f t="shared" si="14"/>
        <v>100</v>
      </c>
      <c r="X38" s="1567"/>
      <c r="Y38" s="3614"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14"/>
      <c r="Q39" s="1572" t="str">
        <f t="shared" si="11"/>
        <v>层高</v>
      </c>
      <c r="R39" s="1573" t="s">
        <v>8</v>
      </c>
      <c r="S39" s="1574">
        <f t="shared" si="12"/>
        <v>100</v>
      </c>
      <c r="T39" s="1573" t="s">
        <v>8</v>
      </c>
      <c r="U39" s="1574">
        <f t="shared" si="13"/>
        <v>100</v>
      </c>
      <c r="V39" s="1573" t="s">
        <v>8</v>
      </c>
      <c r="W39" s="1574">
        <f t="shared" si="14"/>
        <v>100</v>
      </c>
      <c r="X39" s="1567"/>
      <c r="Y39" s="3614"/>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14"/>
      <c r="Q40" s="1572" t="str">
        <f t="shared" si="11"/>
        <v>单套建筑面积</v>
      </c>
      <c r="R40" s="1573" t="s">
        <v>8</v>
      </c>
      <c r="S40" s="1574">
        <f t="shared" si="12"/>
        <v>100</v>
      </c>
      <c r="T40" s="1573" t="s">
        <v>8</v>
      </c>
      <c r="U40" s="1574">
        <f t="shared" si="13"/>
        <v>100</v>
      </c>
      <c r="V40" s="1573" t="s">
        <v>8</v>
      </c>
      <c r="W40" s="1574">
        <f t="shared" si="14"/>
        <v>100</v>
      </c>
      <c r="X40" s="1567"/>
      <c r="Y40" s="3614"/>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14"/>
      <c r="Q41" s="1605" t="str">
        <f t="shared" si="11"/>
        <v>进深比</v>
      </c>
      <c r="R41" s="1577" t="s">
        <v>8</v>
      </c>
      <c r="S41" s="1578">
        <f t="shared" si="12"/>
        <v>100</v>
      </c>
      <c r="T41" s="1577" t="s">
        <v>8</v>
      </c>
      <c r="U41" s="1578">
        <f t="shared" si="13"/>
        <v>100</v>
      </c>
      <c r="V41" s="1577" t="s">
        <v>8</v>
      </c>
      <c r="W41" s="1578">
        <f t="shared" si="14"/>
        <v>100</v>
      </c>
      <c r="X41" s="1579"/>
      <c r="Y41" s="3614"/>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14"/>
      <c r="Q42" s="1572" t="str">
        <f t="shared" si="11"/>
        <v>内部装修</v>
      </c>
      <c r="R42" s="1573" t="s">
        <v>8</v>
      </c>
      <c r="S42" s="1574">
        <f t="shared" si="12"/>
        <v>100</v>
      </c>
      <c r="T42" s="1573" t="s">
        <v>8</v>
      </c>
      <c r="U42" s="1574">
        <f t="shared" si="13"/>
        <v>100</v>
      </c>
      <c r="V42" s="1573" t="s">
        <v>8</v>
      </c>
      <c r="W42" s="1574">
        <f t="shared" si="14"/>
        <v>100</v>
      </c>
      <c r="X42" s="1567"/>
      <c r="Y42" s="3614"/>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14"/>
      <c r="Q43" s="1572" t="str">
        <f t="shared" si="11"/>
        <v>内部装修维护情况</v>
      </c>
      <c r="R43" s="1573" t="s">
        <v>8</v>
      </c>
      <c r="S43" s="1574">
        <f t="shared" si="12"/>
        <v>100</v>
      </c>
      <c r="T43" s="1573" t="s">
        <v>8</v>
      </c>
      <c r="U43" s="1574">
        <f t="shared" si="13"/>
        <v>100</v>
      </c>
      <c r="V43" s="1573" t="s">
        <v>8</v>
      </c>
      <c r="W43" s="1574">
        <f t="shared" si="14"/>
        <v>100</v>
      </c>
      <c r="X43" s="1567"/>
      <c r="Y43" s="361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14"/>
      <c r="Q44" s="1151">
        <f t="shared" si="11"/>
        <v>111</v>
      </c>
      <c r="R44" s="1568" t="s">
        <v>8</v>
      </c>
      <c r="S44" s="1569">
        <f t="shared" si="12"/>
        <v>100</v>
      </c>
      <c r="T44" s="1568" t="s">
        <v>8</v>
      </c>
      <c r="U44" s="1569">
        <f t="shared" si="13"/>
        <v>100</v>
      </c>
      <c r="V44" s="1568" t="s">
        <v>8</v>
      </c>
      <c r="W44" s="1569">
        <f t="shared" si="14"/>
        <v>100</v>
      </c>
      <c r="X44" s="1570"/>
      <c r="Y44" s="361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14"/>
      <c r="Q45" s="1572">
        <f t="shared" si="11"/>
        <v>111</v>
      </c>
      <c r="R45" s="1573" t="s">
        <v>8</v>
      </c>
      <c r="S45" s="1574">
        <f t="shared" si="12"/>
        <v>100</v>
      </c>
      <c r="T45" s="1573" t="s">
        <v>8</v>
      </c>
      <c r="U45" s="1574">
        <f t="shared" si="13"/>
        <v>100</v>
      </c>
      <c r="V45" s="1573" t="s">
        <v>8</v>
      </c>
      <c r="W45" s="1574">
        <f t="shared" si="14"/>
        <v>100</v>
      </c>
      <c r="X45" s="1567"/>
      <c r="Y45" s="3614"/>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691"/>
      <c r="Q46" s="1572">
        <f t="shared" si="11"/>
        <v>111</v>
      </c>
      <c r="R46" s="1573" t="s">
        <v>8</v>
      </c>
      <c r="S46" s="1574">
        <f t="shared" si="12"/>
        <v>100</v>
      </c>
      <c r="T46" s="1573" t="s">
        <v>8</v>
      </c>
      <c r="U46" s="1574">
        <f t="shared" si="13"/>
        <v>100</v>
      </c>
      <c r="V46" s="1573" t="s">
        <v>8</v>
      </c>
      <c r="W46" s="1574">
        <f t="shared" si="14"/>
        <v>100</v>
      </c>
      <c r="X46" s="1567"/>
      <c r="Y46" s="3691"/>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575" t="str">
        <f>A47</f>
        <v>成交单价（元/平方米）</v>
      </c>
      <c r="Q47" s="3575"/>
      <c r="R47" s="3690">
        <f>E47</f>
        <v>0</v>
      </c>
      <c r="S47" s="3690"/>
      <c r="T47" s="3690">
        <f>G47</f>
        <v>0</v>
      </c>
      <c r="U47" s="3690"/>
      <c r="V47" s="3690">
        <f>I47</f>
        <v>0</v>
      </c>
      <c r="W47" s="3690"/>
      <c r="X47" s="1559"/>
      <c r="Y47" s="1581"/>
      <c r="Z47" s="1559"/>
      <c r="AA47" s="1559"/>
      <c r="AB47" s="1559"/>
      <c r="AC47" s="1559"/>
    </row>
    <row r="48" spans="1:29" ht="15.75" thickBot="1">
      <c r="A48" s="615" t="s">
        <v>2759</v>
      </c>
      <c r="B48" s="888"/>
      <c r="C48" s="2658" t="e">
        <f>R49</f>
        <v>#DIV/0!</v>
      </c>
      <c r="D48" s="2659"/>
      <c r="E48" s="2660" t="e">
        <f>R48</f>
        <v>#DIV/0!</v>
      </c>
      <c r="F48" s="2660"/>
      <c r="G48" s="2658" t="e">
        <f>T48</f>
        <v>#DIV/0!</v>
      </c>
      <c r="H48" s="2659"/>
      <c r="I48" s="2660" t="e">
        <f>V48</f>
        <v>#DIV/0!</v>
      </c>
      <c r="J48" s="2659"/>
      <c r="K48" s="1612"/>
      <c r="L48" s="2145"/>
      <c r="M48" s="2146"/>
      <c r="N48" s="2135"/>
      <c r="O48" s="2146"/>
      <c r="P48" s="3575" t="str">
        <f>A48</f>
        <v>比较价格（元/平方米）</v>
      </c>
      <c r="Q48" s="3575"/>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559"/>
      <c r="Y48" s="1559"/>
      <c r="Z48" s="1559"/>
      <c r="AA48" s="1559"/>
      <c r="AB48" s="1559"/>
      <c r="AC48" s="1559"/>
    </row>
    <row r="49" spans="1:29" ht="15.75" thickBot="1">
      <c r="A49" s="621" t="s">
        <v>2926</v>
      </c>
      <c r="B49" s="622"/>
      <c r="C49" s="2661" t="e">
        <f>R49</f>
        <v>#DIV/0!</v>
      </c>
      <c r="D49" s="2661"/>
      <c r="E49" s="2661"/>
      <c r="F49" s="2661"/>
      <c r="G49" s="2661"/>
      <c r="H49" s="2661"/>
      <c r="I49" s="2661"/>
      <c r="J49" s="2661"/>
      <c r="K49" s="1613"/>
      <c r="L49" s="2145"/>
      <c r="M49" s="2146"/>
      <c r="N49" s="2135"/>
      <c r="O49" s="2146"/>
      <c r="P49" s="3572" t="str">
        <f>A49</f>
        <v>估价对象XX用房的比较价格（楼面单价，元/平方米）</v>
      </c>
      <c r="Q49" s="3573"/>
      <c r="R49" s="3689" t="e">
        <f>IF(F1="售价",ROUND(AVERAGE(R48:V48),0),ROUND(AVERAGE(R48:V48),1))</f>
        <v>#DIV/0!</v>
      </c>
      <c r="S49" s="3689"/>
      <c r="T49" s="3689"/>
      <c r="U49" s="3689"/>
      <c r="V49" s="3689"/>
      <c r="W49" s="36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2222"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776</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581" t="s">
        <v>522</v>
      </c>
      <c r="D4" s="3582"/>
      <c r="E4" s="3618" t="s">
        <v>523</v>
      </c>
      <c r="F4" s="3619"/>
      <c r="G4" s="3581" t="s">
        <v>524</v>
      </c>
      <c r="H4" s="3582"/>
      <c r="I4" s="3581" t="s">
        <v>525</v>
      </c>
      <c r="J4" s="3582"/>
      <c r="K4" s="514" t="s">
        <v>526</v>
      </c>
      <c r="L4" s="2134"/>
      <c r="M4" s="2135"/>
      <c r="N4" s="2135"/>
      <c r="O4" s="2135"/>
      <c r="P4" s="3697" t="s">
        <v>527</v>
      </c>
      <c r="Q4" s="3584"/>
      <c r="R4" s="3589" t="s">
        <v>523</v>
      </c>
      <c r="S4" s="3590"/>
      <c r="T4" s="3589" t="s">
        <v>524</v>
      </c>
      <c r="U4" s="3590"/>
      <c r="V4" s="3576" t="s">
        <v>525</v>
      </c>
      <c r="W4" s="3576"/>
      <c r="X4" s="1567"/>
      <c r="Y4" s="3589" t="s">
        <v>527</v>
      </c>
      <c r="Z4" s="3590"/>
      <c r="AA4" s="3578" t="s">
        <v>523</v>
      </c>
      <c r="AB4" s="3578" t="s">
        <v>524</v>
      </c>
      <c r="AC4" s="3578" t="s">
        <v>525</v>
      </c>
    </row>
    <row r="5" spans="1:29" ht="15">
      <c r="A5" s="515"/>
      <c r="B5" s="516"/>
      <c r="C5" s="3599" t="s">
        <v>2920</v>
      </c>
      <c r="D5" s="3598"/>
      <c r="E5" s="3620" t="s">
        <v>2921</v>
      </c>
      <c r="F5" s="3621"/>
      <c r="G5" s="3599" t="s">
        <v>2922</v>
      </c>
      <c r="H5" s="3598"/>
      <c r="I5" s="3599" t="s">
        <v>2923</v>
      </c>
      <c r="J5" s="3598"/>
      <c r="K5" s="514"/>
      <c r="L5" s="2134"/>
      <c r="M5" s="2135"/>
      <c r="N5" s="2135"/>
      <c r="O5" s="2135"/>
      <c r="P5" s="3698"/>
      <c r="Q5" s="3586"/>
      <c r="R5" s="3591"/>
      <c r="S5" s="3592"/>
      <c r="T5" s="3591"/>
      <c r="U5" s="3592"/>
      <c r="V5" s="3576"/>
      <c r="W5" s="3576"/>
      <c r="X5" s="1567"/>
      <c r="Y5" s="3591"/>
      <c r="Z5" s="3592"/>
      <c r="AA5" s="3579"/>
      <c r="AB5" s="3579"/>
      <c r="AC5" s="3579"/>
    </row>
    <row r="6" spans="1:29" ht="15.75" thickBot="1">
      <c r="A6" s="517"/>
      <c r="B6" s="518"/>
      <c r="C6" s="3615" t="s">
        <v>2924</v>
      </c>
      <c r="D6" s="3596"/>
      <c r="E6" s="3616" t="s">
        <v>2924</v>
      </c>
      <c r="F6" s="3617"/>
      <c r="G6" s="3615" t="s">
        <v>2924</v>
      </c>
      <c r="H6" s="3596"/>
      <c r="I6" s="3615" t="s">
        <v>2924</v>
      </c>
      <c r="J6" s="3596"/>
      <c r="K6" s="514" t="s">
        <v>528</v>
      </c>
      <c r="L6" s="2134"/>
      <c r="M6" s="2135"/>
      <c r="N6" s="2135"/>
      <c r="O6" s="2135"/>
      <c r="P6" s="3699"/>
      <c r="Q6" s="3588"/>
      <c r="R6" s="3591"/>
      <c r="S6" s="3592"/>
      <c r="T6" s="3593"/>
      <c r="U6" s="3594"/>
      <c r="V6" s="3576"/>
      <c r="W6" s="3576"/>
      <c r="X6" s="1567"/>
      <c r="Y6" s="3593"/>
      <c r="Z6" s="3594"/>
      <c r="AA6" s="3580"/>
      <c r="AB6" s="3580"/>
      <c r="AC6" s="3580"/>
    </row>
    <row r="7" spans="1:29" s="1220" customFormat="1" ht="15.75" thickBot="1">
      <c r="A7" s="2937"/>
      <c r="B7" s="2944" t="s">
        <v>529</v>
      </c>
      <c r="C7" s="519">
        <f>'数据-取费表'!B2</f>
        <v>43236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10" t="s">
        <v>530</v>
      </c>
      <c r="Q7" s="3610"/>
      <c r="R7" s="1568" t="s">
        <v>8</v>
      </c>
      <c r="S7" s="1569">
        <f t="shared" ref="S7:S15" si="0">F7</f>
        <v>0</v>
      </c>
      <c r="T7" s="1568" t="s">
        <v>8</v>
      </c>
      <c r="U7" s="1569">
        <f t="shared" ref="U7:U15" si="1">H7</f>
        <v>0</v>
      </c>
      <c r="V7" s="1568" t="s">
        <v>8</v>
      </c>
      <c r="W7" s="1569">
        <f t="shared" ref="W7:W15" si="2">J7</f>
        <v>0</v>
      </c>
      <c r="X7" s="1570"/>
      <c r="Y7" s="3608" t="s">
        <v>530</v>
      </c>
      <c r="Z7" s="3609"/>
      <c r="AA7" s="1571" t="e">
        <f>D7/F7</f>
        <v>#DIV/0!</v>
      </c>
      <c r="AB7" s="1571" t="e">
        <f>D7/H7</f>
        <v>#DIV/0!</v>
      </c>
      <c r="AC7" s="1571"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10" t="s">
        <v>533</v>
      </c>
      <c r="Q8" s="3609"/>
      <c r="R8" s="1568" t="s">
        <v>8</v>
      </c>
      <c r="S8" s="1569">
        <f t="shared" si="0"/>
        <v>0</v>
      </c>
      <c r="T8" s="1568" t="s">
        <v>8</v>
      </c>
      <c r="U8" s="1569">
        <f t="shared" si="1"/>
        <v>0</v>
      </c>
      <c r="V8" s="1568" t="s">
        <v>8</v>
      </c>
      <c r="W8" s="1569">
        <f t="shared" si="2"/>
        <v>0</v>
      </c>
      <c r="X8" s="1570"/>
      <c r="Y8" s="3608" t="s">
        <v>533</v>
      </c>
      <c r="Z8" s="3609"/>
      <c r="AA8" s="1571" t="e">
        <f t="shared" ref="AA8:AA47" si="3">D8/F8</f>
        <v>#DIV/0!</v>
      </c>
      <c r="AB8" s="1571" t="e">
        <f t="shared" ref="AB8:AB47" si="4">D8/H8</f>
        <v>#DIV/0!</v>
      </c>
      <c r="AC8" s="1571" t="e">
        <f t="shared" ref="AC8:AC47" si="5">D8/J8</f>
        <v>#DIV/0!</v>
      </c>
    </row>
    <row r="9" spans="1:29" s="1220" customFormat="1" ht="15">
      <c r="A9" s="2939"/>
      <c r="B9" s="2946"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575" t="s">
        <v>535</v>
      </c>
      <c r="Q9" s="1151" t="str">
        <f t="shared" ref="Q9:Q15" si="6">B9</f>
        <v>用途</v>
      </c>
      <c r="R9" s="1568" t="s">
        <v>8</v>
      </c>
      <c r="S9" s="1569">
        <f t="shared" si="0"/>
        <v>100</v>
      </c>
      <c r="T9" s="1568" t="s">
        <v>8</v>
      </c>
      <c r="U9" s="1569">
        <f t="shared" si="1"/>
        <v>100</v>
      </c>
      <c r="V9" s="1568" t="s">
        <v>8</v>
      </c>
      <c r="W9" s="1569">
        <f t="shared" si="2"/>
        <v>100</v>
      </c>
      <c r="X9" s="1570"/>
      <c r="Y9" s="3521" t="s">
        <v>536</v>
      </c>
      <c r="Z9" s="1150" t="str">
        <f t="shared" ref="Z9:Z15" si="7">Q9</f>
        <v>用途</v>
      </c>
      <c r="AA9" s="1571">
        <f t="shared" si="3"/>
        <v>1</v>
      </c>
      <c r="AB9" s="1571">
        <f t="shared" si="4"/>
        <v>1</v>
      </c>
      <c r="AC9" s="1571">
        <f t="shared" si="5"/>
        <v>1</v>
      </c>
    </row>
    <row r="10" spans="1:29" s="1338" customFormat="1" ht="27">
      <c r="A10" s="2940"/>
      <c r="B10" s="2945"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575"/>
      <c r="Q10" s="1151" t="str">
        <f t="shared" si="6"/>
        <v>土地使用年限（年）</v>
      </c>
      <c r="R10" s="1568" t="s">
        <v>8</v>
      </c>
      <c r="S10" s="1569">
        <f t="shared" si="0"/>
        <v>100</v>
      </c>
      <c r="T10" s="1568" t="s">
        <v>8</v>
      </c>
      <c r="U10" s="1569">
        <f t="shared" si="1"/>
        <v>100</v>
      </c>
      <c r="V10" s="1568" t="s">
        <v>8</v>
      </c>
      <c r="W10" s="1569">
        <f t="shared" si="2"/>
        <v>100</v>
      </c>
      <c r="X10" s="1570"/>
      <c r="Y10" s="3521"/>
      <c r="Z10" s="1150" t="str">
        <f t="shared" si="7"/>
        <v>土地使用年限（年）</v>
      </c>
      <c r="AA10" s="1571">
        <f t="shared" si="3"/>
        <v>1</v>
      </c>
      <c r="AB10" s="1571">
        <f t="shared" si="4"/>
        <v>1</v>
      </c>
      <c r="AC10" s="1571">
        <f t="shared" si="5"/>
        <v>1</v>
      </c>
    </row>
    <row r="11" spans="1:29" ht="15">
      <c r="A11" s="2941"/>
      <c r="B11" s="294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575"/>
      <c r="Q11" s="1151" t="str">
        <f t="shared" si="6"/>
        <v>容积率</v>
      </c>
      <c r="R11" s="1568" t="s">
        <v>8</v>
      </c>
      <c r="S11" s="1569" t="e">
        <f t="shared" si="0"/>
        <v>#N/A</v>
      </c>
      <c r="T11" s="1568" t="s">
        <v>8</v>
      </c>
      <c r="U11" s="1569" t="e">
        <f t="shared" si="1"/>
        <v>#N/A</v>
      </c>
      <c r="V11" s="1568" t="s">
        <v>8</v>
      </c>
      <c r="W11" s="1569" t="e">
        <f t="shared" si="2"/>
        <v>#N/A</v>
      </c>
      <c r="X11" s="1570"/>
      <c r="Y11" s="352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575"/>
      <c r="Q12" s="1151">
        <f t="shared" si="6"/>
        <v>111</v>
      </c>
      <c r="R12" s="1568" t="s">
        <v>8</v>
      </c>
      <c r="S12" s="1569">
        <f t="shared" si="0"/>
        <v>100</v>
      </c>
      <c r="T12" s="1568" t="s">
        <v>8</v>
      </c>
      <c r="U12" s="1569">
        <f t="shared" si="1"/>
        <v>100</v>
      </c>
      <c r="V12" s="1568" t="s">
        <v>8</v>
      </c>
      <c r="W12" s="1569">
        <f t="shared" si="2"/>
        <v>100</v>
      </c>
      <c r="X12" s="1570"/>
      <c r="Y12" s="3521"/>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575"/>
      <c r="Q13" s="1151">
        <f t="shared" si="6"/>
        <v>111</v>
      </c>
      <c r="R13" s="1568" t="s">
        <v>8</v>
      </c>
      <c r="S13" s="1569">
        <f t="shared" si="0"/>
        <v>100</v>
      </c>
      <c r="T13" s="1568" t="s">
        <v>8</v>
      </c>
      <c r="U13" s="1569">
        <f t="shared" si="1"/>
        <v>100</v>
      </c>
      <c r="V13" s="1568" t="s">
        <v>8</v>
      </c>
      <c r="W13" s="1569">
        <f t="shared" si="2"/>
        <v>100</v>
      </c>
      <c r="X13" s="1570"/>
      <c r="Y13" s="3521"/>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575"/>
      <c r="Q14" s="1151">
        <f t="shared" si="6"/>
        <v>111</v>
      </c>
      <c r="R14" s="1568" t="s">
        <v>8</v>
      </c>
      <c r="S14" s="1569">
        <f t="shared" si="0"/>
        <v>100</v>
      </c>
      <c r="T14" s="1568" t="s">
        <v>8</v>
      </c>
      <c r="U14" s="1569">
        <f t="shared" si="1"/>
        <v>100</v>
      </c>
      <c r="V14" s="1568" t="s">
        <v>8</v>
      </c>
      <c r="W14" s="1569">
        <f t="shared" si="2"/>
        <v>100</v>
      </c>
      <c r="X14" s="1570"/>
      <c r="Y14" s="3521"/>
      <c r="Z14" s="1150">
        <f t="shared" si="7"/>
        <v>111</v>
      </c>
      <c r="AA14" s="1571">
        <f t="shared" si="3"/>
        <v>1</v>
      </c>
      <c r="AB14" s="1571">
        <f t="shared" si="4"/>
        <v>1</v>
      </c>
      <c r="AC14" s="1571">
        <f t="shared" si="5"/>
        <v>1</v>
      </c>
    </row>
    <row r="15" spans="1:29" ht="15">
      <c r="A15" s="2935"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11" t="s">
        <v>540</v>
      </c>
      <c r="Q15" s="1572" t="str">
        <f t="shared" si="6"/>
        <v>办公集聚程度</v>
      </c>
      <c r="R15" s="1573" t="s">
        <v>8</v>
      </c>
      <c r="S15" s="1574">
        <f t="shared" si="0"/>
        <v>100</v>
      </c>
      <c r="T15" s="1573" t="s">
        <v>8</v>
      </c>
      <c r="U15" s="1574">
        <f t="shared" si="1"/>
        <v>100</v>
      </c>
      <c r="V15" s="1573" t="s">
        <v>8</v>
      </c>
      <c r="W15" s="1574">
        <f t="shared" si="2"/>
        <v>100</v>
      </c>
      <c r="X15" s="1567"/>
      <c r="Y15" s="3611"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612"/>
      <c r="Q16" s="1572"/>
      <c r="R16" s="1573"/>
      <c r="S16" s="1574"/>
      <c r="T16" s="1573"/>
      <c r="U16" s="1574"/>
      <c r="V16" s="1573"/>
      <c r="W16" s="1574"/>
      <c r="X16" s="1567"/>
      <c r="Y16" s="3612"/>
      <c r="Z16" s="1575"/>
      <c r="AA16" s="1576">
        <v>1</v>
      </c>
      <c r="AB16" s="1576">
        <v>1</v>
      </c>
      <c r="AC16" s="1576">
        <v>1</v>
      </c>
    </row>
    <row r="17" spans="1:29" ht="128.25">
      <c r="A17" s="532"/>
      <c r="B17" s="560" t="s">
        <v>296</v>
      </c>
      <c r="C17" s="573" t="str">
        <f>估价对象房地状况!C6</f>
        <v>周边道路状况、公共交通通达情况、停车便捷程度（北至文峰大道 南至文明大道 均为城市主干道 南距安阳东站直线1.5公里 y1路 11路 16路）</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12"/>
      <c r="Q17" s="1572" t="str">
        <f>B17</f>
        <v>交通便捷度</v>
      </c>
      <c r="R17" s="1573" t="s">
        <v>8</v>
      </c>
      <c r="S17" s="1574">
        <f>F17</f>
        <v>100</v>
      </c>
      <c r="T17" s="1573" t="s">
        <v>8</v>
      </c>
      <c r="U17" s="1574">
        <f>H17</f>
        <v>100</v>
      </c>
      <c r="V17" s="1573" t="s">
        <v>8</v>
      </c>
      <c r="W17" s="1574">
        <f>J17</f>
        <v>100</v>
      </c>
      <c r="X17" s="1567"/>
      <c r="Y17" s="361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612"/>
      <c r="Q18" s="1572"/>
      <c r="R18" s="1573"/>
      <c r="S18" s="1574"/>
      <c r="T18" s="1573"/>
      <c r="U18" s="1574"/>
      <c r="V18" s="1573"/>
      <c r="W18" s="1574"/>
      <c r="X18" s="1567"/>
      <c r="Y18" s="3612"/>
      <c r="Z18" s="1575"/>
      <c r="AA18" s="1576">
        <v>1</v>
      </c>
      <c r="AB18" s="1576">
        <v>1</v>
      </c>
      <c r="AC18" s="1576">
        <v>1</v>
      </c>
    </row>
    <row r="19" spans="1:29" ht="15">
      <c r="A19" s="532"/>
      <c r="B19" s="2628" t="s">
        <v>2546</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12"/>
      <c r="Q19" s="1572" t="str">
        <f>B19</f>
        <v>公共配套设施</v>
      </c>
      <c r="R19" s="1573" t="s">
        <v>8</v>
      </c>
      <c r="S19" s="1574">
        <f>F19</f>
        <v>100</v>
      </c>
      <c r="T19" s="1573" t="s">
        <v>8</v>
      </c>
      <c r="U19" s="1574">
        <f>H19</f>
        <v>100</v>
      </c>
      <c r="V19" s="1573" t="s">
        <v>8</v>
      </c>
      <c r="W19" s="1574">
        <f>J19</f>
        <v>100</v>
      </c>
      <c r="X19" s="1567"/>
      <c r="Y19" s="361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612"/>
      <c r="Q20" s="1572"/>
      <c r="R20" s="1573"/>
      <c r="S20" s="1574"/>
      <c r="T20" s="1573"/>
      <c r="U20" s="1574"/>
      <c r="V20" s="1573"/>
      <c r="W20" s="1574"/>
      <c r="X20" s="1567"/>
      <c r="Y20" s="3612"/>
      <c r="Z20" s="1575"/>
      <c r="AA20" s="1576">
        <v>1</v>
      </c>
      <c r="AB20" s="1576">
        <v>1</v>
      </c>
      <c r="AC20" s="1576">
        <v>1</v>
      </c>
    </row>
    <row r="21" spans="1:29" ht="15">
      <c r="A21" s="532"/>
      <c r="B21" s="2616" t="s">
        <v>2558</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12"/>
      <c r="Q21" s="2604" t="str">
        <f>B21</f>
        <v>基础设施水平</v>
      </c>
      <c r="R21" s="1573" t="s">
        <v>8</v>
      </c>
      <c r="S21" s="1574">
        <f>F21</f>
        <v>100</v>
      </c>
      <c r="T21" s="1573" t="s">
        <v>8</v>
      </c>
      <c r="U21" s="1574">
        <f>H21</f>
        <v>100</v>
      </c>
      <c r="V21" s="1573" t="s">
        <v>8</v>
      </c>
      <c r="W21" s="1574">
        <f>J21</f>
        <v>100</v>
      </c>
      <c r="X21" s="2606"/>
      <c r="Y21" s="3612"/>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12"/>
      <c r="Q22" s="2604"/>
      <c r="R22" s="1573"/>
      <c r="S22" s="1574"/>
      <c r="T22" s="1573"/>
      <c r="U22" s="1574"/>
      <c r="V22" s="1573"/>
      <c r="W22" s="1574"/>
      <c r="X22" s="2606"/>
      <c r="Y22" s="3612"/>
      <c r="Z22" s="2605"/>
      <c r="AA22" s="1576">
        <v>1</v>
      </c>
      <c r="AB22" s="1576">
        <v>1</v>
      </c>
      <c r="AC22" s="1576">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12"/>
      <c r="Q23" s="1572" t="str">
        <f>B23</f>
        <v>环境质量</v>
      </c>
      <c r="R23" s="1573" t="s">
        <v>8</v>
      </c>
      <c r="S23" s="1574">
        <f>F23</f>
        <v>100</v>
      </c>
      <c r="T23" s="1573" t="s">
        <v>8</v>
      </c>
      <c r="U23" s="1574">
        <f>H23</f>
        <v>100</v>
      </c>
      <c r="V23" s="1573" t="s">
        <v>8</v>
      </c>
      <c r="W23" s="1574">
        <f>J23</f>
        <v>100</v>
      </c>
      <c r="X23" s="1567"/>
      <c r="Y23" s="361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612"/>
      <c r="Q24" s="1572"/>
      <c r="R24" s="1573"/>
      <c r="S24" s="1574"/>
      <c r="T24" s="1573"/>
      <c r="U24" s="1574"/>
      <c r="V24" s="1573"/>
      <c r="W24" s="1574"/>
      <c r="X24" s="1567"/>
      <c r="Y24" s="3612"/>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12"/>
      <c r="Q25" s="1572" t="str">
        <f>B25</f>
        <v>毗邻道路的类型与等级</v>
      </c>
      <c r="R25" s="1573" t="s">
        <v>8</v>
      </c>
      <c r="S25" s="1574">
        <f>F25</f>
        <v>100</v>
      </c>
      <c r="T25" s="1573" t="s">
        <v>8</v>
      </c>
      <c r="U25" s="1574">
        <f>H25</f>
        <v>100</v>
      </c>
      <c r="V25" s="1573" t="s">
        <v>8</v>
      </c>
      <c r="W25" s="1574">
        <f>J25</f>
        <v>100</v>
      </c>
      <c r="X25" s="1567"/>
      <c r="Y25" s="361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612"/>
      <c r="Q26" s="1572"/>
      <c r="R26" s="1573"/>
      <c r="S26" s="1574"/>
      <c r="T26" s="1573"/>
      <c r="U26" s="1574"/>
      <c r="V26" s="1573"/>
      <c r="W26" s="1574"/>
      <c r="X26" s="1567"/>
      <c r="Y26" s="3612"/>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12"/>
      <c r="Q27" s="1572" t="str">
        <f t="shared" ref="Q27:Q47" si="11">B27</f>
        <v>楼层</v>
      </c>
      <c r="R27" s="1573" t="s">
        <v>8</v>
      </c>
      <c r="S27" s="1574">
        <f>F27</f>
        <v>100</v>
      </c>
      <c r="T27" s="1573" t="s">
        <v>8</v>
      </c>
      <c r="U27" s="1574">
        <f>H27</f>
        <v>100</v>
      </c>
      <c r="V27" s="1573" t="s">
        <v>8</v>
      </c>
      <c r="W27" s="1574">
        <f>J27</f>
        <v>100</v>
      </c>
      <c r="X27" s="1567"/>
      <c r="Y27" s="3612"/>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12"/>
      <c r="Q28" s="1151" t="str">
        <f t="shared" si="11"/>
        <v>朝向</v>
      </c>
      <c r="R28" s="1568" t="s">
        <v>8</v>
      </c>
      <c r="S28" s="1569">
        <f>F28</f>
        <v>100</v>
      </c>
      <c r="T28" s="1568" t="s">
        <v>8</v>
      </c>
      <c r="U28" s="1569">
        <f>H28</f>
        <v>100</v>
      </c>
      <c r="V28" s="1568" t="s">
        <v>8</v>
      </c>
      <c r="W28" s="1569">
        <f>J28</f>
        <v>100</v>
      </c>
      <c r="X28" s="1570"/>
      <c r="Y28" s="3612"/>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12"/>
      <c r="Q29" s="1572">
        <f t="shared" si="11"/>
        <v>111</v>
      </c>
      <c r="R29" s="1573" t="s">
        <v>8</v>
      </c>
      <c r="S29" s="1574">
        <f t="shared" ref="S29:S47" si="12">F29</f>
        <v>100</v>
      </c>
      <c r="T29" s="1573" t="s">
        <v>8</v>
      </c>
      <c r="U29" s="1574">
        <f t="shared" ref="U29:U47" si="13">H29</f>
        <v>100</v>
      </c>
      <c r="V29" s="1573" t="s">
        <v>8</v>
      </c>
      <c r="W29" s="1574">
        <f t="shared" ref="W29:W47" si="14">J29</f>
        <v>100</v>
      </c>
      <c r="X29" s="1567"/>
      <c r="Y29" s="3612"/>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12"/>
      <c r="Q30" s="1572">
        <f t="shared" si="11"/>
        <v>111</v>
      </c>
      <c r="R30" s="1573" t="s">
        <v>8</v>
      </c>
      <c r="S30" s="1574">
        <f t="shared" si="12"/>
        <v>100</v>
      </c>
      <c r="T30" s="1573" t="s">
        <v>8</v>
      </c>
      <c r="U30" s="1574">
        <f t="shared" si="13"/>
        <v>100</v>
      </c>
      <c r="V30" s="1573" t="s">
        <v>8</v>
      </c>
      <c r="W30" s="1574">
        <f t="shared" si="14"/>
        <v>100</v>
      </c>
      <c r="X30" s="1567"/>
      <c r="Y30" s="3612"/>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12"/>
      <c r="Q31" s="1572">
        <f t="shared" si="11"/>
        <v>111</v>
      </c>
      <c r="R31" s="1573" t="s">
        <v>8</v>
      </c>
      <c r="S31" s="1574">
        <f t="shared" si="12"/>
        <v>100</v>
      </c>
      <c r="T31" s="1573" t="s">
        <v>8</v>
      </c>
      <c r="U31" s="1574">
        <f t="shared" si="13"/>
        <v>100</v>
      </c>
      <c r="V31" s="1573" t="s">
        <v>8</v>
      </c>
      <c r="W31" s="1574">
        <f t="shared" si="14"/>
        <v>100</v>
      </c>
      <c r="X31" s="1567"/>
      <c r="Y31" s="3612"/>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12"/>
      <c r="Q32" s="1572">
        <f t="shared" si="11"/>
        <v>111</v>
      </c>
      <c r="R32" s="1573" t="s">
        <v>8</v>
      </c>
      <c r="S32" s="1574">
        <f t="shared" si="12"/>
        <v>100</v>
      </c>
      <c r="T32" s="1573" t="s">
        <v>8</v>
      </c>
      <c r="U32" s="1574">
        <f t="shared" si="13"/>
        <v>100</v>
      </c>
      <c r="V32" s="1573" t="s">
        <v>8</v>
      </c>
      <c r="W32" s="1574">
        <f t="shared" si="14"/>
        <v>100</v>
      </c>
      <c r="X32" s="1567"/>
      <c r="Y32" s="3612"/>
      <c r="Z32" s="1575">
        <f t="shared" si="15"/>
        <v>111</v>
      </c>
      <c r="AA32" s="1576">
        <f t="shared" si="3"/>
        <v>1</v>
      </c>
      <c r="AB32" s="1576">
        <f t="shared" si="4"/>
        <v>1</v>
      </c>
      <c r="AC32" s="1576">
        <f t="shared" si="5"/>
        <v>1</v>
      </c>
    </row>
    <row r="33" spans="1:29" ht="15">
      <c r="A33" s="293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13" t="s">
        <v>550</v>
      </c>
      <c r="Q33" s="1572" t="str">
        <f t="shared" si="11"/>
        <v>建筑类型</v>
      </c>
      <c r="R33" s="1573" t="s">
        <v>8</v>
      </c>
      <c r="S33" s="1574">
        <f t="shared" si="12"/>
        <v>100</v>
      </c>
      <c r="T33" s="1573" t="s">
        <v>8</v>
      </c>
      <c r="U33" s="1574">
        <f t="shared" si="13"/>
        <v>100</v>
      </c>
      <c r="V33" s="1573" t="s">
        <v>8</v>
      </c>
      <c r="W33" s="1574">
        <f t="shared" si="14"/>
        <v>100</v>
      </c>
      <c r="X33" s="1567"/>
      <c r="Y33" s="3614" t="s">
        <v>550</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14"/>
      <c r="Q34" s="1605" t="str">
        <f t="shared" si="11"/>
        <v>项目建筑规模</v>
      </c>
      <c r="R34" s="1577" t="s">
        <v>8</v>
      </c>
      <c r="S34" s="1578" t="e">
        <f t="shared" si="12"/>
        <v>#N/A</v>
      </c>
      <c r="T34" s="1577" t="s">
        <v>8</v>
      </c>
      <c r="U34" s="1578" t="e">
        <f t="shared" si="13"/>
        <v>#N/A</v>
      </c>
      <c r="V34" s="1577" t="s">
        <v>8</v>
      </c>
      <c r="W34" s="1578" t="e">
        <f t="shared" si="14"/>
        <v>#N/A</v>
      </c>
      <c r="X34" s="1579"/>
      <c r="Y34" s="3614"/>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14"/>
      <c r="Q35" s="1572" t="str">
        <f t="shared" si="11"/>
        <v>建筑结构</v>
      </c>
      <c r="R35" s="1573" t="s">
        <v>8</v>
      </c>
      <c r="S35" s="1574">
        <f t="shared" si="12"/>
        <v>100</v>
      </c>
      <c r="T35" s="1573" t="s">
        <v>8</v>
      </c>
      <c r="U35" s="1574">
        <f t="shared" si="13"/>
        <v>100</v>
      </c>
      <c r="V35" s="1573" t="s">
        <v>8</v>
      </c>
      <c r="W35" s="1574">
        <f t="shared" si="14"/>
        <v>100</v>
      </c>
      <c r="X35" s="1567"/>
      <c r="Y35" s="3614"/>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14"/>
      <c r="Q36" s="1572" t="str">
        <f t="shared" si="11"/>
        <v>公共部分装修</v>
      </c>
      <c r="R36" s="1573" t="s">
        <v>8</v>
      </c>
      <c r="S36" s="1574">
        <f t="shared" si="12"/>
        <v>100</v>
      </c>
      <c r="T36" s="1573" t="s">
        <v>8</v>
      </c>
      <c r="U36" s="1574">
        <f t="shared" si="13"/>
        <v>100</v>
      </c>
      <c r="V36" s="1573" t="s">
        <v>8</v>
      </c>
      <c r="W36" s="1574">
        <f t="shared" si="14"/>
        <v>100</v>
      </c>
      <c r="X36" s="1567"/>
      <c r="Y36" s="3614"/>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14"/>
      <c r="Q37" s="1572" t="str">
        <f t="shared" si="11"/>
        <v>成新度</v>
      </c>
      <c r="R37" s="1573" t="s">
        <v>8</v>
      </c>
      <c r="S37" s="1574" t="e">
        <f t="shared" si="12"/>
        <v>#N/A</v>
      </c>
      <c r="T37" s="1573" t="s">
        <v>8</v>
      </c>
      <c r="U37" s="1574" t="e">
        <f t="shared" si="13"/>
        <v>#N/A</v>
      </c>
      <c r="V37" s="1573" t="s">
        <v>8</v>
      </c>
      <c r="W37" s="1574" t="e">
        <f t="shared" si="14"/>
        <v>#N/A</v>
      </c>
      <c r="X37" s="1567"/>
      <c r="Y37" s="3614"/>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14"/>
      <c r="Q38" s="1151" t="str">
        <f t="shared" si="11"/>
        <v>写字楼等级</v>
      </c>
      <c r="R38" s="1568" t="s">
        <v>8</v>
      </c>
      <c r="S38" s="1569">
        <f t="shared" si="12"/>
        <v>100</v>
      </c>
      <c r="T38" s="1568" t="s">
        <v>8</v>
      </c>
      <c r="U38" s="1569">
        <f t="shared" si="13"/>
        <v>100</v>
      </c>
      <c r="V38" s="1568" t="s">
        <v>8</v>
      </c>
      <c r="W38" s="1569">
        <f t="shared" si="14"/>
        <v>100</v>
      </c>
      <c r="X38" s="1570"/>
      <c r="Y38" s="3614"/>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14" t="s">
        <v>550</v>
      </c>
      <c r="Q39" s="1572" t="str">
        <f t="shared" si="11"/>
        <v>物业管理</v>
      </c>
      <c r="R39" s="1573" t="s">
        <v>8</v>
      </c>
      <c r="S39" s="1574">
        <f t="shared" si="12"/>
        <v>100</v>
      </c>
      <c r="T39" s="1573" t="s">
        <v>8</v>
      </c>
      <c r="U39" s="1574">
        <f t="shared" si="13"/>
        <v>100</v>
      </c>
      <c r="V39" s="1573" t="s">
        <v>8</v>
      </c>
      <c r="W39" s="1574">
        <f t="shared" si="14"/>
        <v>100</v>
      </c>
      <c r="X39" s="1567"/>
      <c r="Y39" s="3614" t="s">
        <v>550</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14"/>
      <c r="Q40" s="1572" t="str">
        <f t="shared" si="11"/>
        <v>市政基础设施</v>
      </c>
      <c r="R40" s="1573" t="s">
        <v>8</v>
      </c>
      <c r="S40" s="1574">
        <f t="shared" si="12"/>
        <v>100</v>
      </c>
      <c r="T40" s="1573" t="s">
        <v>8</v>
      </c>
      <c r="U40" s="1574">
        <f t="shared" si="13"/>
        <v>100</v>
      </c>
      <c r="V40" s="1573" t="s">
        <v>8</v>
      </c>
      <c r="W40" s="1574">
        <f t="shared" si="14"/>
        <v>100</v>
      </c>
      <c r="X40" s="1567"/>
      <c r="Y40" s="3614"/>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14"/>
      <c r="Q41" s="1572" t="str">
        <f t="shared" si="11"/>
        <v>层高</v>
      </c>
      <c r="R41" s="1573" t="s">
        <v>8</v>
      </c>
      <c r="S41" s="1574">
        <f t="shared" si="12"/>
        <v>100</v>
      </c>
      <c r="T41" s="1573" t="s">
        <v>8</v>
      </c>
      <c r="U41" s="1574">
        <f t="shared" si="13"/>
        <v>100</v>
      </c>
      <c r="V41" s="1573" t="s">
        <v>8</v>
      </c>
      <c r="W41" s="1574">
        <f t="shared" si="14"/>
        <v>100</v>
      </c>
      <c r="X41" s="1567"/>
      <c r="Y41" s="3614"/>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14"/>
      <c r="Q42" s="1605" t="str">
        <f t="shared" si="11"/>
        <v>单套建筑面积</v>
      </c>
      <c r="R42" s="1577" t="s">
        <v>8</v>
      </c>
      <c r="S42" s="1578">
        <f t="shared" si="12"/>
        <v>100</v>
      </c>
      <c r="T42" s="1577" t="s">
        <v>8</v>
      </c>
      <c r="U42" s="1578">
        <f t="shared" si="13"/>
        <v>100</v>
      </c>
      <c r="V42" s="1577" t="s">
        <v>8</v>
      </c>
      <c r="W42" s="1578">
        <f t="shared" si="14"/>
        <v>100</v>
      </c>
      <c r="X42" s="1579"/>
      <c r="Y42" s="3614"/>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14"/>
      <c r="Q43" s="1572" t="str">
        <f t="shared" si="11"/>
        <v>内部装修</v>
      </c>
      <c r="R43" s="1573" t="s">
        <v>8</v>
      </c>
      <c r="S43" s="1574">
        <f t="shared" si="12"/>
        <v>100</v>
      </c>
      <c r="T43" s="1573" t="s">
        <v>8</v>
      </c>
      <c r="U43" s="1574">
        <f t="shared" si="13"/>
        <v>100</v>
      </c>
      <c r="V43" s="1573" t="s">
        <v>8</v>
      </c>
      <c r="W43" s="1574">
        <f t="shared" si="14"/>
        <v>100</v>
      </c>
      <c r="X43" s="1567"/>
      <c r="Y43" s="3614"/>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14"/>
      <c r="Q44" s="1572" t="str">
        <f t="shared" si="11"/>
        <v>内部装修维护情况</v>
      </c>
      <c r="R44" s="1573" t="s">
        <v>8</v>
      </c>
      <c r="S44" s="1574">
        <f t="shared" si="12"/>
        <v>100</v>
      </c>
      <c r="T44" s="1573" t="s">
        <v>8</v>
      </c>
      <c r="U44" s="1574">
        <f t="shared" si="13"/>
        <v>100</v>
      </c>
      <c r="V44" s="1573" t="s">
        <v>8</v>
      </c>
      <c r="W44" s="1574">
        <f t="shared" si="14"/>
        <v>100</v>
      </c>
      <c r="X44" s="1567"/>
      <c r="Y44" s="3614"/>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14"/>
      <c r="Q45" s="1151">
        <f t="shared" si="11"/>
        <v>111</v>
      </c>
      <c r="R45" s="1568" t="s">
        <v>8</v>
      </c>
      <c r="S45" s="1569">
        <f t="shared" si="12"/>
        <v>100</v>
      </c>
      <c r="T45" s="1568" t="s">
        <v>8</v>
      </c>
      <c r="U45" s="1569">
        <f t="shared" si="13"/>
        <v>100</v>
      </c>
      <c r="V45" s="1568" t="s">
        <v>8</v>
      </c>
      <c r="W45" s="1569">
        <f t="shared" si="14"/>
        <v>100</v>
      </c>
      <c r="X45" s="1570"/>
      <c r="Y45" s="3614"/>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14"/>
      <c r="Q46" s="1572">
        <f t="shared" si="11"/>
        <v>111</v>
      </c>
      <c r="R46" s="1573" t="s">
        <v>8</v>
      </c>
      <c r="S46" s="1574">
        <f t="shared" si="12"/>
        <v>100</v>
      </c>
      <c r="T46" s="1573" t="s">
        <v>8</v>
      </c>
      <c r="U46" s="1574">
        <f t="shared" si="13"/>
        <v>100</v>
      </c>
      <c r="V46" s="1573" t="s">
        <v>8</v>
      </c>
      <c r="W46" s="1574">
        <f t="shared" si="14"/>
        <v>100</v>
      </c>
      <c r="X46" s="1567"/>
      <c r="Y46" s="3614"/>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691"/>
      <c r="Q47" s="1572">
        <f t="shared" si="11"/>
        <v>111</v>
      </c>
      <c r="R47" s="1573" t="s">
        <v>8</v>
      </c>
      <c r="S47" s="1574">
        <f t="shared" si="12"/>
        <v>100</v>
      </c>
      <c r="T47" s="1573" t="s">
        <v>8</v>
      </c>
      <c r="U47" s="1574">
        <f t="shared" si="13"/>
        <v>100</v>
      </c>
      <c r="V47" s="1573" t="s">
        <v>8</v>
      </c>
      <c r="W47" s="1574">
        <f t="shared" si="14"/>
        <v>100</v>
      </c>
      <c r="X47" s="1567"/>
      <c r="Y47" s="3691"/>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573" t="str">
        <f>A48</f>
        <v>成交单价（元/平方米）</v>
      </c>
      <c r="Q48" s="3575"/>
      <c r="R48" s="3690">
        <f>E48</f>
        <v>0</v>
      </c>
      <c r="S48" s="3690"/>
      <c r="T48" s="3690">
        <f>G48</f>
        <v>0</v>
      </c>
      <c r="U48" s="3690"/>
      <c r="V48" s="3690">
        <f>I48</f>
        <v>0</v>
      </c>
      <c r="W48" s="3690"/>
      <c r="X48" s="1559"/>
      <c r="Y48" s="1581"/>
      <c r="Z48" s="1559"/>
      <c r="AA48" s="1559"/>
      <c r="AB48" s="1559"/>
      <c r="AC48" s="1559"/>
    </row>
    <row r="49" spans="1:29" ht="15.75" thickBot="1">
      <c r="A49" s="615" t="s">
        <v>2759</v>
      </c>
      <c r="B49" s="888"/>
      <c r="C49" s="2658" t="e">
        <f>R50</f>
        <v>#DIV/0!</v>
      </c>
      <c r="D49" s="2659"/>
      <c r="E49" s="2660" t="e">
        <f>R49</f>
        <v>#DIV/0!</v>
      </c>
      <c r="F49" s="2660"/>
      <c r="G49" s="2658" t="e">
        <f>T49</f>
        <v>#DIV/0!</v>
      </c>
      <c r="H49" s="2659"/>
      <c r="I49" s="2660" t="e">
        <f>V49</f>
        <v>#DIV/0!</v>
      </c>
      <c r="J49" s="2659"/>
      <c r="K49" s="1612"/>
      <c r="L49" s="2145"/>
      <c r="M49" s="2135"/>
      <c r="N49" s="2135"/>
      <c r="O49" s="2135"/>
      <c r="P49" s="3573" t="str">
        <f>A49</f>
        <v>比较价格（元/平方米）</v>
      </c>
      <c r="Q49" s="3575"/>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559"/>
      <c r="Y49" s="1559"/>
      <c r="Z49" s="1559"/>
      <c r="AA49" s="1559"/>
      <c r="AB49" s="1559"/>
      <c r="AC49" s="1559"/>
    </row>
    <row r="50" spans="1:29" ht="15.75" thickBot="1">
      <c r="A50" s="621" t="s">
        <v>2926</v>
      </c>
      <c r="B50" s="622"/>
      <c r="C50" s="2661" t="e">
        <f>R50</f>
        <v>#DIV/0!</v>
      </c>
      <c r="D50" s="2661"/>
      <c r="E50" s="2661"/>
      <c r="F50" s="2661"/>
      <c r="G50" s="2661"/>
      <c r="H50" s="2661"/>
      <c r="I50" s="2661"/>
      <c r="J50" s="2661"/>
      <c r="K50" s="1613"/>
      <c r="L50" s="2145"/>
      <c r="M50" s="2135"/>
      <c r="N50" s="2135"/>
      <c r="O50" s="2135"/>
      <c r="P50" s="3696" t="str">
        <f>A50</f>
        <v>估价对象XX用房的比较价格（楼面单价，元/平方米）</v>
      </c>
      <c r="Q50" s="3573"/>
      <c r="R50" s="3689" t="e">
        <f>IF(F1="售价",ROUND(AVERAGE(R49:V49),0),ROUND(AVERAGE(R49:V49),1))</f>
        <v>#DIV/0!</v>
      </c>
      <c r="S50" s="3689"/>
      <c r="T50" s="3689"/>
      <c r="U50" s="3689"/>
      <c r="V50" s="3689"/>
      <c r="W50" s="368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2558</v>
      </c>
      <c r="C83" s="2623" t="s">
        <v>2559</v>
      </c>
      <c r="D83" s="2623" t="s">
        <v>2560</v>
      </c>
      <c r="E83" s="2623" t="s">
        <v>2561</v>
      </c>
      <c r="F83" s="2623" t="s">
        <v>2562</v>
      </c>
      <c r="G83" s="2623" t="s">
        <v>2563</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787</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581" t="s">
        <v>522</v>
      </c>
      <c r="D4" s="3582"/>
      <c r="E4" s="3618" t="s">
        <v>523</v>
      </c>
      <c r="F4" s="3619"/>
      <c r="G4" s="3581" t="s">
        <v>524</v>
      </c>
      <c r="H4" s="3582"/>
      <c r="I4" s="3581" t="s">
        <v>525</v>
      </c>
      <c r="J4" s="3582"/>
      <c r="K4" s="514" t="s">
        <v>526</v>
      </c>
      <c r="L4" s="2134"/>
      <c r="M4" s="2135"/>
      <c r="N4" s="2135"/>
      <c r="O4" s="2135"/>
      <c r="P4" s="3583" t="s">
        <v>527</v>
      </c>
      <c r="Q4" s="3584"/>
      <c r="R4" s="3589" t="s">
        <v>523</v>
      </c>
      <c r="S4" s="3590"/>
      <c r="T4" s="3589" t="s">
        <v>524</v>
      </c>
      <c r="U4" s="3590"/>
      <c r="V4" s="3576" t="s">
        <v>525</v>
      </c>
      <c r="W4" s="3576"/>
      <c r="X4" s="1567"/>
      <c r="Y4" s="3589" t="s">
        <v>527</v>
      </c>
      <c r="Z4" s="3590"/>
      <c r="AA4" s="3578" t="s">
        <v>523</v>
      </c>
      <c r="AB4" s="3579" t="s">
        <v>524</v>
      </c>
      <c r="AC4" s="3578" t="s">
        <v>525</v>
      </c>
    </row>
    <row r="5" spans="1:29" ht="15">
      <c r="A5" s="515"/>
      <c r="B5" s="516"/>
      <c r="C5" s="3599" t="s">
        <v>2920</v>
      </c>
      <c r="D5" s="3598"/>
      <c r="E5" s="3620" t="s">
        <v>2921</v>
      </c>
      <c r="F5" s="3621"/>
      <c r="G5" s="3599" t="s">
        <v>2922</v>
      </c>
      <c r="H5" s="3598"/>
      <c r="I5" s="3599" t="s">
        <v>2923</v>
      </c>
      <c r="J5" s="3598"/>
      <c r="K5" s="514"/>
      <c r="L5" s="2134"/>
      <c r="M5" s="2135"/>
      <c r="N5" s="2135"/>
      <c r="O5" s="2135"/>
      <c r="P5" s="3585"/>
      <c r="Q5" s="3586"/>
      <c r="R5" s="3591"/>
      <c r="S5" s="3592"/>
      <c r="T5" s="3591"/>
      <c r="U5" s="3592"/>
      <c r="V5" s="3576"/>
      <c r="W5" s="3576"/>
      <c r="X5" s="1567"/>
      <c r="Y5" s="3591"/>
      <c r="Z5" s="3592"/>
      <c r="AA5" s="3579"/>
      <c r="AB5" s="3579"/>
      <c r="AC5" s="3579"/>
    </row>
    <row r="6" spans="1:29" ht="15.75" thickBot="1">
      <c r="A6" s="517"/>
      <c r="B6" s="518"/>
      <c r="C6" s="3615" t="s">
        <v>2924</v>
      </c>
      <c r="D6" s="3596"/>
      <c r="E6" s="3616" t="s">
        <v>2924</v>
      </c>
      <c r="F6" s="3617"/>
      <c r="G6" s="3615" t="s">
        <v>2924</v>
      </c>
      <c r="H6" s="3596"/>
      <c r="I6" s="3615" t="s">
        <v>2924</v>
      </c>
      <c r="J6" s="3596"/>
      <c r="K6" s="514" t="s">
        <v>528</v>
      </c>
      <c r="L6" s="2134"/>
      <c r="M6" s="2135"/>
      <c r="N6" s="2135"/>
      <c r="O6" s="2135"/>
      <c r="P6" s="3587"/>
      <c r="Q6" s="3588"/>
      <c r="R6" s="3591"/>
      <c r="S6" s="3592"/>
      <c r="T6" s="3593"/>
      <c r="U6" s="3594"/>
      <c r="V6" s="3576"/>
      <c r="W6" s="3576"/>
      <c r="X6" s="1567"/>
      <c r="Y6" s="3593"/>
      <c r="Z6" s="3594"/>
      <c r="AA6" s="3580"/>
      <c r="AB6" s="3580"/>
      <c r="AC6" s="3580"/>
    </row>
    <row r="7" spans="1:29" s="1220" customFormat="1" ht="15.75" thickBot="1">
      <c r="A7" s="2937"/>
      <c r="B7" s="2944" t="s">
        <v>529</v>
      </c>
      <c r="C7" s="519">
        <f>'数据-取费表'!B2</f>
        <v>43236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08" t="s">
        <v>530</v>
      </c>
      <c r="Q7" s="3610"/>
      <c r="R7" s="1568" t="s">
        <v>8</v>
      </c>
      <c r="S7" s="1569">
        <f t="shared" ref="S7:S15" si="0">F7</f>
        <v>0</v>
      </c>
      <c r="T7" s="1568" t="s">
        <v>8</v>
      </c>
      <c r="U7" s="1569">
        <f t="shared" ref="U7:U15" si="1">H7</f>
        <v>0</v>
      </c>
      <c r="V7" s="1568" t="s">
        <v>8</v>
      </c>
      <c r="W7" s="1569">
        <f t="shared" ref="W7:W15" si="2">J7</f>
        <v>0</v>
      </c>
      <c r="X7" s="1570"/>
      <c r="Y7" s="3608" t="s">
        <v>530</v>
      </c>
      <c r="Z7" s="3609"/>
      <c r="AA7" s="1571" t="e">
        <f>D7/F7</f>
        <v>#DIV/0!</v>
      </c>
      <c r="AB7" s="1571" t="e">
        <f>D7/H7</f>
        <v>#DIV/0!</v>
      </c>
      <c r="AC7" s="1571"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08" t="s">
        <v>533</v>
      </c>
      <c r="Q8" s="3609"/>
      <c r="R8" s="1568" t="s">
        <v>8</v>
      </c>
      <c r="S8" s="1569">
        <f t="shared" si="0"/>
        <v>0</v>
      </c>
      <c r="T8" s="1568" t="s">
        <v>8</v>
      </c>
      <c r="U8" s="1569">
        <f t="shared" si="1"/>
        <v>0</v>
      </c>
      <c r="V8" s="1568" t="s">
        <v>8</v>
      </c>
      <c r="W8" s="1569">
        <f t="shared" si="2"/>
        <v>0</v>
      </c>
      <c r="X8" s="1570"/>
      <c r="Y8" s="3608" t="s">
        <v>533</v>
      </c>
      <c r="Z8" s="3609"/>
      <c r="AA8" s="1571" t="e">
        <f t="shared" ref="AA8:AA40" si="3">D8/F8</f>
        <v>#DIV/0!</v>
      </c>
      <c r="AB8" s="1571" t="e">
        <f t="shared" ref="AB8:AB40" si="4">D8/H8</f>
        <v>#DIV/0!</v>
      </c>
      <c r="AC8" s="1571" t="e">
        <f t="shared" ref="AC8:AC40" si="5">D8/J8</f>
        <v>#DIV/0!</v>
      </c>
    </row>
    <row r="9" spans="1:29" s="1220" customFormat="1" ht="15">
      <c r="A9" s="2939"/>
      <c r="B9" s="2946"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575" t="s">
        <v>535</v>
      </c>
      <c r="Q9" s="1151" t="str">
        <f t="shared" ref="Q9:Q15" si="6">B9</f>
        <v>用途</v>
      </c>
      <c r="R9" s="1568" t="s">
        <v>8</v>
      </c>
      <c r="S9" s="1569">
        <f t="shared" si="0"/>
        <v>100</v>
      </c>
      <c r="T9" s="1568" t="s">
        <v>8</v>
      </c>
      <c r="U9" s="1569">
        <f t="shared" si="1"/>
        <v>100</v>
      </c>
      <c r="V9" s="1568" t="s">
        <v>8</v>
      </c>
      <c r="W9" s="1569">
        <f t="shared" si="2"/>
        <v>100</v>
      </c>
      <c r="X9" s="1570"/>
      <c r="Y9" s="3521" t="s">
        <v>536</v>
      </c>
      <c r="Z9" s="1150" t="str">
        <f t="shared" ref="Z9:Z15" si="7">Q9</f>
        <v>用途</v>
      </c>
      <c r="AA9" s="1571">
        <f t="shared" si="3"/>
        <v>1</v>
      </c>
      <c r="AB9" s="1571">
        <f t="shared" si="4"/>
        <v>1</v>
      </c>
      <c r="AC9" s="1571">
        <f t="shared" si="5"/>
        <v>1</v>
      </c>
    </row>
    <row r="10" spans="1:29" s="1338" customFormat="1" ht="27">
      <c r="A10" s="2940"/>
      <c r="B10" s="2945"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575"/>
      <c r="Q10" s="1151" t="str">
        <f t="shared" si="6"/>
        <v>土地使用年限（年）</v>
      </c>
      <c r="R10" s="1568" t="s">
        <v>8</v>
      </c>
      <c r="S10" s="1569">
        <f t="shared" si="0"/>
        <v>100</v>
      </c>
      <c r="T10" s="1568" t="s">
        <v>8</v>
      </c>
      <c r="U10" s="1569">
        <f t="shared" si="1"/>
        <v>100</v>
      </c>
      <c r="V10" s="1568" t="s">
        <v>8</v>
      </c>
      <c r="W10" s="1569">
        <f t="shared" si="2"/>
        <v>100</v>
      </c>
      <c r="X10" s="1570"/>
      <c r="Y10" s="3521"/>
      <c r="Z10" s="1150" t="str">
        <f t="shared" si="7"/>
        <v>土地使用年限（年）</v>
      </c>
      <c r="AA10" s="1571">
        <f t="shared" si="3"/>
        <v>1</v>
      </c>
      <c r="AB10" s="1571">
        <f t="shared" si="4"/>
        <v>1</v>
      </c>
      <c r="AC10" s="1571">
        <f t="shared" si="5"/>
        <v>1</v>
      </c>
    </row>
    <row r="11" spans="1:29" ht="15">
      <c r="A11" s="2941"/>
      <c r="B11" s="294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575"/>
      <c r="Q11" s="1151" t="str">
        <f t="shared" si="6"/>
        <v>容积率</v>
      </c>
      <c r="R11" s="1568" t="s">
        <v>8</v>
      </c>
      <c r="S11" s="1569" t="e">
        <f t="shared" si="0"/>
        <v>#N/A</v>
      </c>
      <c r="T11" s="1568" t="s">
        <v>8</v>
      </c>
      <c r="U11" s="1569" t="e">
        <f t="shared" si="1"/>
        <v>#N/A</v>
      </c>
      <c r="V11" s="1568" t="s">
        <v>8</v>
      </c>
      <c r="W11" s="1569" t="e">
        <f t="shared" si="2"/>
        <v>#N/A</v>
      </c>
      <c r="X11" s="1570"/>
      <c r="Y11" s="352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575"/>
      <c r="Q12" s="1151">
        <f t="shared" si="6"/>
        <v>111</v>
      </c>
      <c r="R12" s="1568" t="s">
        <v>8</v>
      </c>
      <c r="S12" s="1569">
        <f t="shared" si="0"/>
        <v>100</v>
      </c>
      <c r="T12" s="1568" t="s">
        <v>8</v>
      </c>
      <c r="U12" s="1569">
        <f t="shared" si="1"/>
        <v>100</v>
      </c>
      <c r="V12" s="1568" t="s">
        <v>8</v>
      </c>
      <c r="W12" s="1569">
        <f t="shared" si="2"/>
        <v>100</v>
      </c>
      <c r="X12" s="1570"/>
      <c r="Y12" s="3521"/>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575"/>
      <c r="Q13" s="1151">
        <f t="shared" si="6"/>
        <v>111</v>
      </c>
      <c r="R13" s="1568" t="s">
        <v>8</v>
      </c>
      <c r="S13" s="1569">
        <f t="shared" si="0"/>
        <v>100</v>
      </c>
      <c r="T13" s="1568" t="s">
        <v>8</v>
      </c>
      <c r="U13" s="1569">
        <f t="shared" si="1"/>
        <v>100</v>
      </c>
      <c r="V13" s="1568" t="s">
        <v>8</v>
      </c>
      <c r="W13" s="1569">
        <f t="shared" si="2"/>
        <v>100</v>
      </c>
      <c r="X13" s="1570"/>
      <c r="Y13" s="3521"/>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575"/>
      <c r="Q14" s="1151">
        <f t="shared" si="6"/>
        <v>111</v>
      </c>
      <c r="R14" s="1568" t="s">
        <v>8</v>
      </c>
      <c r="S14" s="1569">
        <f t="shared" si="0"/>
        <v>100</v>
      </c>
      <c r="T14" s="1568" t="s">
        <v>8</v>
      </c>
      <c r="U14" s="1569">
        <f t="shared" si="1"/>
        <v>100</v>
      </c>
      <c r="V14" s="1568" t="s">
        <v>8</v>
      </c>
      <c r="W14" s="1569">
        <f t="shared" si="2"/>
        <v>100</v>
      </c>
      <c r="X14" s="1570"/>
      <c r="Y14" s="3521"/>
      <c r="Z14" s="1150">
        <f t="shared" si="7"/>
        <v>111</v>
      </c>
      <c r="AA14" s="1571">
        <f t="shared" si="3"/>
        <v>1</v>
      </c>
      <c r="AB14" s="1571">
        <f t="shared" si="4"/>
        <v>1</v>
      </c>
      <c r="AC14" s="1571">
        <f t="shared" si="5"/>
        <v>1</v>
      </c>
    </row>
    <row r="15" spans="1:29" ht="15">
      <c r="A15" s="2935" t="s">
        <v>2753</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11" t="s">
        <v>540</v>
      </c>
      <c r="Q15" s="1572" t="str">
        <f t="shared" si="6"/>
        <v>产业集聚程度</v>
      </c>
      <c r="R15" s="1573" t="s">
        <v>8</v>
      </c>
      <c r="S15" s="1574">
        <f t="shared" si="0"/>
        <v>100</v>
      </c>
      <c r="T15" s="1573" t="s">
        <v>8</v>
      </c>
      <c r="U15" s="1574">
        <f t="shared" si="1"/>
        <v>100</v>
      </c>
      <c r="V15" s="1573" t="s">
        <v>8</v>
      </c>
      <c r="W15" s="1574">
        <f t="shared" si="2"/>
        <v>100</v>
      </c>
      <c r="X15" s="1567"/>
      <c r="Y15" s="361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12"/>
      <c r="Q16" s="1572"/>
      <c r="R16" s="1573"/>
      <c r="S16" s="1574"/>
      <c r="T16" s="1573"/>
      <c r="U16" s="1574"/>
      <c r="V16" s="1573"/>
      <c r="W16" s="1574"/>
      <c r="X16" s="1567"/>
      <c r="Y16" s="3612"/>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12"/>
      <c r="Q17" s="1572" t="str">
        <f>B17</f>
        <v>交通便捷度</v>
      </c>
      <c r="R17" s="1573" t="s">
        <v>8</v>
      </c>
      <c r="S17" s="1574">
        <f>F17</f>
        <v>100</v>
      </c>
      <c r="T17" s="1573" t="s">
        <v>8</v>
      </c>
      <c r="U17" s="1574">
        <f>H17</f>
        <v>100</v>
      </c>
      <c r="V17" s="1573" t="s">
        <v>8</v>
      </c>
      <c r="W17" s="1574">
        <f>J17</f>
        <v>100</v>
      </c>
      <c r="X17" s="1567"/>
      <c r="Y17" s="361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12"/>
      <c r="Q18" s="1572"/>
      <c r="R18" s="1573"/>
      <c r="S18" s="1574"/>
      <c r="T18" s="1573"/>
      <c r="U18" s="1574"/>
      <c r="V18" s="1573"/>
      <c r="W18" s="1574"/>
      <c r="X18" s="1567"/>
      <c r="Y18" s="3612"/>
      <c r="Z18" s="1575"/>
      <c r="AA18" s="1576">
        <v>1</v>
      </c>
      <c r="AB18" s="1576">
        <v>1</v>
      </c>
      <c r="AC18" s="1576">
        <v>1</v>
      </c>
    </row>
    <row r="19" spans="1:29" ht="15">
      <c r="A19" s="532"/>
      <c r="B19" s="2628" t="s">
        <v>2546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12"/>
      <c r="Q19" s="1572" t="str">
        <f>B19</f>
        <v>公共配套设施</v>
      </c>
      <c r="R19" s="1573" t="s">
        <v>8</v>
      </c>
      <c r="S19" s="1574">
        <f>F19</f>
        <v>100</v>
      </c>
      <c r="T19" s="1573" t="s">
        <v>8</v>
      </c>
      <c r="U19" s="1574">
        <f>H19</f>
        <v>100</v>
      </c>
      <c r="V19" s="1573" t="s">
        <v>8</v>
      </c>
      <c r="W19" s="1574">
        <f>J19</f>
        <v>100</v>
      </c>
      <c r="X19" s="1567"/>
      <c r="Y19" s="361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612"/>
      <c r="Q20" s="1572"/>
      <c r="R20" s="1573"/>
      <c r="S20" s="1574"/>
      <c r="T20" s="1573"/>
      <c r="U20" s="1574"/>
      <c r="V20" s="1573"/>
      <c r="W20" s="1574"/>
      <c r="X20" s="1567"/>
      <c r="Y20" s="3612"/>
      <c r="Z20" s="1575"/>
      <c r="AA20" s="1576">
        <v>1</v>
      </c>
      <c r="AB20" s="1576">
        <v>1</v>
      </c>
      <c r="AC20" s="1576">
        <v>1</v>
      </c>
    </row>
    <row r="21" spans="1:29" ht="15">
      <c r="A21" s="532"/>
      <c r="B21" s="2616" t="s">
        <v>2558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12"/>
      <c r="Q21" s="2604" t="str">
        <f>B21</f>
        <v>基础设施水平</v>
      </c>
      <c r="R21" s="1573" t="s">
        <v>8</v>
      </c>
      <c r="S21" s="1574">
        <f>F21</f>
        <v>100</v>
      </c>
      <c r="T21" s="1573" t="s">
        <v>8</v>
      </c>
      <c r="U21" s="1574">
        <f>H21</f>
        <v>100</v>
      </c>
      <c r="V21" s="1573" t="s">
        <v>8</v>
      </c>
      <c r="W21" s="1574">
        <f>J21</f>
        <v>100</v>
      </c>
      <c r="X21" s="2606"/>
      <c r="Y21" s="3612"/>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12"/>
      <c r="Q22" s="2604"/>
      <c r="R22" s="1573"/>
      <c r="S22" s="1574"/>
      <c r="T22" s="1573"/>
      <c r="U22" s="1574"/>
      <c r="V22" s="1573"/>
      <c r="W22" s="1574"/>
      <c r="X22" s="2606"/>
      <c r="Y22" s="3612"/>
      <c r="Z22" s="2605"/>
      <c r="AA22" s="1576">
        <v>1</v>
      </c>
      <c r="AB22" s="1576">
        <v>1</v>
      </c>
      <c r="AC22" s="1576">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12"/>
      <c r="Q23" s="1572" t="str">
        <f>B23</f>
        <v>环境质量</v>
      </c>
      <c r="R23" s="1573" t="s">
        <v>8</v>
      </c>
      <c r="S23" s="1574">
        <f>F23</f>
        <v>100</v>
      </c>
      <c r="T23" s="1573" t="s">
        <v>8</v>
      </c>
      <c r="U23" s="1574">
        <f>H23</f>
        <v>100</v>
      </c>
      <c r="V23" s="1573" t="s">
        <v>8</v>
      </c>
      <c r="W23" s="1574">
        <f>J23</f>
        <v>100</v>
      </c>
      <c r="X23" s="1567"/>
      <c r="Y23" s="3612"/>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612"/>
      <c r="Q24" s="1572"/>
      <c r="R24" s="1573"/>
      <c r="S24" s="1574"/>
      <c r="T24" s="1573"/>
      <c r="U24" s="1574"/>
      <c r="V24" s="1573"/>
      <c r="W24" s="1574"/>
      <c r="X24" s="1567"/>
      <c r="Y24" s="361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12"/>
      <c r="Q25" s="1572">
        <f>B25</f>
        <v>111</v>
      </c>
      <c r="R25" s="1573" t="s">
        <v>8</v>
      </c>
      <c r="S25" s="1574">
        <f>F25</f>
        <v>100</v>
      </c>
      <c r="T25" s="1573" t="s">
        <v>8</v>
      </c>
      <c r="U25" s="1574">
        <f>H25</f>
        <v>100</v>
      </c>
      <c r="V25" s="1573" t="s">
        <v>8</v>
      </c>
      <c r="W25" s="1574">
        <f>J25</f>
        <v>100</v>
      </c>
      <c r="X25" s="1567"/>
      <c r="Y25" s="361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12"/>
      <c r="Q26" s="1572">
        <f t="shared" ref="Q26:Q40" si="11">B26</f>
        <v>111</v>
      </c>
      <c r="R26" s="1573" t="s">
        <v>8</v>
      </c>
      <c r="S26" s="1574">
        <f>F26</f>
        <v>100</v>
      </c>
      <c r="T26" s="1573" t="s">
        <v>8</v>
      </c>
      <c r="U26" s="1574">
        <f>H26</f>
        <v>100</v>
      </c>
      <c r="V26" s="1573" t="s">
        <v>8</v>
      </c>
      <c r="W26" s="1574">
        <f>J26</f>
        <v>100</v>
      </c>
      <c r="X26" s="1567"/>
      <c r="Y26" s="3612"/>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12"/>
      <c r="Q27" s="1151">
        <f t="shared" si="11"/>
        <v>111</v>
      </c>
      <c r="R27" s="1568" t="s">
        <v>8</v>
      </c>
      <c r="S27" s="1569">
        <f>F27</f>
        <v>100</v>
      </c>
      <c r="T27" s="1568" t="s">
        <v>8</v>
      </c>
      <c r="U27" s="1569">
        <f>H27</f>
        <v>100</v>
      </c>
      <c r="V27" s="1568" t="s">
        <v>8</v>
      </c>
      <c r="W27" s="1569">
        <f>J27</f>
        <v>100</v>
      </c>
      <c r="X27" s="1570"/>
      <c r="Y27" s="3612"/>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12"/>
      <c r="Q28" s="1572">
        <f t="shared" si="11"/>
        <v>111</v>
      </c>
      <c r="R28" s="1573" t="s">
        <v>8</v>
      </c>
      <c r="S28" s="1574">
        <f t="shared" ref="S28:S40" si="12">F28</f>
        <v>100</v>
      </c>
      <c r="T28" s="1573" t="s">
        <v>8</v>
      </c>
      <c r="U28" s="1574">
        <f t="shared" ref="U28:U40" si="13">H28</f>
        <v>100</v>
      </c>
      <c r="V28" s="1573" t="s">
        <v>8</v>
      </c>
      <c r="W28" s="1574">
        <f t="shared" ref="W28:W40" si="14">J28</f>
        <v>100</v>
      </c>
      <c r="X28" s="1567"/>
      <c r="Y28" s="3612"/>
      <c r="Z28" s="1575">
        <f t="shared" ref="Z28:Z40" si="15">Q28</f>
        <v>111</v>
      </c>
      <c r="AA28" s="1576">
        <f t="shared" si="3"/>
        <v>1</v>
      </c>
      <c r="AB28" s="1576">
        <f t="shared" si="4"/>
        <v>1</v>
      </c>
      <c r="AC28" s="1576">
        <f t="shared" si="5"/>
        <v>1</v>
      </c>
    </row>
    <row r="29" spans="1:29" ht="15">
      <c r="A29" s="293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13" t="s">
        <v>550</v>
      </c>
      <c r="Q29" s="1572" t="str">
        <f t="shared" si="11"/>
        <v>建筑类型</v>
      </c>
      <c r="R29" s="1573" t="s">
        <v>8</v>
      </c>
      <c r="S29" s="1574">
        <f t="shared" si="12"/>
        <v>100</v>
      </c>
      <c r="T29" s="1573" t="s">
        <v>8</v>
      </c>
      <c r="U29" s="1574">
        <f t="shared" si="13"/>
        <v>100</v>
      </c>
      <c r="V29" s="1573" t="s">
        <v>8</v>
      </c>
      <c r="W29" s="1574">
        <f t="shared" si="14"/>
        <v>100</v>
      </c>
      <c r="X29" s="1567"/>
      <c r="Y29" s="3614" t="s">
        <v>550</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14"/>
      <c r="Q30" s="1605" t="str">
        <f t="shared" si="11"/>
        <v>项目建筑规模</v>
      </c>
      <c r="R30" s="1577" t="s">
        <v>8</v>
      </c>
      <c r="S30" s="1578" t="e">
        <f t="shared" si="12"/>
        <v>#N/A</v>
      </c>
      <c r="T30" s="1577" t="s">
        <v>8</v>
      </c>
      <c r="U30" s="1578" t="e">
        <f t="shared" si="13"/>
        <v>#N/A</v>
      </c>
      <c r="V30" s="1577" t="s">
        <v>8</v>
      </c>
      <c r="W30" s="1578" t="e">
        <f t="shared" si="14"/>
        <v>#N/A</v>
      </c>
      <c r="X30" s="1579"/>
      <c r="Y30" s="3614"/>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14"/>
      <c r="Q31" s="1572" t="str">
        <f t="shared" si="11"/>
        <v>建筑结构</v>
      </c>
      <c r="R31" s="1573" t="s">
        <v>8</v>
      </c>
      <c r="S31" s="1574">
        <f t="shared" si="12"/>
        <v>100</v>
      </c>
      <c r="T31" s="1573" t="s">
        <v>8</v>
      </c>
      <c r="U31" s="1574">
        <f t="shared" si="13"/>
        <v>100</v>
      </c>
      <c r="V31" s="1573" t="s">
        <v>8</v>
      </c>
      <c r="W31" s="1574">
        <f t="shared" si="14"/>
        <v>100</v>
      </c>
      <c r="X31" s="1567"/>
      <c r="Y31" s="3614"/>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14"/>
      <c r="Q32" s="1572" t="str">
        <f t="shared" si="11"/>
        <v>公共部分装修</v>
      </c>
      <c r="R32" s="1573" t="s">
        <v>8</v>
      </c>
      <c r="S32" s="1574">
        <f t="shared" si="12"/>
        <v>100</v>
      </c>
      <c r="T32" s="1573" t="s">
        <v>8</v>
      </c>
      <c r="U32" s="1574">
        <f t="shared" si="13"/>
        <v>100</v>
      </c>
      <c r="V32" s="1573" t="s">
        <v>8</v>
      </c>
      <c r="W32" s="1574">
        <f t="shared" si="14"/>
        <v>100</v>
      </c>
      <c r="X32" s="1567"/>
      <c r="Y32" s="3614"/>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14"/>
      <c r="Q33" s="1572" t="str">
        <f t="shared" si="11"/>
        <v>成新度</v>
      </c>
      <c r="R33" s="1573" t="s">
        <v>8</v>
      </c>
      <c r="S33" s="1574" t="e">
        <f t="shared" si="12"/>
        <v>#N/A</v>
      </c>
      <c r="T33" s="1573" t="s">
        <v>8</v>
      </c>
      <c r="U33" s="1574" t="e">
        <f t="shared" si="13"/>
        <v>#N/A</v>
      </c>
      <c r="V33" s="1573" t="s">
        <v>8</v>
      </c>
      <c r="W33" s="1574" t="e">
        <f t="shared" si="14"/>
        <v>#N/A</v>
      </c>
      <c r="X33" s="1567"/>
      <c r="Y33" s="3614"/>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14"/>
      <c r="Q34" s="1151" t="str">
        <f t="shared" si="11"/>
        <v>物业管理</v>
      </c>
      <c r="R34" s="1568" t="s">
        <v>8</v>
      </c>
      <c r="S34" s="1569">
        <f t="shared" si="12"/>
        <v>100</v>
      </c>
      <c r="T34" s="1568" t="s">
        <v>8</v>
      </c>
      <c r="U34" s="1569">
        <f t="shared" si="13"/>
        <v>100</v>
      </c>
      <c r="V34" s="1568" t="s">
        <v>8</v>
      </c>
      <c r="W34" s="1569">
        <f t="shared" si="14"/>
        <v>100</v>
      </c>
      <c r="X34" s="1570"/>
      <c r="Y34" s="3614"/>
      <c r="Z34" s="1150"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14" t="s">
        <v>550</v>
      </c>
      <c r="Q35" s="1572" t="str">
        <f t="shared" si="11"/>
        <v>市政基础设施</v>
      </c>
      <c r="R35" s="1573" t="s">
        <v>8</v>
      </c>
      <c r="S35" s="1574">
        <f t="shared" si="12"/>
        <v>100</v>
      </c>
      <c r="T35" s="1573" t="s">
        <v>8</v>
      </c>
      <c r="U35" s="1574">
        <f t="shared" si="13"/>
        <v>100</v>
      </c>
      <c r="V35" s="1573" t="s">
        <v>8</v>
      </c>
      <c r="W35" s="1574">
        <f t="shared" si="14"/>
        <v>100</v>
      </c>
      <c r="X35" s="1567"/>
      <c r="Y35" s="3614" t="s">
        <v>550</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14"/>
      <c r="Q36" s="1572" t="str">
        <f t="shared" si="11"/>
        <v>内部装修</v>
      </c>
      <c r="R36" s="1573" t="s">
        <v>8</v>
      </c>
      <c r="S36" s="1574">
        <f t="shared" si="12"/>
        <v>100</v>
      </c>
      <c r="T36" s="1573" t="s">
        <v>8</v>
      </c>
      <c r="U36" s="1574">
        <f t="shared" si="13"/>
        <v>100</v>
      </c>
      <c r="V36" s="1573" t="s">
        <v>8</v>
      </c>
      <c r="W36" s="1574">
        <f t="shared" si="14"/>
        <v>100</v>
      </c>
      <c r="X36" s="1567"/>
      <c r="Y36" s="3614"/>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14"/>
      <c r="Q37" s="1572" t="str">
        <f t="shared" si="11"/>
        <v>内部装修状况</v>
      </c>
      <c r="R37" s="1573" t="s">
        <v>8</v>
      </c>
      <c r="S37" s="1574">
        <f t="shared" si="12"/>
        <v>100</v>
      </c>
      <c r="T37" s="1573" t="s">
        <v>8</v>
      </c>
      <c r="U37" s="1574">
        <f t="shared" si="13"/>
        <v>100</v>
      </c>
      <c r="V37" s="1573" t="s">
        <v>8</v>
      </c>
      <c r="W37" s="1574">
        <f t="shared" si="14"/>
        <v>100</v>
      </c>
      <c r="X37" s="1567"/>
      <c r="Y37" s="3614"/>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14"/>
      <c r="Q38" s="1605">
        <f t="shared" si="11"/>
        <v>111</v>
      </c>
      <c r="R38" s="1577" t="s">
        <v>8</v>
      </c>
      <c r="S38" s="1578">
        <f t="shared" si="12"/>
        <v>100</v>
      </c>
      <c r="T38" s="1577" t="s">
        <v>8</v>
      </c>
      <c r="U38" s="1578">
        <f t="shared" si="13"/>
        <v>100</v>
      </c>
      <c r="V38" s="1577" t="s">
        <v>8</v>
      </c>
      <c r="W38" s="1578">
        <f t="shared" si="14"/>
        <v>100</v>
      </c>
      <c r="X38" s="1579"/>
      <c r="Y38" s="361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14"/>
      <c r="Q39" s="1572">
        <f t="shared" si="11"/>
        <v>111</v>
      </c>
      <c r="R39" s="1573" t="s">
        <v>8</v>
      </c>
      <c r="S39" s="1574">
        <f t="shared" si="12"/>
        <v>100</v>
      </c>
      <c r="T39" s="1573" t="s">
        <v>8</v>
      </c>
      <c r="U39" s="1574">
        <f t="shared" si="13"/>
        <v>100</v>
      </c>
      <c r="V39" s="1573" t="s">
        <v>8</v>
      </c>
      <c r="W39" s="1574">
        <f t="shared" si="14"/>
        <v>100</v>
      </c>
      <c r="X39" s="1567"/>
      <c r="Y39" s="361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691"/>
      <c r="Q40" s="1572">
        <f t="shared" si="11"/>
        <v>111</v>
      </c>
      <c r="R40" s="1573" t="s">
        <v>8</v>
      </c>
      <c r="S40" s="1574">
        <f t="shared" si="12"/>
        <v>100</v>
      </c>
      <c r="T40" s="1573" t="s">
        <v>8</v>
      </c>
      <c r="U40" s="1574">
        <f t="shared" si="13"/>
        <v>100</v>
      </c>
      <c r="V40" s="1573" t="s">
        <v>8</v>
      </c>
      <c r="W40" s="1574">
        <f t="shared" si="14"/>
        <v>100</v>
      </c>
      <c r="X40" s="1567"/>
      <c r="Y40" s="3691"/>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575" t="str">
        <f>A41</f>
        <v>成交单价（元/平方米）</v>
      </c>
      <c r="Q41" s="3575"/>
      <c r="R41" s="3690">
        <f>E41</f>
        <v>0</v>
      </c>
      <c r="S41" s="3690"/>
      <c r="T41" s="3690">
        <f>G41</f>
        <v>0</v>
      </c>
      <c r="U41" s="3690"/>
      <c r="V41" s="3690">
        <f>I41</f>
        <v>0</v>
      </c>
      <c r="W41" s="3690"/>
      <c r="X41" s="1559"/>
      <c r="Y41" s="1581"/>
      <c r="Z41" s="1559"/>
      <c r="AA41" s="1559"/>
      <c r="AB41" s="1559"/>
      <c r="AC41" s="1559"/>
    </row>
    <row r="42" spans="1:29" ht="15.75" thickBot="1">
      <c r="A42" s="615" t="s">
        <v>2759</v>
      </c>
      <c r="B42" s="888"/>
      <c r="C42" s="2658" t="e">
        <f>R43</f>
        <v>#DIV/0!</v>
      </c>
      <c r="D42" s="2659"/>
      <c r="E42" s="2660" t="e">
        <f>R42</f>
        <v>#DIV/0!</v>
      </c>
      <c r="F42" s="2660"/>
      <c r="G42" s="2658" t="e">
        <f>T42</f>
        <v>#DIV/0!</v>
      </c>
      <c r="H42" s="2659"/>
      <c r="I42" s="2660" t="e">
        <f>V42</f>
        <v>#DIV/0!</v>
      </c>
      <c r="J42" s="2659"/>
      <c r="K42" s="1612"/>
      <c r="L42" s="2145"/>
      <c r="M42" s="2146"/>
      <c r="N42" s="2135"/>
      <c r="O42" s="2146"/>
      <c r="P42" s="3575" t="str">
        <f>A42</f>
        <v>比较价格（元/平方米）</v>
      </c>
      <c r="Q42" s="3575"/>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559"/>
      <c r="Y42" s="1559"/>
      <c r="Z42" s="1559"/>
      <c r="AA42" s="1559"/>
      <c r="AB42" s="1559"/>
      <c r="AC42" s="1559"/>
    </row>
    <row r="43" spans="1:29" ht="15.75" thickBot="1">
      <c r="A43" s="621" t="s">
        <v>2926</v>
      </c>
      <c r="B43" s="622"/>
      <c r="C43" s="2661" t="e">
        <f>R43</f>
        <v>#DIV/0!</v>
      </c>
      <c r="D43" s="2661"/>
      <c r="E43" s="2661"/>
      <c r="F43" s="2661"/>
      <c r="G43" s="2661"/>
      <c r="H43" s="2661"/>
      <c r="I43" s="2661"/>
      <c r="J43" s="2661"/>
      <c r="K43" s="1613"/>
      <c r="L43" s="2145"/>
      <c r="M43" s="2146"/>
      <c r="N43" s="2146"/>
      <c r="O43" s="2146"/>
      <c r="P43" s="3572" t="str">
        <f>A43</f>
        <v>估价对象XX用房的比较价格（楼面单价，元/平方米）</v>
      </c>
      <c r="Q43" s="3573"/>
      <c r="R43" s="3689" t="e">
        <f>IF(F1="售价",ROUND(AVERAGE(R42:V42),0),ROUND(AVERAGE(R42:V42),1))</f>
        <v>#DIV/0!</v>
      </c>
      <c r="S43" s="3689"/>
      <c r="T43" s="3689"/>
      <c r="U43" s="3689"/>
      <c r="V43" s="3689"/>
      <c r="W43" s="368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2558</v>
      </c>
      <c r="C76" s="2623" t="s">
        <v>2559</v>
      </c>
      <c r="D76" s="2623" t="s">
        <v>2560</v>
      </c>
      <c r="E76" s="2623" t="s">
        <v>2561</v>
      </c>
      <c r="F76" s="2623" t="s">
        <v>2562</v>
      </c>
      <c r="G76" s="2623"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8.875" defaultRowHeight="13.5"/>
  <cols>
    <col min="1" max="1" width="84" style="1779" customWidth="1"/>
    <col min="2" max="2" width="8.875" style="1779"/>
    <col min="3" max="4" width="9.625" style="1779" customWidth="1"/>
    <col min="5" max="16384" width="8.875" style="1779"/>
  </cols>
  <sheetData>
    <row r="1" spans="1:4" ht="22.5">
      <c r="A1" s="1778" t="s">
        <v>1904</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受贵公司委托，我公司对河南省安阳市文峰区光明路与富泉街交叉口东北角出让国有建设用地使用权抵押价格进行了预评估。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安阳建业城市建设有限公司使用的、位于河南省安阳市文峰区光明路与富泉街交叉口东北角出让国有建设用地使用权。根据《国有土地使用证》[]，估价对象（分摊）出让国有建设用地使用权面积为67358.31平方米。根据《建设工程规划许可证》[]、《出让合同》[]，估价对象规划建筑面积为156303.05平方米。</v>
      </c>
    </row>
    <row r="7" spans="1:4" ht="93.75">
      <c r="A7" s="2898" t="s">
        <v>2747</v>
      </c>
    </row>
    <row r="8" spans="1:4" ht="18.75">
      <c r="A8" s="1795" t="s">
        <v>1906</v>
      </c>
    </row>
    <row r="9" spans="1:4" ht="93.75">
      <c r="A9" s="1797" t="str">
        <f>IF(项目基本情况!B8="抵押",IF(项目基本情况!B5=项目基本情况!B6,定义!C51,定义!B51),定义!D51)</f>
        <v>安阳建业城市建设有限公司拟使用河南省安阳市文峰区光明路与富泉街交叉口东北角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2018年5月16日（评估专业人员勘察现场之日）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根据《国有土地使用证》[]，本次评估估价对象证载（地类）用途为城镇住宅用地，其他商服用地。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根据《国有土地使用证》[]，估价对象（分摊）出让国有建设用地使用权面积为67358.31平方米。根据《建设工程规划许可证》[]、《出让合同》[]，估价对象规划建筑面积为156303.05平方米。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16日，在规划利用条件下、设定土地开发程度为红线外“七通”、宗地内场地平整，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581" t="s">
        <v>797</v>
      </c>
      <c r="D4" s="3582"/>
      <c r="E4" s="3581" t="s">
        <v>798</v>
      </c>
      <c r="F4" s="3582"/>
      <c r="G4" s="3581" t="s">
        <v>799</v>
      </c>
      <c r="H4" s="3582"/>
      <c r="I4" s="3581" t="s">
        <v>800</v>
      </c>
      <c r="J4" s="3582"/>
      <c r="K4" s="514" t="s">
        <v>801</v>
      </c>
      <c r="L4" s="2134"/>
      <c r="M4" s="2135"/>
      <c r="N4" s="2135"/>
      <c r="O4" s="2135"/>
      <c r="P4" s="3583" t="s">
        <v>802</v>
      </c>
      <c r="Q4" s="3584"/>
      <c r="R4" s="3589" t="s">
        <v>798</v>
      </c>
      <c r="S4" s="3590"/>
      <c r="T4" s="3589" t="s">
        <v>799</v>
      </c>
      <c r="U4" s="3590"/>
      <c r="V4" s="3576" t="s">
        <v>800</v>
      </c>
      <c r="W4" s="3576"/>
      <c r="X4" s="1567"/>
      <c r="Y4" s="3589" t="s">
        <v>802</v>
      </c>
      <c r="Z4" s="3590"/>
      <c r="AA4" s="3578" t="s">
        <v>798</v>
      </c>
      <c r="AB4" s="3579" t="s">
        <v>799</v>
      </c>
      <c r="AC4" s="3578" t="s">
        <v>800</v>
      </c>
    </row>
    <row r="5" spans="1:29" ht="15">
      <c r="A5" s="515"/>
      <c r="B5" s="516"/>
      <c r="C5" s="3599" t="s">
        <v>2920</v>
      </c>
      <c r="D5" s="3598"/>
      <c r="E5" s="3599" t="s">
        <v>2921</v>
      </c>
      <c r="F5" s="3598"/>
      <c r="G5" s="3599" t="s">
        <v>2922</v>
      </c>
      <c r="H5" s="3598"/>
      <c r="I5" s="3599" t="s">
        <v>2923</v>
      </c>
      <c r="J5" s="3598"/>
      <c r="K5" s="514"/>
      <c r="L5" s="2134"/>
      <c r="M5" s="2135"/>
      <c r="N5" s="2135"/>
      <c r="O5" s="2135"/>
      <c r="P5" s="3585"/>
      <c r="Q5" s="3586"/>
      <c r="R5" s="3591"/>
      <c r="S5" s="3592"/>
      <c r="T5" s="3591"/>
      <c r="U5" s="3592"/>
      <c r="V5" s="3576"/>
      <c r="W5" s="3576"/>
      <c r="X5" s="1567"/>
      <c r="Y5" s="3591"/>
      <c r="Z5" s="3592"/>
      <c r="AA5" s="3579"/>
      <c r="AB5" s="3579"/>
      <c r="AC5" s="3579"/>
    </row>
    <row r="6" spans="1:29" ht="15.75" thickBot="1">
      <c r="A6" s="517"/>
      <c r="B6" s="518"/>
      <c r="C6" s="3615" t="s">
        <v>2924</v>
      </c>
      <c r="D6" s="3596"/>
      <c r="E6" s="3600" t="s">
        <v>2924</v>
      </c>
      <c r="F6" s="3601"/>
      <c r="G6" s="3615" t="s">
        <v>2924</v>
      </c>
      <c r="H6" s="3596"/>
      <c r="I6" s="3615" t="s">
        <v>2924</v>
      </c>
      <c r="J6" s="3596"/>
      <c r="K6" s="514" t="s">
        <v>528</v>
      </c>
      <c r="L6" s="2134"/>
      <c r="M6" s="2135"/>
      <c r="N6" s="2135"/>
      <c r="O6" s="2135"/>
      <c r="P6" s="3587"/>
      <c r="Q6" s="3588"/>
      <c r="R6" s="3591"/>
      <c r="S6" s="3592"/>
      <c r="T6" s="3593"/>
      <c r="U6" s="3594"/>
      <c r="V6" s="3576"/>
      <c r="W6" s="3576"/>
      <c r="X6" s="1567"/>
      <c r="Y6" s="3593"/>
      <c r="Z6" s="3594"/>
      <c r="AA6" s="3580"/>
      <c r="AB6" s="3580"/>
      <c r="AC6" s="3580"/>
    </row>
    <row r="7" spans="1:29" s="1220" customFormat="1" ht="15.75" thickBot="1">
      <c r="A7" s="2937"/>
      <c r="B7" s="2944" t="s">
        <v>529</v>
      </c>
      <c r="C7" s="519">
        <f>'数据-取费表'!B2</f>
        <v>43236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08" t="s">
        <v>530</v>
      </c>
      <c r="Q7" s="3610"/>
      <c r="R7" s="1568" t="s">
        <v>8</v>
      </c>
      <c r="S7" s="1569">
        <f t="shared" ref="S7:S14" si="0">F7</f>
        <v>0</v>
      </c>
      <c r="T7" s="1568" t="s">
        <v>8</v>
      </c>
      <c r="U7" s="1569">
        <f t="shared" ref="U7:U14" si="1">H7</f>
        <v>0</v>
      </c>
      <c r="V7" s="1568" t="s">
        <v>8</v>
      </c>
      <c r="W7" s="1569">
        <f t="shared" ref="W7:W14" si="2">J7</f>
        <v>0</v>
      </c>
      <c r="X7" s="1570"/>
      <c r="Y7" s="3608" t="s">
        <v>530</v>
      </c>
      <c r="Z7" s="3609"/>
      <c r="AA7" s="1571" t="e">
        <f>D7/F7</f>
        <v>#DIV/0!</v>
      </c>
      <c r="AB7" s="1571" t="e">
        <f>D7/H7</f>
        <v>#DIV/0!</v>
      </c>
      <c r="AC7" s="1571"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08" t="s">
        <v>533</v>
      </c>
      <c r="Q8" s="3609"/>
      <c r="R8" s="1568" t="s">
        <v>8</v>
      </c>
      <c r="S8" s="1569">
        <f t="shared" si="0"/>
        <v>0</v>
      </c>
      <c r="T8" s="1568" t="s">
        <v>8</v>
      </c>
      <c r="U8" s="1569">
        <f t="shared" si="1"/>
        <v>0</v>
      </c>
      <c r="V8" s="1568" t="s">
        <v>8</v>
      </c>
      <c r="W8" s="1569">
        <f t="shared" si="2"/>
        <v>0</v>
      </c>
      <c r="X8" s="1570"/>
      <c r="Y8" s="3608" t="s">
        <v>533</v>
      </c>
      <c r="Z8" s="3609"/>
      <c r="AA8" s="1571" t="e">
        <f t="shared" ref="AA8:AA36" si="3">D8/F8</f>
        <v>#DIV/0!</v>
      </c>
      <c r="AB8" s="1571" t="e">
        <f t="shared" ref="AB8:AB36" si="4">D8/H8</f>
        <v>#DIV/0!</v>
      </c>
      <c r="AC8" s="1571" t="e">
        <f t="shared" ref="AC8:AC36" si="5">D8/J8</f>
        <v>#DIV/0!</v>
      </c>
    </row>
    <row r="9" spans="1:29" s="1220" customFormat="1" ht="15">
      <c r="A9" s="2939"/>
      <c r="B9" s="2946"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575" t="s">
        <v>535</v>
      </c>
      <c r="Q9" s="1151" t="str">
        <f t="shared" ref="Q9:Q14" si="6">B9</f>
        <v>用途</v>
      </c>
      <c r="R9" s="1568" t="s">
        <v>8</v>
      </c>
      <c r="S9" s="1569">
        <f t="shared" si="0"/>
        <v>100</v>
      </c>
      <c r="T9" s="1568" t="s">
        <v>8</v>
      </c>
      <c r="U9" s="1569">
        <f t="shared" si="1"/>
        <v>100</v>
      </c>
      <c r="V9" s="1568" t="s">
        <v>8</v>
      </c>
      <c r="W9" s="1569">
        <f t="shared" si="2"/>
        <v>100</v>
      </c>
      <c r="X9" s="1570"/>
      <c r="Y9" s="3521" t="s">
        <v>536</v>
      </c>
      <c r="Z9" s="1150" t="str">
        <f t="shared" ref="Z9:Z14" si="7">Q9</f>
        <v>用途</v>
      </c>
      <c r="AA9" s="1571">
        <f t="shared" si="3"/>
        <v>1</v>
      </c>
      <c r="AB9" s="1571">
        <f t="shared" si="4"/>
        <v>1</v>
      </c>
      <c r="AC9" s="1571">
        <f t="shared" si="5"/>
        <v>1</v>
      </c>
    </row>
    <row r="10" spans="1:29" s="1338" customFormat="1" ht="27">
      <c r="A10" s="2940"/>
      <c r="B10" s="2945"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575"/>
      <c r="Q10" s="1151" t="str">
        <f t="shared" si="6"/>
        <v>土地使用年限（年）</v>
      </c>
      <c r="R10" s="1568" t="s">
        <v>8</v>
      </c>
      <c r="S10" s="1569">
        <f t="shared" si="0"/>
        <v>100</v>
      </c>
      <c r="T10" s="1568" t="s">
        <v>8</v>
      </c>
      <c r="U10" s="1569">
        <f t="shared" si="1"/>
        <v>100</v>
      </c>
      <c r="V10" s="1568" t="s">
        <v>8</v>
      </c>
      <c r="W10" s="1569">
        <f t="shared" si="2"/>
        <v>100</v>
      </c>
      <c r="X10" s="1570"/>
      <c r="Y10" s="3521"/>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575"/>
      <c r="Q11" s="1151">
        <f t="shared" si="6"/>
        <v>111</v>
      </c>
      <c r="R11" s="1568" t="s">
        <v>8</v>
      </c>
      <c r="S11" s="1569">
        <f t="shared" si="0"/>
        <v>100</v>
      </c>
      <c r="T11" s="1568" t="s">
        <v>8</v>
      </c>
      <c r="U11" s="1569">
        <f t="shared" si="1"/>
        <v>100</v>
      </c>
      <c r="V11" s="1568" t="s">
        <v>8</v>
      </c>
      <c r="W11" s="1569">
        <f t="shared" si="2"/>
        <v>100</v>
      </c>
      <c r="X11" s="1570"/>
      <c r="Y11" s="3521"/>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575"/>
      <c r="Q12" s="1151">
        <f t="shared" si="6"/>
        <v>111</v>
      </c>
      <c r="R12" s="1568" t="s">
        <v>8</v>
      </c>
      <c r="S12" s="1569">
        <f t="shared" si="0"/>
        <v>100</v>
      </c>
      <c r="T12" s="1568" t="s">
        <v>8</v>
      </c>
      <c r="U12" s="1569">
        <f t="shared" si="1"/>
        <v>100</v>
      </c>
      <c r="V12" s="1568" t="s">
        <v>8</v>
      </c>
      <c r="W12" s="1569">
        <f t="shared" si="2"/>
        <v>100</v>
      </c>
      <c r="X12" s="1570"/>
      <c r="Y12" s="3521"/>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575"/>
      <c r="Q13" s="1151">
        <f t="shared" si="6"/>
        <v>111</v>
      </c>
      <c r="R13" s="1568" t="s">
        <v>8</v>
      </c>
      <c r="S13" s="1569">
        <f t="shared" si="0"/>
        <v>100</v>
      </c>
      <c r="T13" s="1568" t="s">
        <v>8</v>
      </c>
      <c r="U13" s="1569">
        <f t="shared" si="1"/>
        <v>100</v>
      </c>
      <c r="V13" s="1568" t="s">
        <v>8</v>
      </c>
      <c r="W13" s="1569">
        <f t="shared" si="2"/>
        <v>100</v>
      </c>
      <c r="X13" s="1570"/>
      <c r="Y13" s="3521"/>
      <c r="Z13" s="1150">
        <f t="shared" si="7"/>
        <v>111</v>
      </c>
      <c r="AA13" s="1571">
        <f t="shared" si="3"/>
        <v>1</v>
      </c>
      <c r="AB13" s="1571">
        <f t="shared" si="4"/>
        <v>1</v>
      </c>
      <c r="AC13" s="1571">
        <f t="shared" si="5"/>
        <v>1</v>
      </c>
    </row>
    <row r="14" spans="1:29" ht="128.25">
      <c r="A14" s="2935" t="s">
        <v>2753</v>
      </c>
      <c r="B14" s="547" t="s">
        <v>543</v>
      </c>
      <c r="C14" s="921" t="str">
        <f>IF(B1="工业",估价对象房地状况!G4,估价对象房地状况!C6)</f>
        <v>周边道路状况、公共交通通达情况、停车便捷程度（北至文峰大道 南至文明大道 均为城市主干道 南距安阳东站直线1.5公里 y1路 11路 16路）</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11" t="s">
        <v>540</v>
      </c>
      <c r="Q14" s="1572" t="str">
        <f t="shared" si="6"/>
        <v>交通便捷度</v>
      </c>
      <c r="R14" s="1573" t="s">
        <v>8</v>
      </c>
      <c r="S14" s="1574">
        <f t="shared" si="0"/>
        <v>100</v>
      </c>
      <c r="T14" s="1573" t="s">
        <v>8</v>
      </c>
      <c r="U14" s="1574">
        <f t="shared" si="1"/>
        <v>100</v>
      </c>
      <c r="V14" s="1573" t="s">
        <v>8</v>
      </c>
      <c r="W14" s="1574">
        <f t="shared" si="2"/>
        <v>100</v>
      </c>
      <c r="X14" s="1567"/>
      <c r="Y14" s="3611"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612"/>
      <c r="Q15" s="1572"/>
      <c r="R15" s="1573"/>
      <c r="S15" s="1574"/>
      <c r="T15" s="1573"/>
      <c r="U15" s="1574"/>
      <c r="V15" s="1573"/>
      <c r="W15" s="1574"/>
      <c r="X15" s="1567"/>
      <c r="Y15" s="3612"/>
      <c r="Z15" s="1575"/>
      <c r="AA15" s="1576">
        <v>1</v>
      </c>
      <c r="AB15" s="1576">
        <v>1</v>
      </c>
      <c r="AC15" s="1576">
        <v>1</v>
      </c>
    </row>
    <row r="16" spans="1:29" ht="15">
      <c r="A16" s="515"/>
      <c r="B16" s="2628" t="s">
        <v>2546</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12"/>
      <c r="Q16" s="1572" t="str">
        <f>B16</f>
        <v>公共配套设施</v>
      </c>
      <c r="R16" s="1573" t="s">
        <v>8</v>
      </c>
      <c r="S16" s="1574">
        <f>F16</f>
        <v>100</v>
      </c>
      <c r="T16" s="1573" t="s">
        <v>8</v>
      </c>
      <c r="U16" s="1574">
        <f>H16</f>
        <v>100</v>
      </c>
      <c r="V16" s="1573" t="s">
        <v>8</v>
      </c>
      <c r="W16" s="1574">
        <f>J16</f>
        <v>100</v>
      </c>
      <c r="X16" s="1567"/>
      <c r="Y16" s="361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612"/>
      <c r="Q17" s="1572"/>
      <c r="R17" s="1573"/>
      <c r="S17" s="1574"/>
      <c r="T17" s="1573"/>
      <c r="U17" s="1574"/>
      <c r="V17" s="1573"/>
      <c r="W17" s="1574"/>
      <c r="X17" s="1567"/>
      <c r="Y17" s="3612"/>
      <c r="Z17" s="1575"/>
      <c r="AA17" s="1576">
        <v>1</v>
      </c>
      <c r="AB17" s="1576">
        <v>1</v>
      </c>
      <c r="AC17" s="1576">
        <v>1</v>
      </c>
    </row>
    <row r="18" spans="1:29" ht="15">
      <c r="A18" s="515"/>
      <c r="B18" s="2616" t="s">
        <v>2558</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12"/>
      <c r="Q18" s="2604" t="str">
        <f>B18</f>
        <v>基础设施水平</v>
      </c>
      <c r="R18" s="1573" t="s">
        <v>8</v>
      </c>
      <c r="S18" s="1574">
        <f>F18</f>
        <v>100</v>
      </c>
      <c r="T18" s="1573" t="s">
        <v>8</v>
      </c>
      <c r="U18" s="1574">
        <f>H18</f>
        <v>100</v>
      </c>
      <c r="V18" s="1573" t="s">
        <v>8</v>
      </c>
      <c r="W18" s="1574">
        <f>J18</f>
        <v>100</v>
      </c>
      <c r="X18" s="2606"/>
      <c r="Y18" s="3612"/>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12"/>
      <c r="Q19" s="2604"/>
      <c r="R19" s="1573"/>
      <c r="S19" s="1574"/>
      <c r="T19" s="1573"/>
      <c r="U19" s="1574"/>
      <c r="V19" s="1573"/>
      <c r="W19" s="1574"/>
      <c r="X19" s="2606"/>
      <c r="Y19" s="3612"/>
      <c r="Z19" s="2605"/>
      <c r="AA19" s="1576">
        <v>1</v>
      </c>
      <c r="AB19" s="1576">
        <v>1</v>
      </c>
      <c r="AC19" s="1576">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12"/>
      <c r="Q20" s="1572" t="str">
        <f>B20</f>
        <v>自然及人文环境</v>
      </c>
      <c r="R20" s="1573" t="s">
        <v>8</v>
      </c>
      <c r="S20" s="1574">
        <f>F20</f>
        <v>100</v>
      </c>
      <c r="T20" s="1573" t="s">
        <v>8</v>
      </c>
      <c r="U20" s="1574">
        <f>H20</f>
        <v>100</v>
      </c>
      <c r="V20" s="1573" t="s">
        <v>8</v>
      </c>
      <c r="W20" s="1574">
        <f>J20</f>
        <v>100</v>
      </c>
      <c r="X20" s="1567"/>
      <c r="Y20" s="361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612"/>
      <c r="Q21" s="1572"/>
      <c r="R21" s="1573"/>
      <c r="S21" s="1574"/>
      <c r="T21" s="1573"/>
      <c r="U21" s="1574"/>
      <c r="V21" s="1573"/>
      <c r="W21" s="1574"/>
      <c r="X21" s="1567"/>
      <c r="Y21" s="3612"/>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12"/>
      <c r="Q22" s="1572" t="str">
        <f>B22</f>
        <v>楼层</v>
      </c>
      <c r="R22" s="1573" t="s">
        <v>8</v>
      </c>
      <c r="S22" s="1574">
        <f>F22</f>
        <v>100</v>
      </c>
      <c r="T22" s="1573" t="s">
        <v>8</v>
      </c>
      <c r="U22" s="1574">
        <f>H22</f>
        <v>100</v>
      </c>
      <c r="V22" s="1573" t="s">
        <v>8</v>
      </c>
      <c r="W22" s="1574">
        <f>J22</f>
        <v>100</v>
      </c>
      <c r="X22" s="1567"/>
      <c r="Y22" s="3612"/>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12"/>
      <c r="Q23" s="1572">
        <f>B23</f>
        <v>111</v>
      </c>
      <c r="R23" s="1573" t="s">
        <v>8</v>
      </c>
      <c r="S23" s="1574">
        <f>F23</f>
        <v>100</v>
      </c>
      <c r="T23" s="1573" t="s">
        <v>8</v>
      </c>
      <c r="U23" s="1574">
        <f>H23</f>
        <v>100</v>
      </c>
      <c r="V23" s="1573" t="s">
        <v>8</v>
      </c>
      <c r="W23" s="1574">
        <f>J23</f>
        <v>100</v>
      </c>
      <c r="X23" s="1567"/>
      <c r="Y23" s="3612"/>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12"/>
      <c r="Q24" s="1572">
        <f t="shared" ref="Q24:Q36" si="11">B24</f>
        <v>111</v>
      </c>
      <c r="R24" s="1573" t="s">
        <v>8</v>
      </c>
      <c r="S24" s="1574">
        <f>F24</f>
        <v>100</v>
      </c>
      <c r="T24" s="1573" t="s">
        <v>8</v>
      </c>
      <c r="U24" s="1574">
        <f>H24</f>
        <v>100</v>
      </c>
      <c r="V24" s="1573" t="s">
        <v>8</v>
      </c>
      <c r="W24" s="1574">
        <f>J24</f>
        <v>100</v>
      </c>
      <c r="X24" s="1567"/>
      <c r="Y24" s="3612"/>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12"/>
      <c r="Q25" s="1151">
        <f t="shared" si="11"/>
        <v>111</v>
      </c>
      <c r="R25" s="1568" t="s">
        <v>8</v>
      </c>
      <c r="S25" s="1569">
        <f>F25</f>
        <v>100</v>
      </c>
      <c r="T25" s="1568" t="s">
        <v>8</v>
      </c>
      <c r="U25" s="1569">
        <f>H25</f>
        <v>100</v>
      </c>
      <c r="V25" s="1568" t="s">
        <v>8</v>
      </c>
      <c r="W25" s="1569">
        <f>J25</f>
        <v>100</v>
      </c>
      <c r="X25" s="1570"/>
      <c r="Y25" s="3612"/>
      <c r="Z25" s="1150">
        <f>Q25</f>
        <v>111</v>
      </c>
      <c r="AA25" s="1576">
        <f>D25/F25</f>
        <v>1</v>
      </c>
      <c r="AB25" s="1576">
        <f>D25/H25</f>
        <v>1</v>
      </c>
      <c r="AC25" s="1576">
        <f>D25/J25</f>
        <v>1</v>
      </c>
    </row>
    <row r="26" spans="1:29" ht="15">
      <c r="A26" s="293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1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14" t="s">
        <v>550</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14"/>
      <c r="Q27" s="1605" t="str">
        <f t="shared" si="11"/>
        <v>项目停车位配比</v>
      </c>
      <c r="R27" s="1577" t="s">
        <v>8</v>
      </c>
      <c r="S27" s="1578">
        <f t="shared" si="12"/>
        <v>100</v>
      </c>
      <c r="T27" s="1577" t="s">
        <v>8</v>
      </c>
      <c r="U27" s="1578">
        <f t="shared" si="13"/>
        <v>100</v>
      </c>
      <c r="V27" s="1577" t="s">
        <v>8</v>
      </c>
      <c r="W27" s="1578">
        <f t="shared" si="14"/>
        <v>100</v>
      </c>
      <c r="X27" s="1579"/>
      <c r="Y27" s="3614"/>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14"/>
      <c r="Q28" s="1572" t="str">
        <f t="shared" si="11"/>
        <v>公共部分装修</v>
      </c>
      <c r="R28" s="1573" t="s">
        <v>8</v>
      </c>
      <c r="S28" s="1574">
        <f t="shared" si="12"/>
        <v>100</v>
      </c>
      <c r="T28" s="1573" t="s">
        <v>8</v>
      </c>
      <c r="U28" s="1574">
        <f t="shared" si="13"/>
        <v>100</v>
      </c>
      <c r="V28" s="1573" t="s">
        <v>8</v>
      </c>
      <c r="W28" s="1574">
        <f t="shared" si="14"/>
        <v>100</v>
      </c>
      <c r="X28" s="1567"/>
      <c r="Y28" s="3614"/>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14"/>
      <c r="Q29" s="1572" t="str">
        <f t="shared" si="11"/>
        <v>成新率</v>
      </c>
      <c r="R29" s="1573" t="s">
        <v>8</v>
      </c>
      <c r="S29" s="1574" t="e">
        <f t="shared" si="12"/>
        <v>#N/A</v>
      </c>
      <c r="T29" s="1573" t="s">
        <v>8</v>
      </c>
      <c r="U29" s="1574" t="e">
        <f t="shared" si="13"/>
        <v>#N/A</v>
      </c>
      <c r="V29" s="1573" t="s">
        <v>8</v>
      </c>
      <c r="W29" s="1574" t="e">
        <f t="shared" si="14"/>
        <v>#N/A</v>
      </c>
      <c r="X29" s="1567"/>
      <c r="Y29" s="3614"/>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14"/>
      <c r="Q30" s="1572" t="str">
        <f t="shared" si="11"/>
        <v>物业等级</v>
      </c>
      <c r="R30" s="1573" t="s">
        <v>8</v>
      </c>
      <c r="S30" s="1574">
        <f t="shared" si="12"/>
        <v>100</v>
      </c>
      <c r="T30" s="1573" t="s">
        <v>8</v>
      </c>
      <c r="U30" s="1574">
        <f t="shared" si="13"/>
        <v>100</v>
      </c>
      <c r="V30" s="1573" t="s">
        <v>8</v>
      </c>
      <c r="W30" s="1574">
        <f t="shared" si="14"/>
        <v>100</v>
      </c>
      <c r="X30" s="1567"/>
      <c r="Y30" s="3614"/>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14"/>
      <c r="Q31" s="1151" t="str">
        <f t="shared" si="11"/>
        <v>停车位面积</v>
      </c>
      <c r="R31" s="1568" t="s">
        <v>8</v>
      </c>
      <c r="S31" s="1569" t="e">
        <f t="shared" si="12"/>
        <v>#N/A</v>
      </c>
      <c r="T31" s="1568" t="s">
        <v>8</v>
      </c>
      <c r="U31" s="1569" t="e">
        <f t="shared" si="13"/>
        <v>#N/A</v>
      </c>
      <c r="V31" s="1568" t="s">
        <v>8</v>
      </c>
      <c r="W31" s="1569" t="e">
        <f t="shared" si="14"/>
        <v>#N/A</v>
      </c>
      <c r="X31" s="1570"/>
      <c r="Y31" s="3614"/>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14" t="s">
        <v>550</v>
      </c>
      <c r="Q32" s="1572" t="str">
        <f t="shared" si="11"/>
        <v>车位类型</v>
      </c>
      <c r="R32" s="1573" t="s">
        <v>8</v>
      </c>
      <c r="S32" s="1574">
        <f t="shared" si="12"/>
        <v>100</v>
      </c>
      <c r="T32" s="1573" t="s">
        <v>8</v>
      </c>
      <c r="U32" s="1574">
        <f t="shared" si="13"/>
        <v>100</v>
      </c>
      <c r="V32" s="1573" t="s">
        <v>8</v>
      </c>
      <c r="W32" s="1574">
        <f t="shared" si="14"/>
        <v>100</v>
      </c>
      <c r="X32" s="1567"/>
      <c r="Y32" s="3614" t="s">
        <v>550</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14"/>
      <c r="Q33" s="1572" t="str">
        <f t="shared" si="11"/>
        <v>是否直接入户</v>
      </c>
      <c r="R33" s="1573" t="s">
        <v>8</v>
      </c>
      <c r="S33" s="1574">
        <f t="shared" si="12"/>
        <v>100</v>
      </c>
      <c r="T33" s="1573" t="s">
        <v>8</v>
      </c>
      <c r="U33" s="1574">
        <f t="shared" si="13"/>
        <v>100</v>
      </c>
      <c r="V33" s="1573" t="s">
        <v>8</v>
      </c>
      <c r="W33" s="1574">
        <f t="shared" si="14"/>
        <v>100</v>
      </c>
      <c r="X33" s="1567"/>
      <c r="Y33" s="3614"/>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14"/>
      <c r="Q34" s="1572">
        <f t="shared" si="11"/>
        <v>111</v>
      </c>
      <c r="R34" s="1573" t="s">
        <v>8</v>
      </c>
      <c r="S34" s="1574">
        <f t="shared" si="12"/>
        <v>100</v>
      </c>
      <c r="T34" s="1573" t="s">
        <v>8</v>
      </c>
      <c r="U34" s="1574">
        <f t="shared" si="13"/>
        <v>100</v>
      </c>
      <c r="V34" s="1573" t="s">
        <v>8</v>
      </c>
      <c r="W34" s="1574">
        <f t="shared" si="14"/>
        <v>100</v>
      </c>
      <c r="X34" s="1567"/>
      <c r="Y34" s="3614"/>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14"/>
      <c r="Q35" s="1605">
        <f t="shared" si="11"/>
        <v>111</v>
      </c>
      <c r="R35" s="1577" t="s">
        <v>8</v>
      </c>
      <c r="S35" s="1578">
        <f t="shared" si="12"/>
        <v>100</v>
      </c>
      <c r="T35" s="1577" t="s">
        <v>8</v>
      </c>
      <c r="U35" s="1578">
        <f t="shared" si="13"/>
        <v>100</v>
      </c>
      <c r="V35" s="1577" t="s">
        <v>8</v>
      </c>
      <c r="W35" s="1578">
        <f t="shared" si="14"/>
        <v>100</v>
      </c>
      <c r="X35" s="1579"/>
      <c r="Y35" s="3614"/>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14"/>
      <c r="Q36" s="1572">
        <f t="shared" si="11"/>
        <v>111</v>
      </c>
      <c r="R36" s="1573" t="s">
        <v>8</v>
      </c>
      <c r="S36" s="1574">
        <f t="shared" si="12"/>
        <v>100</v>
      </c>
      <c r="T36" s="1573" t="s">
        <v>8</v>
      </c>
      <c r="U36" s="1574">
        <f t="shared" si="13"/>
        <v>100</v>
      </c>
      <c r="V36" s="1573" t="s">
        <v>8</v>
      </c>
      <c r="W36" s="1574">
        <f t="shared" si="14"/>
        <v>100</v>
      </c>
      <c r="X36" s="1567"/>
      <c r="Y36" s="3614"/>
      <c r="Z36" s="1575">
        <f t="shared" si="15"/>
        <v>111</v>
      </c>
      <c r="AA36" s="1576">
        <f t="shared" si="3"/>
        <v>1</v>
      </c>
      <c r="AB36" s="1576">
        <f t="shared" si="4"/>
        <v>1</v>
      </c>
      <c r="AC36" s="1576">
        <f t="shared" si="5"/>
        <v>1</v>
      </c>
    </row>
    <row r="37" spans="1:29" ht="15">
      <c r="A37" s="1847" t="s">
        <v>2078</v>
      </c>
      <c r="B37" s="1848" t="s">
        <v>2079</v>
      </c>
      <c r="C37" s="2652" t="s">
        <v>1</v>
      </c>
      <c r="D37" s="2653"/>
      <c r="E37" s="2654"/>
      <c r="F37" s="2655"/>
      <c r="G37" s="2656"/>
      <c r="H37" s="2657"/>
      <c r="I37" s="2654"/>
      <c r="J37" s="2657"/>
      <c r="K37" s="1611"/>
      <c r="L37" s="2145"/>
      <c r="M37" s="2146"/>
      <c r="N37" s="2135"/>
      <c r="O37" s="2146"/>
      <c r="P37" s="3575" t="str">
        <f>A37</f>
        <v>成交单价</v>
      </c>
      <c r="Q37" s="3575"/>
      <c r="R37" s="3690">
        <f>E37</f>
        <v>0</v>
      </c>
      <c r="S37" s="3690"/>
      <c r="T37" s="3690">
        <f>G37</f>
        <v>0</v>
      </c>
      <c r="U37" s="3690"/>
      <c r="V37" s="3690">
        <f>I37</f>
        <v>0</v>
      </c>
      <c r="W37" s="3690"/>
      <c r="X37" s="1559"/>
      <c r="Y37" s="1581"/>
      <c r="Z37" s="1559"/>
      <c r="AA37" s="1559"/>
      <c r="AB37" s="1559"/>
      <c r="AC37" s="1559"/>
    </row>
    <row r="38" spans="1:29" ht="15.75" thickBot="1">
      <c r="A38" s="615" t="s">
        <v>2759</v>
      </c>
      <c r="B38" s="888"/>
      <c r="C38" s="2658" t="e">
        <f>R39</f>
        <v>#DIV/0!</v>
      </c>
      <c r="D38" s="2659"/>
      <c r="E38" s="2660" t="e">
        <f>R38</f>
        <v>#DIV/0!</v>
      </c>
      <c r="F38" s="2660"/>
      <c r="G38" s="2658" t="e">
        <f>T38</f>
        <v>#DIV/0!</v>
      </c>
      <c r="H38" s="2659"/>
      <c r="I38" s="2660" t="e">
        <f>V38</f>
        <v>#DIV/0!</v>
      </c>
      <c r="J38" s="2659"/>
      <c r="K38" s="1612"/>
      <c r="L38" s="2145"/>
      <c r="M38" s="2146"/>
      <c r="N38" s="2146"/>
      <c r="O38" s="2146"/>
      <c r="P38" s="3575" t="str">
        <f>A38</f>
        <v>比较价格（元/平方米）</v>
      </c>
      <c r="Q38" s="3575"/>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559"/>
      <c r="Y38" s="1559"/>
      <c r="Z38" s="1559"/>
      <c r="AA38" s="1559"/>
      <c r="AB38" s="1559"/>
      <c r="AC38" s="1559"/>
    </row>
    <row r="39" spans="1:29" ht="15.75" thickBot="1">
      <c r="A39" s="621" t="s">
        <v>2926</v>
      </c>
      <c r="B39" s="622"/>
      <c r="C39" s="2661" t="e">
        <f>R39</f>
        <v>#DIV/0!</v>
      </c>
      <c r="D39" s="2661"/>
      <c r="E39" s="2661"/>
      <c r="F39" s="2661"/>
      <c r="G39" s="2661"/>
      <c r="H39" s="2661"/>
      <c r="I39" s="2661"/>
      <c r="J39" s="2661"/>
      <c r="K39" s="1613"/>
      <c r="L39" s="2145"/>
      <c r="M39" s="2146"/>
      <c r="N39" s="2146"/>
      <c r="O39" s="2146"/>
      <c r="P39" s="3572" t="str">
        <f>A39</f>
        <v>估价对象XX用房的比较价格（楼面单价，元/平方米）</v>
      </c>
      <c r="Q39" s="3573"/>
      <c r="R39" s="3689" t="e">
        <f>IF(F1="售价",ROUND(AVERAGE(R38:V38),0),ROUND(AVERAGE(R38:V38),1))</f>
        <v>#DIV/0!</v>
      </c>
      <c r="S39" s="3689"/>
      <c r="T39" s="3689"/>
      <c r="U39" s="3689"/>
      <c r="V39" s="3689"/>
      <c r="W39" s="368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2558</v>
      </c>
      <c r="C67" s="2623" t="s">
        <v>2559</v>
      </c>
      <c r="D67" s="2623" t="s">
        <v>2560</v>
      </c>
      <c r="E67" s="2623" t="s">
        <v>2561</v>
      </c>
      <c r="F67" s="2623" t="s">
        <v>2562</v>
      </c>
      <c r="G67" s="2623" t="s">
        <v>2563</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581" t="s">
        <v>797</v>
      </c>
      <c r="D4" s="3582"/>
      <c r="E4" s="3618" t="s">
        <v>798</v>
      </c>
      <c r="F4" s="3619"/>
      <c r="G4" s="3581" t="s">
        <v>799</v>
      </c>
      <c r="H4" s="3582"/>
      <c r="I4" s="3581" t="s">
        <v>800</v>
      </c>
      <c r="J4" s="3582"/>
      <c r="K4" s="514" t="s">
        <v>801</v>
      </c>
      <c r="L4" s="2134"/>
      <c r="M4" s="2135"/>
      <c r="N4" s="2135"/>
      <c r="O4" s="2135"/>
      <c r="P4" s="3583" t="s">
        <v>802</v>
      </c>
      <c r="Q4" s="3584"/>
      <c r="R4" s="3589" t="s">
        <v>798</v>
      </c>
      <c r="S4" s="3590"/>
      <c r="T4" s="3589" t="s">
        <v>799</v>
      </c>
      <c r="U4" s="3590"/>
      <c r="V4" s="3576" t="s">
        <v>800</v>
      </c>
      <c r="W4" s="3576"/>
      <c r="X4" s="1567"/>
      <c r="Y4" s="3589" t="s">
        <v>802</v>
      </c>
      <c r="Z4" s="3590"/>
      <c r="AA4" s="3578" t="s">
        <v>798</v>
      </c>
      <c r="AB4" s="3579" t="s">
        <v>799</v>
      </c>
      <c r="AC4" s="3578" t="s">
        <v>800</v>
      </c>
    </row>
    <row r="5" spans="1:29" ht="15">
      <c r="A5" s="515"/>
      <c r="B5" s="516"/>
      <c r="C5" s="3599" t="s">
        <v>2920</v>
      </c>
      <c r="D5" s="3598"/>
      <c r="E5" s="3620" t="s">
        <v>2921</v>
      </c>
      <c r="F5" s="3621"/>
      <c r="G5" s="3599" t="s">
        <v>2922</v>
      </c>
      <c r="H5" s="3598"/>
      <c r="I5" s="3599" t="s">
        <v>2923</v>
      </c>
      <c r="J5" s="3598"/>
      <c r="K5" s="514"/>
      <c r="L5" s="2134"/>
      <c r="M5" s="2135"/>
      <c r="N5" s="2135"/>
      <c r="O5" s="2135"/>
      <c r="P5" s="3585"/>
      <c r="Q5" s="3586"/>
      <c r="R5" s="3591"/>
      <c r="S5" s="3592"/>
      <c r="T5" s="3591"/>
      <c r="U5" s="3592"/>
      <c r="V5" s="3576"/>
      <c r="W5" s="3576"/>
      <c r="X5" s="1567"/>
      <c r="Y5" s="3591"/>
      <c r="Z5" s="3592"/>
      <c r="AA5" s="3579"/>
      <c r="AB5" s="3579"/>
      <c r="AC5" s="3579"/>
    </row>
    <row r="6" spans="1:29" ht="15.75" thickBot="1">
      <c r="A6" s="517"/>
      <c r="B6" s="518"/>
      <c r="C6" s="3615" t="s">
        <v>2924</v>
      </c>
      <c r="D6" s="3596"/>
      <c r="E6" s="3616" t="s">
        <v>2924</v>
      </c>
      <c r="F6" s="3617"/>
      <c r="G6" s="3615" t="s">
        <v>2924</v>
      </c>
      <c r="H6" s="3596"/>
      <c r="I6" s="3615" t="s">
        <v>2924</v>
      </c>
      <c r="J6" s="3596"/>
      <c r="K6" s="514" t="s">
        <v>528</v>
      </c>
      <c r="L6" s="2134"/>
      <c r="M6" s="2135"/>
      <c r="N6" s="2135"/>
      <c r="O6" s="2135"/>
      <c r="P6" s="3587"/>
      <c r="Q6" s="3588"/>
      <c r="R6" s="3591"/>
      <c r="S6" s="3592"/>
      <c r="T6" s="3593"/>
      <c r="U6" s="3594"/>
      <c r="V6" s="3576"/>
      <c r="W6" s="3576"/>
      <c r="X6" s="1567"/>
      <c r="Y6" s="3593"/>
      <c r="Z6" s="3594"/>
      <c r="AA6" s="3580"/>
      <c r="AB6" s="3580"/>
      <c r="AC6" s="3580"/>
    </row>
    <row r="7" spans="1:29" s="1220" customFormat="1" ht="15.75" thickBot="1">
      <c r="A7" s="2937"/>
      <c r="B7" s="2944" t="s">
        <v>529</v>
      </c>
      <c r="C7" s="519">
        <f>'数据-取费表'!B2</f>
        <v>43236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08" t="s">
        <v>530</v>
      </c>
      <c r="Q7" s="3610"/>
      <c r="R7" s="1568" t="s">
        <v>8</v>
      </c>
      <c r="S7" s="1569">
        <f t="shared" ref="S7:S14" si="0">F7</f>
        <v>0</v>
      </c>
      <c r="T7" s="1568" t="s">
        <v>8</v>
      </c>
      <c r="U7" s="1569">
        <f t="shared" ref="U7:U14" si="1">H7</f>
        <v>0</v>
      </c>
      <c r="V7" s="1568" t="s">
        <v>8</v>
      </c>
      <c r="W7" s="1569">
        <f t="shared" ref="W7:W14" si="2">J7</f>
        <v>0</v>
      </c>
      <c r="X7" s="1570"/>
      <c r="Y7" s="3608" t="s">
        <v>530</v>
      </c>
      <c r="Z7" s="3609"/>
      <c r="AA7" s="1571" t="e">
        <f>D7/F7</f>
        <v>#DIV/0!</v>
      </c>
      <c r="AB7" s="1571" t="e">
        <f>D7/H7</f>
        <v>#DIV/0!</v>
      </c>
      <c r="AC7" s="1571"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08" t="s">
        <v>533</v>
      </c>
      <c r="Q8" s="3609"/>
      <c r="R8" s="1568" t="s">
        <v>8</v>
      </c>
      <c r="S8" s="1569">
        <f t="shared" si="0"/>
        <v>0</v>
      </c>
      <c r="T8" s="1568" t="s">
        <v>8</v>
      </c>
      <c r="U8" s="1569">
        <f t="shared" si="1"/>
        <v>0</v>
      </c>
      <c r="V8" s="1568" t="s">
        <v>8</v>
      </c>
      <c r="W8" s="1569">
        <f t="shared" si="2"/>
        <v>0</v>
      </c>
      <c r="X8" s="1570"/>
      <c r="Y8" s="3608" t="s">
        <v>533</v>
      </c>
      <c r="Z8" s="3609"/>
      <c r="AA8" s="1571" t="e">
        <f t="shared" ref="AA8:AA34" si="3">D8/F8</f>
        <v>#DIV/0!</v>
      </c>
      <c r="AB8" s="1571" t="e">
        <f t="shared" ref="AB8:AB34" si="4">D8/H8</f>
        <v>#DIV/0!</v>
      </c>
      <c r="AC8" s="1571" t="e">
        <f t="shared" ref="AC8:AC34" si="5">D8/J8</f>
        <v>#DIV/0!</v>
      </c>
    </row>
    <row r="9" spans="1:29" s="1220" customFormat="1" ht="15">
      <c r="A9" s="2939"/>
      <c r="B9" s="2946"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575" t="s">
        <v>535</v>
      </c>
      <c r="Q9" s="1151" t="str">
        <f t="shared" ref="Q9:Q14" si="6">B9</f>
        <v>用途</v>
      </c>
      <c r="R9" s="1568" t="s">
        <v>8</v>
      </c>
      <c r="S9" s="1569">
        <f t="shared" si="0"/>
        <v>100</v>
      </c>
      <c r="T9" s="1568" t="s">
        <v>8</v>
      </c>
      <c r="U9" s="1569">
        <f t="shared" si="1"/>
        <v>100</v>
      </c>
      <c r="V9" s="1568" t="s">
        <v>8</v>
      </c>
      <c r="W9" s="1569">
        <f t="shared" si="2"/>
        <v>100</v>
      </c>
      <c r="X9" s="1570"/>
      <c r="Y9" s="3521" t="s">
        <v>536</v>
      </c>
      <c r="Z9" s="1150" t="str">
        <f t="shared" ref="Z9:Z14" si="7">Q9</f>
        <v>用途</v>
      </c>
      <c r="AA9" s="1571">
        <f t="shared" si="3"/>
        <v>1</v>
      </c>
      <c r="AB9" s="1571">
        <f t="shared" si="4"/>
        <v>1</v>
      </c>
      <c r="AC9" s="1571">
        <f t="shared" si="5"/>
        <v>1</v>
      </c>
    </row>
    <row r="10" spans="1:29" s="1338" customFormat="1" ht="27">
      <c r="A10" s="2940"/>
      <c r="B10" s="2945"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575"/>
      <c r="Q10" s="1151" t="str">
        <f t="shared" si="6"/>
        <v>土地使用年限（年）</v>
      </c>
      <c r="R10" s="1568" t="s">
        <v>8</v>
      </c>
      <c r="S10" s="1569">
        <f t="shared" si="0"/>
        <v>100</v>
      </c>
      <c r="T10" s="1568" t="s">
        <v>8</v>
      </c>
      <c r="U10" s="1569">
        <f t="shared" si="1"/>
        <v>100</v>
      </c>
      <c r="V10" s="1568" t="s">
        <v>8</v>
      </c>
      <c r="W10" s="1569">
        <f t="shared" si="2"/>
        <v>100</v>
      </c>
      <c r="X10" s="1570"/>
      <c r="Y10" s="3521"/>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575"/>
      <c r="Q11" s="1151">
        <f t="shared" si="6"/>
        <v>111</v>
      </c>
      <c r="R11" s="1568" t="s">
        <v>8</v>
      </c>
      <c r="S11" s="1569">
        <f t="shared" si="0"/>
        <v>100</v>
      </c>
      <c r="T11" s="1568" t="s">
        <v>8</v>
      </c>
      <c r="U11" s="1569">
        <f t="shared" si="1"/>
        <v>100</v>
      </c>
      <c r="V11" s="1568" t="s">
        <v>8</v>
      </c>
      <c r="W11" s="1569">
        <f t="shared" si="2"/>
        <v>100</v>
      </c>
      <c r="X11" s="1570"/>
      <c r="Y11" s="3521"/>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575"/>
      <c r="Q12" s="1151">
        <f t="shared" si="6"/>
        <v>111</v>
      </c>
      <c r="R12" s="1568" t="s">
        <v>8</v>
      </c>
      <c r="S12" s="1569">
        <f t="shared" si="0"/>
        <v>100</v>
      </c>
      <c r="T12" s="1568" t="s">
        <v>8</v>
      </c>
      <c r="U12" s="1569">
        <f t="shared" si="1"/>
        <v>100</v>
      </c>
      <c r="V12" s="1568" t="s">
        <v>8</v>
      </c>
      <c r="W12" s="1569">
        <f t="shared" si="2"/>
        <v>100</v>
      </c>
      <c r="X12" s="1570"/>
      <c r="Y12" s="3521"/>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575"/>
      <c r="Q13" s="1151">
        <f t="shared" si="6"/>
        <v>111</v>
      </c>
      <c r="R13" s="1568" t="s">
        <v>8</v>
      </c>
      <c r="S13" s="1569">
        <f t="shared" si="0"/>
        <v>100</v>
      </c>
      <c r="T13" s="1568" t="s">
        <v>8</v>
      </c>
      <c r="U13" s="1569">
        <f t="shared" si="1"/>
        <v>100</v>
      </c>
      <c r="V13" s="1568" t="s">
        <v>8</v>
      </c>
      <c r="W13" s="1569">
        <f t="shared" si="2"/>
        <v>100</v>
      </c>
      <c r="X13" s="1570"/>
      <c r="Y13" s="3521"/>
      <c r="Z13" s="1150">
        <f t="shared" si="7"/>
        <v>111</v>
      </c>
      <c r="AA13" s="1571">
        <f t="shared" si="3"/>
        <v>1</v>
      </c>
      <c r="AB13" s="1571">
        <f t="shared" si="4"/>
        <v>1</v>
      </c>
      <c r="AC13" s="1571">
        <f t="shared" si="5"/>
        <v>1</v>
      </c>
    </row>
    <row r="14" spans="1:29" ht="128.25">
      <c r="A14" s="2935" t="s">
        <v>2753</v>
      </c>
      <c r="B14" s="166" t="s">
        <v>543</v>
      </c>
      <c r="C14" s="921" t="str">
        <f>IF(B1="工业",估价对象房地状况!G4,估价对象房地状况!C6)</f>
        <v>周边道路状况、公共交通通达情况、停车便捷程度（北至文峰大道 南至文明大道 均为城市主干道 南距安阳东站直线1.5公里 y1路 11路 16路）</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11" t="s">
        <v>540</v>
      </c>
      <c r="Q14" s="1572" t="str">
        <f t="shared" si="6"/>
        <v>交通便捷度</v>
      </c>
      <c r="R14" s="1573" t="s">
        <v>8</v>
      </c>
      <c r="S14" s="1574">
        <f t="shared" si="0"/>
        <v>100</v>
      </c>
      <c r="T14" s="1573" t="s">
        <v>8</v>
      </c>
      <c r="U14" s="1574">
        <f t="shared" si="1"/>
        <v>100</v>
      </c>
      <c r="V14" s="1573" t="s">
        <v>8</v>
      </c>
      <c r="W14" s="1574">
        <f t="shared" si="2"/>
        <v>100</v>
      </c>
      <c r="X14" s="1567"/>
      <c r="Y14" s="361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612"/>
      <c r="Q15" s="1572"/>
      <c r="R15" s="1573"/>
      <c r="S15" s="1574"/>
      <c r="T15" s="1573"/>
      <c r="U15" s="1574"/>
      <c r="V15" s="1573"/>
      <c r="W15" s="1574"/>
      <c r="X15" s="1567"/>
      <c r="Y15" s="3612"/>
      <c r="Z15" s="1575"/>
      <c r="AA15" s="1576">
        <v>1</v>
      </c>
      <c r="AB15" s="1576">
        <v>1</v>
      </c>
      <c r="AC15" s="1576">
        <v>1</v>
      </c>
    </row>
    <row r="16" spans="1:29" ht="15">
      <c r="A16" s="532"/>
      <c r="B16" s="2628" t="s">
        <v>2546</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12"/>
      <c r="Q16" s="1572" t="str">
        <f>B16</f>
        <v>公共配套设施</v>
      </c>
      <c r="R16" s="1573" t="s">
        <v>8</v>
      </c>
      <c r="S16" s="1574">
        <f>F16</f>
        <v>100</v>
      </c>
      <c r="T16" s="1573" t="s">
        <v>8</v>
      </c>
      <c r="U16" s="1574">
        <f>H16</f>
        <v>100</v>
      </c>
      <c r="V16" s="1573" t="s">
        <v>8</v>
      </c>
      <c r="W16" s="1574">
        <f>J16</f>
        <v>100</v>
      </c>
      <c r="X16" s="1567"/>
      <c r="Y16" s="361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612"/>
      <c r="Q17" s="1572"/>
      <c r="R17" s="1573"/>
      <c r="S17" s="1574"/>
      <c r="T17" s="1573"/>
      <c r="U17" s="1574"/>
      <c r="V17" s="1573"/>
      <c r="W17" s="1574"/>
      <c r="X17" s="1567"/>
      <c r="Y17" s="3612"/>
      <c r="Z17" s="1575"/>
      <c r="AA17" s="1576">
        <v>1</v>
      </c>
      <c r="AB17" s="1576">
        <v>1</v>
      </c>
      <c r="AC17" s="1576">
        <v>1</v>
      </c>
    </row>
    <row r="18" spans="1:29" ht="15">
      <c r="A18" s="532"/>
      <c r="B18" s="2616" t="s">
        <v>2558</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12"/>
      <c r="Q18" s="2604" t="str">
        <f>B18</f>
        <v>基础设施水平</v>
      </c>
      <c r="R18" s="1573" t="s">
        <v>8</v>
      </c>
      <c r="S18" s="1574">
        <f>F18</f>
        <v>100</v>
      </c>
      <c r="T18" s="1573" t="s">
        <v>8</v>
      </c>
      <c r="U18" s="1574">
        <f>H18</f>
        <v>100</v>
      </c>
      <c r="V18" s="1573" t="s">
        <v>8</v>
      </c>
      <c r="W18" s="1574">
        <f>J18</f>
        <v>100</v>
      </c>
      <c r="X18" s="2606"/>
      <c r="Y18" s="3612"/>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12"/>
      <c r="Q19" s="2604"/>
      <c r="R19" s="1573"/>
      <c r="S19" s="1574"/>
      <c r="T19" s="1573"/>
      <c r="U19" s="1574"/>
      <c r="V19" s="1573"/>
      <c r="W19" s="1574"/>
      <c r="X19" s="2606"/>
      <c r="Y19" s="3612"/>
      <c r="Z19" s="2605"/>
      <c r="AA19" s="1576">
        <v>1</v>
      </c>
      <c r="AB19" s="1576">
        <v>1</v>
      </c>
      <c r="AC19" s="1576">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12"/>
      <c r="Q20" s="1572" t="str">
        <f>B20</f>
        <v>自然及人文环境</v>
      </c>
      <c r="R20" s="1573" t="s">
        <v>8</v>
      </c>
      <c r="S20" s="1574">
        <f>F20</f>
        <v>100</v>
      </c>
      <c r="T20" s="1573" t="s">
        <v>8</v>
      </c>
      <c r="U20" s="1574">
        <f>H20</f>
        <v>100</v>
      </c>
      <c r="V20" s="1573" t="s">
        <v>8</v>
      </c>
      <c r="W20" s="1574">
        <f>J20</f>
        <v>100</v>
      </c>
      <c r="X20" s="1567"/>
      <c r="Y20" s="361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612"/>
      <c r="Q21" s="1572"/>
      <c r="R21" s="1573"/>
      <c r="S21" s="1574"/>
      <c r="T21" s="1573"/>
      <c r="U21" s="1574"/>
      <c r="V21" s="1573"/>
      <c r="W21" s="1574"/>
      <c r="X21" s="1567"/>
      <c r="Y21" s="3612"/>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12"/>
      <c r="Q22" s="1572" t="str">
        <f>B22</f>
        <v>楼层</v>
      </c>
      <c r="R22" s="1573" t="s">
        <v>8</v>
      </c>
      <c r="S22" s="1574">
        <f>F22</f>
        <v>100</v>
      </c>
      <c r="T22" s="1573" t="s">
        <v>8</v>
      </c>
      <c r="U22" s="1574">
        <f>H22</f>
        <v>100</v>
      </c>
      <c r="V22" s="1573" t="s">
        <v>8</v>
      </c>
      <c r="W22" s="1574">
        <f>J22</f>
        <v>100</v>
      </c>
      <c r="X22" s="1567"/>
      <c r="Y22" s="361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12"/>
      <c r="Q23" s="1572">
        <f>B23</f>
        <v>111</v>
      </c>
      <c r="R23" s="1573" t="s">
        <v>8</v>
      </c>
      <c r="S23" s="1574">
        <f>F23</f>
        <v>100</v>
      </c>
      <c r="T23" s="1573" t="s">
        <v>8</v>
      </c>
      <c r="U23" s="1574">
        <f>H23</f>
        <v>100</v>
      </c>
      <c r="V23" s="1573" t="s">
        <v>8</v>
      </c>
      <c r="W23" s="1574">
        <f>J23</f>
        <v>100</v>
      </c>
      <c r="X23" s="1567"/>
      <c r="Y23" s="361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12"/>
      <c r="Q24" s="1572">
        <f t="shared" ref="Q24:Q34" si="11">B24</f>
        <v>111</v>
      </c>
      <c r="R24" s="1573" t="s">
        <v>8</v>
      </c>
      <c r="S24" s="1574">
        <f>F24</f>
        <v>100</v>
      </c>
      <c r="T24" s="1573" t="s">
        <v>8</v>
      </c>
      <c r="U24" s="1574">
        <f>H24</f>
        <v>100</v>
      </c>
      <c r="V24" s="1573" t="s">
        <v>8</v>
      </c>
      <c r="W24" s="1574">
        <f>J24</f>
        <v>100</v>
      </c>
      <c r="X24" s="1567"/>
      <c r="Y24" s="3612"/>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12"/>
      <c r="Q25" s="1151">
        <f t="shared" si="11"/>
        <v>111</v>
      </c>
      <c r="R25" s="1568" t="s">
        <v>8</v>
      </c>
      <c r="S25" s="1569">
        <f>F25</f>
        <v>100</v>
      </c>
      <c r="T25" s="1568" t="s">
        <v>8</v>
      </c>
      <c r="U25" s="1569">
        <f>H25</f>
        <v>100</v>
      </c>
      <c r="V25" s="1568" t="s">
        <v>8</v>
      </c>
      <c r="W25" s="1569">
        <f>J25</f>
        <v>100</v>
      </c>
      <c r="X25" s="1570"/>
      <c r="Y25" s="3612"/>
      <c r="Z25" s="1150">
        <f>Q25</f>
        <v>111</v>
      </c>
      <c r="AA25" s="1576">
        <f>D25/F25</f>
        <v>1</v>
      </c>
      <c r="AB25" s="1576">
        <f>D25/H25</f>
        <v>1</v>
      </c>
      <c r="AC25" s="1576">
        <f>D25/J25</f>
        <v>1</v>
      </c>
    </row>
    <row r="26" spans="1:29" ht="15">
      <c r="A26" s="293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13"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14"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14"/>
      <c r="Q27" s="1605" t="str">
        <f t="shared" si="11"/>
        <v>成新率</v>
      </c>
      <c r="R27" s="1577" t="s">
        <v>8</v>
      </c>
      <c r="S27" s="1578" t="e">
        <f t="shared" si="12"/>
        <v>#N/A</v>
      </c>
      <c r="T27" s="1577" t="s">
        <v>8</v>
      </c>
      <c r="U27" s="1578" t="e">
        <f t="shared" si="13"/>
        <v>#N/A</v>
      </c>
      <c r="V27" s="1577" t="s">
        <v>8</v>
      </c>
      <c r="W27" s="1578" t="e">
        <f t="shared" si="14"/>
        <v>#N/A</v>
      </c>
      <c r="X27" s="1579"/>
      <c r="Y27" s="3614"/>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14"/>
      <c r="Q28" s="1572" t="str">
        <f t="shared" si="11"/>
        <v>物业等级</v>
      </c>
      <c r="R28" s="1573" t="s">
        <v>8</v>
      </c>
      <c r="S28" s="1574">
        <f t="shared" si="12"/>
        <v>100</v>
      </c>
      <c r="T28" s="1573" t="s">
        <v>8</v>
      </c>
      <c r="U28" s="1574">
        <f t="shared" si="13"/>
        <v>100</v>
      </c>
      <c r="V28" s="1573" t="s">
        <v>8</v>
      </c>
      <c r="W28" s="1574">
        <f t="shared" si="14"/>
        <v>100</v>
      </c>
      <c r="X28" s="1567"/>
      <c r="Y28" s="3614"/>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14"/>
      <c r="Q29" s="1572" t="str">
        <f t="shared" si="11"/>
        <v>有无电梯</v>
      </c>
      <c r="R29" s="1573" t="s">
        <v>8</v>
      </c>
      <c r="S29" s="1574">
        <f t="shared" si="12"/>
        <v>100</v>
      </c>
      <c r="T29" s="1573" t="s">
        <v>8</v>
      </c>
      <c r="U29" s="1574">
        <f t="shared" si="13"/>
        <v>100</v>
      </c>
      <c r="V29" s="1573" t="s">
        <v>8</v>
      </c>
      <c r="W29" s="1574">
        <f t="shared" si="14"/>
        <v>100</v>
      </c>
      <c r="X29" s="1567"/>
      <c r="Y29" s="3614"/>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14"/>
      <c r="Q30" s="1572" t="str">
        <f t="shared" si="11"/>
        <v>建筑面积</v>
      </c>
      <c r="R30" s="1573" t="s">
        <v>8</v>
      </c>
      <c r="S30" s="1574" t="e">
        <f t="shared" si="12"/>
        <v>#N/A</v>
      </c>
      <c r="T30" s="1573" t="s">
        <v>8</v>
      </c>
      <c r="U30" s="1574" t="e">
        <f t="shared" si="13"/>
        <v>#N/A</v>
      </c>
      <c r="V30" s="1573" t="s">
        <v>8</v>
      </c>
      <c r="W30" s="1574" t="e">
        <f t="shared" si="14"/>
        <v>#N/A</v>
      </c>
      <c r="X30" s="1567"/>
      <c r="Y30" s="3614"/>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14"/>
      <c r="Q31" s="1151" t="str">
        <f t="shared" si="11"/>
        <v>是否封闭</v>
      </c>
      <c r="R31" s="1568" t="s">
        <v>8</v>
      </c>
      <c r="S31" s="1569">
        <f t="shared" si="12"/>
        <v>100</v>
      </c>
      <c r="T31" s="1568" t="s">
        <v>8</v>
      </c>
      <c r="U31" s="1569">
        <f t="shared" si="13"/>
        <v>100</v>
      </c>
      <c r="V31" s="1568" t="s">
        <v>8</v>
      </c>
      <c r="W31" s="1569">
        <f t="shared" si="14"/>
        <v>100</v>
      </c>
      <c r="X31" s="1570"/>
      <c r="Y31" s="3614"/>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14" t="s">
        <v>550</v>
      </c>
      <c r="Q32" s="1572">
        <f t="shared" si="11"/>
        <v>111</v>
      </c>
      <c r="R32" s="1573" t="s">
        <v>8</v>
      </c>
      <c r="S32" s="1574">
        <f t="shared" si="12"/>
        <v>100</v>
      </c>
      <c r="T32" s="1573" t="s">
        <v>8</v>
      </c>
      <c r="U32" s="1574">
        <f t="shared" si="13"/>
        <v>100</v>
      </c>
      <c r="V32" s="1573" t="s">
        <v>8</v>
      </c>
      <c r="W32" s="1574">
        <f t="shared" si="14"/>
        <v>100</v>
      </c>
      <c r="X32" s="1567"/>
      <c r="Y32" s="3614"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14"/>
      <c r="Q33" s="1572">
        <f t="shared" si="11"/>
        <v>111</v>
      </c>
      <c r="R33" s="1573" t="s">
        <v>8</v>
      </c>
      <c r="S33" s="1574">
        <f t="shared" si="12"/>
        <v>100</v>
      </c>
      <c r="T33" s="1573" t="s">
        <v>8</v>
      </c>
      <c r="U33" s="1574">
        <f t="shared" si="13"/>
        <v>100</v>
      </c>
      <c r="V33" s="1573" t="s">
        <v>8</v>
      </c>
      <c r="W33" s="1574">
        <f t="shared" si="14"/>
        <v>100</v>
      </c>
      <c r="X33" s="1567"/>
      <c r="Y33" s="3614"/>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14"/>
      <c r="Q34" s="1572">
        <f t="shared" si="11"/>
        <v>111</v>
      </c>
      <c r="R34" s="1573" t="s">
        <v>8</v>
      </c>
      <c r="S34" s="1574">
        <f t="shared" si="12"/>
        <v>100</v>
      </c>
      <c r="T34" s="1573" t="s">
        <v>8</v>
      </c>
      <c r="U34" s="1574">
        <f t="shared" si="13"/>
        <v>100</v>
      </c>
      <c r="V34" s="1573" t="s">
        <v>8</v>
      </c>
      <c r="W34" s="1574">
        <f t="shared" si="14"/>
        <v>100</v>
      </c>
      <c r="X34" s="1567"/>
      <c r="Y34" s="3614"/>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575" t="str">
        <f>A35</f>
        <v>成交单价（元/平方米）</v>
      </c>
      <c r="Q35" s="3575"/>
      <c r="R35" s="3690">
        <f>E35</f>
        <v>0</v>
      </c>
      <c r="S35" s="3690"/>
      <c r="T35" s="3690">
        <f>G35</f>
        <v>0</v>
      </c>
      <c r="U35" s="3690"/>
      <c r="V35" s="3690">
        <f>I35</f>
        <v>0</v>
      </c>
      <c r="W35" s="3690"/>
      <c r="X35" s="1559"/>
      <c r="Y35" s="1581"/>
      <c r="Z35" s="1559"/>
      <c r="AA35" s="1559"/>
      <c r="AB35" s="1559"/>
      <c r="AC35" s="1559"/>
    </row>
    <row r="36" spans="1:29" ht="15.75" thickBot="1">
      <c r="A36" s="615" t="s">
        <v>2759</v>
      </c>
      <c r="B36" s="888"/>
      <c r="C36" s="2658" t="e">
        <f>R37</f>
        <v>#DIV/0!</v>
      </c>
      <c r="D36" s="2659"/>
      <c r="E36" s="2660" t="e">
        <f>R36</f>
        <v>#DIV/0!</v>
      </c>
      <c r="F36" s="2660"/>
      <c r="G36" s="2658" t="e">
        <f>T36</f>
        <v>#DIV/0!</v>
      </c>
      <c r="H36" s="2659"/>
      <c r="I36" s="2660" t="e">
        <f>V36</f>
        <v>#DIV/0!</v>
      </c>
      <c r="J36" s="2659"/>
      <c r="K36" s="1612"/>
      <c r="L36" s="2145"/>
      <c r="M36" s="2146"/>
      <c r="N36" s="2135"/>
      <c r="O36" s="2146"/>
      <c r="P36" s="3575" t="str">
        <f>A36</f>
        <v>比较价格（元/平方米）</v>
      </c>
      <c r="Q36" s="3575"/>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559"/>
      <c r="Y36" s="1559"/>
      <c r="Z36" s="1559"/>
      <c r="AA36" s="1559"/>
      <c r="AB36" s="1559"/>
      <c r="AC36" s="1559"/>
    </row>
    <row r="37" spans="1:29" ht="15.75" thickBot="1">
      <c r="A37" s="621" t="s">
        <v>2926</v>
      </c>
      <c r="B37" s="622"/>
      <c r="C37" s="2661" t="e">
        <f>R37</f>
        <v>#DIV/0!</v>
      </c>
      <c r="D37" s="2661"/>
      <c r="E37" s="2661"/>
      <c r="F37" s="2661"/>
      <c r="G37" s="2661"/>
      <c r="H37" s="2661"/>
      <c r="I37" s="2661"/>
      <c r="J37" s="2661"/>
      <c r="K37" s="1613"/>
      <c r="L37" s="2145"/>
      <c r="M37" s="2146"/>
      <c r="N37" s="2146"/>
      <c r="O37" s="2146"/>
      <c r="P37" s="3572" t="str">
        <f>A37</f>
        <v>估价对象XX用房的比较价格（楼面单价，元/平方米）</v>
      </c>
      <c r="Q37" s="3573"/>
      <c r="R37" s="3689" t="e">
        <f>IF(F1="售价",ROUND(AVERAGE(R36:V36),0),ROUND(AVERAGE(R36:V36),1))</f>
        <v>#DIV/0!</v>
      </c>
      <c r="S37" s="3689"/>
      <c r="T37" s="3689"/>
      <c r="U37" s="3689"/>
      <c r="V37" s="3689"/>
      <c r="W37" s="368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2558</v>
      </c>
      <c r="C65" s="2623" t="s">
        <v>2559</v>
      </c>
      <c r="D65" s="2623" t="s">
        <v>2560</v>
      </c>
      <c r="E65" s="2623" t="s">
        <v>2561</v>
      </c>
      <c r="F65" s="2623" t="s">
        <v>2562</v>
      </c>
      <c r="G65" s="2623" t="s">
        <v>2563</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0" customWidth="1"/>
    <col min="2" max="2" width="9.125" style="1218" customWidth="1"/>
    <col min="3" max="3" width="5" style="1218" customWidth="1"/>
    <col min="4" max="4" width="8.875" style="1218"/>
    <col min="5" max="5" width="5" style="1218" customWidth="1"/>
    <col min="6" max="6" width="8.875" style="1218"/>
    <col min="7" max="7" width="5" style="1218" customWidth="1"/>
    <col min="8" max="8" width="8.875" style="1218"/>
    <col min="9" max="9" width="5" style="1218" customWidth="1"/>
    <col min="10" max="10" width="8.875" style="1218"/>
    <col min="11" max="11" width="5" style="1218" customWidth="1"/>
    <col min="12" max="12" width="8.875" style="1218"/>
    <col min="13" max="13" width="5" style="1218" customWidth="1"/>
    <col min="14" max="14" width="8.875" style="1218"/>
    <col min="15" max="15" width="5" style="1218" customWidth="1"/>
    <col min="16" max="16" width="8.875" style="1218"/>
    <col min="17" max="17" width="5" style="1218" customWidth="1"/>
    <col min="18" max="18" width="8.875" style="1616"/>
    <col min="19" max="19" width="8.875" style="1250"/>
    <col min="20" max="35" width="8.875" style="257"/>
    <col min="36" max="16384" width="8.875" style="1250"/>
  </cols>
  <sheetData>
    <row r="1" spans="1:45" s="257" customFormat="1" ht="14.25" customHeight="1" thickBot="1">
      <c r="A1" s="365"/>
      <c r="B1" s="2235" t="s">
        <v>2304</v>
      </c>
      <c r="C1" s="3703" t="s">
        <v>2305</v>
      </c>
      <c r="D1" s="3704"/>
      <c r="E1" s="3704"/>
      <c r="F1" s="3704"/>
      <c r="G1" s="3704"/>
      <c r="H1" s="3704"/>
      <c r="I1" s="3704"/>
      <c r="J1" s="3704"/>
      <c r="K1" s="3704"/>
      <c r="L1" s="3704"/>
      <c r="M1" s="3704"/>
      <c r="N1" s="3704"/>
      <c r="O1" s="3704"/>
      <c r="P1" s="3704"/>
      <c r="Q1" s="3704"/>
      <c r="R1" s="3704"/>
      <c r="S1" s="370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2918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2917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700" t="s">
        <v>20</v>
      </c>
      <c r="D22" s="3701"/>
      <c r="E22" s="3701"/>
      <c r="F22" s="3701"/>
      <c r="G22" s="3701"/>
      <c r="H22" s="3701"/>
      <c r="I22" s="3701"/>
      <c r="J22" s="3701"/>
      <c r="K22" s="3701"/>
      <c r="L22" s="3701"/>
      <c r="M22" s="3701"/>
      <c r="N22" s="3701"/>
      <c r="O22" s="3701"/>
      <c r="P22" s="3701"/>
      <c r="Q22" s="3702"/>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6" customWidth="1"/>
    <col min="2" max="2" width="13.125" style="2972" customWidth="1"/>
    <col min="3" max="3" width="15.625" style="2972" customWidth="1"/>
    <col min="4" max="4" width="9.375" style="2972" bestFit="1" customWidth="1"/>
    <col min="5" max="5" width="13.5" style="2972" customWidth="1"/>
    <col min="6" max="6" width="8.875" style="2972"/>
    <col min="7" max="7" width="9.375" style="2972" bestFit="1" customWidth="1"/>
    <col min="8" max="9" width="8.875" style="2972"/>
    <col min="10" max="10" width="9.375" style="2972" bestFit="1" customWidth="1"/>
    <col min="11" max="11" width="4" style="2966" customWidth="1"/>
    <col min="12" max="12" width="5.125" style="2972" customWidth="1"/>
    <col min="13" max="13" width="13.625" style="2972" customWidth="1"/>
    <col min="14" max="256" width="8.875" style="2972"/>
    <col min="257" max="257" width="4.875" style="2964" customWidth="1"/>
    <col min="258" max="258" width="13.125" style="2964" customWidth="1"/>
    <col min="259" max="259" width="15.625" style="2964" customWidth="1"/>
    <col min="260" max="260" width="9.375" style="2964" bestFit="1" customWidth="1"/>
    <col min="261" max="261" width="13.5" style="2964" customWidth="1"/>
    <col min="262" max="262" width="8.875" style="2964"/>
    <col min="263" max="263" width="9.375" style="2964" bestFit="1" customWidth="1"/>
    <col min="264" max="265" width="8.875" style="2964"/>
    <col min="266" max="266" width="9.375" style="2964" bestFit="1" customWidth="1"/>
    <col min="267" max="267" width="4" style="2964" customWidth="1"/>
    <col min="268" max="268" width="5.125" style="2964" customWidth="1"/>
    <col min="269" max="269" width="13.625" style="2964" customWidth="1"/>
    <col min="270" max="512" width="8.875" style="2964"/>
    <col min="513" max="513" width="4.875" style="2964" customWidth="1"/>
    <col min="514" max="514" width="13.125" style="2964" customWidth="1"/>
    <col min="515" max="515" width="15.625" style="2964" customWidth="1"/>
    <col min="516" max="516" width="9.375" style="2964" bestFit="1" customWidth="1"/>
    <col min="517" max="517" width="13.5" style="2964" customWidth="1"/>
    <col min="518" max="518" width="8.875" style="2964"/>
    <col min="519" max="519" width="9.375" style="2964" bestFit="1" customWidth="1"/>
    <col min="520" max="521" width="8.875" style="2964"/>
    <col min="522" max="522" width="9.375" style="2964" bestFit="1" customWidth="1"/>
    <col min="523" max="523" width="4" style="2964" customWidth="1"/>
    <col min="524" max="524" width="5.125" style="2964" customWidth="1"/>
    <col min="525" max="525" width="13.625" style="2964" customWidth="1"/>
    <col min="526" max="768" width="8.875" style="2964"/>
    <col min="769" max="769" width="4.875" style="2964" customWidth="1"/>
    <col min="770" max="770" width="13.125" style="2964" customWidth="1"/>
    <col min="771" max="771" width="15.625" style="2964" customWidth="1"/>
    <col min="772" max="772" width="9.375" style="2964" bestFit="1" customWidth="1"/>
    <col min="773" max="773" width="13.5" style="2964" customWidth="1"/>
    <col min="774" max="774" width="8.875" style="2964"/>
    <col min="775" max="775" width="9.375" style="2964" bestFit="1" customWidth="1"/>
    <col min="776" max="777" width="8.875" style="2964"/>
    <col min="778" max="778" width="9.375" style="2964" bestFit="1" customWidth="1"/>
    <col min="779" max="779" width="4" style="2964" customWidth="1"/>
    <col min="780" max="780" width="5.125" style="2964" customWidth="1"/>
    <col min="781" max="781" width="13.625" style="2964" customWidth="1"/>
    <col min="782" max="1024" width="8.875" style="2964"/>
    <col min="1025" max="1025" width="4.875" style="2964" customWidth="1"/>
    <col min="1026" max="1026" width="13.125" style="2964" customWidth="1"/>
    <col min="1027" max="1027" width="15.625" style="2964" customWidth="1"/>
    <col min="1028" max="1028" width="9.375" style="2964" bestFit="1" customWidth="1"/>
    <col min="1029" max="1029" width="13.5" style="2964" customWidth="1"/>
    <col min="1030" max="1030" width="8.875" style="2964"/>
    <col min="1031" max="1031" width="9.375" style="2964" bestFit="1" customWidth="1"/>
    <col min="1032" max="1033" width="8.875" style="2964"/>
    <col min="1034" max="1034" width="9.375" style="2964" bestFit="1" customWidth="1"/>
    <col min="1035" max="1035" width="4" style="2964" customWidth="1"/>
    <col min="1036" max="1036" width="5.125" style="2964" customWidth="1"/>
    <col min="1037" max="1037" width="13.625" style="2964" customWidth="1"/>
    <col min="1038" max="1280" width="8.875" style="2964"/>
    <col min="1281" max="1281" width="4.875" style="2964" customWidth="1"/>
    <col min="1282" max="1282" width="13.125" style="2964" customWidth="1"/>
    <col min="1283" max="1283" width="15.625" style="2964" customWidth="1"/>
    <col min="1284" max="1284" width="9.375" style="2964" bestFit="1" customWidth="1"/>
    <col min="1285" max="1285" width="13.5" style="2964" customWidth="1"/>
    <col min="1286" max="1286" width="8.875" style="2964"/>
    <col min="1287" max="1287" width="9.375" style="2964" bestFit="1" customWidth="1"/>
    <col min="1288" max="1289" width="8.875" style="2964"/>
    <col min="1290" max="1290" width="9.375" style="2964" bestFit="1" customWidth="1"/>
    <col min="1291" max="1291" width="4" style="2964" customWidth="1"/>
    <col min="1292" max="1292" width="5.125" style="2964" customWidth="1"/>
    <col min="1293" max="1293" width="13.625" style="2964" customWidth="1"/>
    <col min="1294" max="1536" width="8.875" style="2964"/>
    <col min="1537" max="1537" width="4.875" style="2964" customWidth="1"/>
    <col min="1538" max="1538" width="13.125" style="2964" customWidth="1"/>
    <col min="1539" max="1539" width="15.625" style="2964" customWidth="1"/>
    <col min="1540" max="1540" width="9.375" style="2964" bestFit="1" customWidth="1"/>
    <col min="1541" max="1541" width="13.5" style="2964" customWidth="1"/>
    <col min="1542" max="1542" width="8.875" style="2964"/>
    <col min="1543" max="1543" width="9.375" style="2964" bestFit="1" customWidth="1"/>
    <col min="1544" max="1545" width="8.875" style="2964"/>
    <col min="1546" max="1546" width="9.375" style="2964" bestFit="1" customWidth="1"/>
    <col min="1547" max="1547" width="4" style="2964" customWidth="1"/>
    <col min="1548" max="1548" width="5.125" style="2964" customWidth="1"/>
    <col min="1549" max="1549" width="13.625" style="2964" customWidth="1"/>
    <col min="1550" max="1792" width="8.875" style="2964"/>
    <col min="1793" max="1793" width="4.875" style="2964" customWidth="1"/>
    <col min="1794" max="1794" width="13.125" style="2964" customWidth="1"/>
    <col min="1795" max="1795" width="15.625" style="2964" customWidth="1"/>
    <col min="1796" max="1796" width="9.375" style="2964" bestFit="1" customWidth="1"/>
    <col min="1797" max="1797" width="13.5" style="2964" customWidth="1"/>
    <col min="1798" max="1798" width="8.875" style="2964"/>
    <col min="1799" max="1799" width="9.375" style="2964" bestFit="1" customWidth="1"/>
    <col min="1800" max="1801" width="8.875" style="2964"/>
    <col min="1802" max="1802" width="9.375" style="2964" bestFit="1" customWidth="1"/>
    <col min="1803" max="1803" width="4" style="2964" customWidth="1"/>
    <col min="1804" max="1804" width="5.125" style="2964" customWidth="1"/>
    <col min="1805" max="1805" width="13.625" style="2964" customWidth="1"/>
    <col min="1806" max="2048" width="8.875" style="2964"/>
    <col min="2049" max="2049" width="4.875" style="2964" customWidth="1"/>
    <col min="2050" max="2050" width="13.125" style="2964" customWidth="1"/>
    <col min="2051" max="2051" width="15.625" style="2964" customWidth="1"/>
    <col min="2052" max="2052" width="9.375" style="2964" bestFit="1" customWidth="1"/>
    <col min="2053" max="2053" width="13.5" style="2964" customWidth="1"/>
    <col min="2054" max="2054" width="8.875" style="2964"/>
    <col min="2055" max="2055" width="9.375" style="2964" bestFit="1" customWidth="1"/>
    <col min="2056" max="2057" width="8.875" style="2964"/>
    <col min="2058" max="2058" width="9.375" style="2964" bestFit="1" customWidth="1"/>
    <col min="2059" max="2059" width="4" style="2964" customWidth="1"/>
    <col min="2060" max="2060" width="5.125" style="2964" customWidth="1"/>
    <col min="2061" max="2061" width="13.625" style="2964" customWidth="1"/>
    <col min="2062" max="2304" width="8.875" style="2964"/>
    <col min="2305" max="2305" width="4.875" style="2964" customWidth="1"/>
    <col min="2306" max="2306" width="13.125" style="2964" customWidth="1"/>
    <col min="2307" max="2307" width="15.625" style="2964" customWidth="1"/>
    <col min="2308" max="2308" width="9.375" style="2964" bestFit="1" customWidth="1"/>
    <col min="2309" max="2309" width="13.5" style="2964" customWidth="1"/>
    <col min="2310" max="2310" width="8.875" style="2964"/>
    <col min="2311" max="2311" width="9.375" style="2964" bestFit="1" customWidth="1"/>
    <col min="2312" max="2313" width="8.875" style="2964"/>
    <col min="2314" max="2314" width="9.375" style="2964" bestFit="1" customWidth="1"/>
    <col min="2315" max="2315" width="4" style="2964" customWidth="1"/>
    <col min="2316" max="2316" width="5.125" style="2964" customWidth="1"/>
    <col min="2317" max="2317" width="13.625" style="2964" customWidth="1"/>
    <col min="2318" max="2560" width="8.875" style="2964"/>
    <col min="2561" max="2561" width="4.875" style="2964" customWidth="1"/>
    <col min="2562" max="2562" width="13.125" style="2964" customWidth="1"/>
    <col min="2563" max="2563" width="15.625" style="2964" customWidth="1"/>
    <col min="2564" max="2564" width="9.375" style="2964" bestFit="1" customWidth="1"/>
    <col min="2565" max="2565" width="13.5" style="2964" customWidth="1"/>
    <col min="2566" max="2566" width="8.875" style="2964"/>
    <col min="2567" max="2567" width="9.375" style="2964" bestFit="1" customWidth="1"/>
    <col min="2568" max="2569" width="8.875" style="2964"/>
    <col min="2570" max="2570" width="9.375" style="2964" bestFit="1" customWidth="1"/>
    <col min="2571" max="2571" width="4" style="2964" customWidth="1"/>
    <col min="2572" max="2572" width="5.125" style="2964" customWidth="1"/>
    <col min="2573" max="2573" width="13.625" style="2964" customWidth="1"/>
    <col min="2574" max="2816" width="8.875" style="2964"/>
    <col min="2817" max="2817" width="4.875" style="2964" customWidth="1"/>
    <col min="2818" max="2818" width="13.125" style="2964" customWidth="1"/>
    <col min="2819" max="2819" width="15.625" style="2964" customWidth="1"/>
    <col min="2820" max="2820" width="9.375" style="2964" bestFit="1" customWidth="1"/>
    <col min="2821" max="2821" width="13.5" style="2964" customWidth="1"/>
    <col min="2822" max="2822" width="8.875" style="2964"/>
    <col min="2823" max="2823" width="9.375" style="2964" bestFit="1" customWidth="1"/>
    <col min="2824" max="2825" width="8.875" style="2964"/>
    <col min="2826" max="2826" width="9.375" style="2964" bestFit="1" customWidth="1"/>
    <col min="2827" max="2827" width="4" style="2964" customWidth="1"/>
    <col min="2828" max="2828" width="5.125" style="2964" customWidth="1"/>
    <col min="2829" max="2829" width="13.625" style="2964" customWidth="1"/>
    <col min="2830" max="3072" width="8.875" style="2964"/>
    <col min="3073" max="3073" width="4.875" style="2964" customWidth="1"/>
    <col min="3074" max="3074" width="13.125" style="2964" customWidth="1"/>
    <col min="3075" max="3075" width="15.625" style="2964" customWidth="1"/>
    <col min="3076" max="3076" width="9.375" style="2964" bestFit="1" customWidth="1"/>
    <col min="3077" max="3077" width="13.5" style="2964" customWidth="1"/>
    <col min="3078" max="3078" width="8.875" style="2964"/>
    <col min="3079" max="3079" width="9.375" style="2964" bestFit="1" customWidth="1"/>
    <col min="3080" max="3081" width="8.875" style="2964"/>
    <col min="3082" max="3082" width="9.375" style="2964" bestFit="1" customWidth="1"/>
    <col min="3083" max="3083" width="4" style="2964" customWidth="1"/>
    <col min="3084" max="3084" width="5.125" style="2964" customWidth="1"/>
    <col min="3085" max="3085" width="13.625" style="2964" customWidth="1"/>
    <col min="3086" max="3328" width="8.875" style="2964"/>
    <col min="3329" max="3329" width="4.875" style="2964" customWidth="1"/>
    <col min="3330" max="3330" width="13.125" style="2964" customWidth="1"/>
    <col min="3331" max="3331" width="15.625" style="2964" customWidth="1"/>
    <col min="3332" max="3332" width="9.375" style="2964" bestFit="1" customWidth="1"/>
    <col min="3333" max="3333" width="13.5" style="2964" customWidth="1"/>
    <col min="3334" max="3334" width="8.875" style="2964"/>
    <col min="3335" max="3335" width="9.375" style="2964" bestFit="1" customWidth="1"/>
    <col min="3336" max="3337" width="8.875" style="2964"/>
    <col min="3338" max="3338" width="9.375" style="2964" bestFit="1" customWidth="1"/>
    <col min="3339" max="3339" width="4" style="2964" customWidth="1"/>
    <col min="3340" max="3340" width="5.125" style="2964" customWidth="1"/>
    <col min="3341" max="3341" width="13.625" style="2964" customWidth="1"/>
    <col min="3342" max="3584" width="8.875" style="2964"/>
    <col min="3585" max="3585" width="4.875" style="2964" customWidth="1"/>
    <col min="3586" max="3586" width="13.125" style="2964" customWidth="1"/>
    <col min="3587" max="3587" width="15.625" style="2964" customWidth="1"/>
    <col min="3588" max="3588" width="9.375" style="2964" bestFit="1" customWidth="1"/>
    <col min="3589" max="3589" width="13.5" style="2964" customWidth="1"/>
    <col min="3590" max="3590" width="8.875" style="2964"/>
    <col min="3591" max="3591" width="9.375" style="2964" bestFit="1" customWidth="1"/>
    <col min="3592" max="3593" width="8.875" style="2964"/>
    <col min="3594" max="3594" width="9.375" style="2964" bestFit="1" customWidth="1"/>
    <col min="3595" max="3595" width="4" style="2964" customWidth="1"/>
    <col min="3596" max="3596" width="5.125" style="2964" customWidth="1"/>
    <col min="3597" max="3597" width="13.625" style="2964" customWidth="1"/>
    <col min="3598" max="3840" width="8.875" style="2964"/>
    <col min="3841" max="3841" width="4.875" style="2964" customWidth="1"/>
    <col min="3842" max="3842" width="13.125" style="2964" customWidth="1"/>
    <col min="3843" max="3843" width="15.625" style="2964" customWidth="1"/>
    <col min="3844" max="3844" width="9.375" style="2964" bestFit="1" customWidth="1"/>
    <col min="3845" max="3845" width="13.5" style="2964" customWidth="1"/>
    <col min="3846" max="3846" width="8.875" style="2964"/>
    <col min="3847" max="3847" width="9.375" style="2964" bestFit="1" customWidth="1"/>
    <col min="3848" max="3849" width="8.875" style="2964"/>
    <col min="3850" max="3850" width="9.375" style="2964" bestFit="1" customWidth="1"/>
    <col min="3851" max="3851" width="4" style="2964" customWidth="1"/>
    <col min="3852" max="3852" width="5.125" style="2964" customWidth="1"/>
    <col min="3853" max="3853" width="13.625" style="2964" customWidth="1"/>
    <col min="3854" max="4096" width="8.875" style="2964"/>
    <col min="4097" max="4097" width="4.875" style="2964" customWidth="1"/>
    <col min="4098" max="4098" width="13.125" style="2964" customWidth="1"/>
    <col min="4099" max="4099" width="15.625" style="2964" customWidth="1"/>
    <col min="4100" max="4100" width="9.375" style="2964" bestFit="1" customWidth="1"/>
    <col min="4101" max="4101" width="13.5" style="2964" customWidth="1"/>
    <col min="4102" max="4102" width="8.875" style="2964"/>
    <col min="4103" max="4103" width="9.375" style="2964" bestFit="1" customWidth="1"/>
    <col min="4104" max="4105" width="8.875" style="2964"/>
    <col min="4106" max="4106" width="9.375" style="2964" bestFit="1" customWidth="1"/>
    <col min="4107" max="4107" width="4" style="2964" customWidth="1"/>
    <col min="4108" max="4108" width="5.125" style="2964" customWidth="1"/>
    <col min="4109" max="4109" width="13.625" style="2964" customWidth="1"/>
    <col min="4110" max="4352" width="8.875" style="2964"/>
    <col min="4353" max="4353" width="4.875" style="2964" customWidth="1"/>
    <col min="4354" max="4354" width="13.125" style="2964" customWidth="1"/>
    <col min="4355" max="4355" width="15.625" style="2964" customWidth="1"/>
    <col min="4356" max="4356" width="9.375" style="2964" bestFit="1" customWidth="1"/>
    <col min="4357" max="4357" width="13.5" style="2964" customWidth="1"/>
    <col min="4358" max="4358" width="8.875" style="2964"/>
    <col min="4359" max="4359" width="9.375" style="2964" bestFit="1" customWidth="1"/>
    <col min="4360" max="4361" width="8.875" style="2964"/>
    <col min="4362" max="4362" width="9.375" style="2964" bestFit="1" customWidth="1"/>
    <col min="4363" max="4363" width="4" style="2964" customWidth="1"/>
    <col min="4364" max="4364" width="5.125" style="2964" customWidth="1"/>
    <col min="4365" max="4365" width="13.625" style="2964" customWidth="1"/>
    <col min="4366" max="4608" width="8.875" style="2964"/>
    <col min="4609" max="4609" width="4.875" style="2964" customWidth="1"/>
    <col min="4610" max="4610" width="13.125" style="2964" customWidth="1"/>
    <col min="4611" max="4611" width="15.625" style="2964" customWidth="1"/>
    <col min="4612" max="4612" width="9.375" style="2964" bestFit="1" customWidth="1"/>
    <col min="4613" max="4613" width="13.5" style="2964" customWidth="1"/>
    <col min="4614" max="4614" width="8.875" style="2964"/>
    <col min="4615" max="4615" width="9.375" style="2964" bestFit="1" customWidth="1"/>
    <col min="4616" max="4617" width="8.875" style="2964"/>
    <col min="4618" max="4618" width="9.375" style="2964" bestFit="1" customWidth="1"/>
    <col min="4619" max="4619" width="4" style="2964" customWidth="1"/>
    <col min="4620" max="4620" width="5.125" style="2964" customWidth="1"/>
    <col min="4621" max="4621" width="13.625" style="2964" customWidth="1"/>
    <col min="4622" max="4864" width="8.875" style="2964"/>
    <col min="4865" max="4865" width="4.875" style="2964" customWidth="1"/>
    <col min="4866" max="4866" width="13.125" style="2964" customWidth="1"/>
    <col min="4867" max="4867" width="15.625" style="2964" customWidth="1"/>
    <col min="4868" max="4868" width="9.375" style="2964" bestFit="1" customWidth="1"/>
    <col min="4869" max="4869" width="13.5" style="2964" customWidth="1"/>
    <col min="4870" max="4870" width="8.875" style="2964"/>
    <col min="4871" max="4871" width="9.375" style="2964" bestFit="1" customWidth="1"/>
    <col min="4872" max="4873" width="8.875" style="2964"/>
    <col min="4874" max="4874" width="9.375" style="2964" bestFit="1" customWidth="1"/>
    <col min="4875" max="4875" width="4" style="2964" customWidth="1"/>
    <col min="4876" max="4876" width="5.125" style="2964" customWidth="1"/>
    <col min="4877" max="4877" width="13.625" style="2964" customWidth="1"/>
    <col min="4878" max="5120" width="8.875" style="2964"/>
    <col min="5121" max="5121" width="4.875" style="2964" customWidth="1"/>
    <col min="5122" max="5122" width="13.125" style="2964" customWidth="1"/>
    <col min="5123" max="5123" width="15.625" style="2964" customWidth="1"/>
    <col min="5124" max="5124" width="9.375" style="2964" bestFit="1" customWidth="1"/>
    <col min="5125" max="5125" width="13.5" style="2964" customWidth="1"/>
    <col min="5126" max="5126" width="8.875" style="2964"/>
    <col min="5127" max="5127" width="9.375" style="2964" bestFit="1" customWidth="1"/>
    <col min="5128" max="5129" width="8.875" style="2964"/>
    <col min="5130" max="5130" width="9.375" style="2964" bestFit="1" customWidth="1"/>
    <col min="5131" max="5131" width="4" style="2964" customWidth="1"/>
    <col min="5132" max="5132" width="5.125" style="2964" customWidth="1"/>
    <col min="5133" max="5133" width="13.625" style="2964" customWidth="1"/>
    <col min="5134" max="5376" width="8.875" style="2964"/>
    <col min="5377" max="5377" width="4.875" style="2964" customWidth="1"/>
    <col min="5378" max="5378" width="13.125" style="2964" customWidth="1"/>
    <col min="5379" max="5379" width="15.625" style="2964" customWidth="1"/>
    <col min="5380" max="5380" width="9.375" style="2964" bestFit="1" customWidth="1"/>
    <col min="5381" max="5381" width="13.5" style="2964" customWidth="1"/>
    <col min="5382" max="5382" width="8.875" style="2964"/>
    <col min="5383" max="5383" width="9.375" style="2964" bestFit="1" customWidth="1"/>
    <col min="5384" max="5385" width="8.875" style="2964"/>
    <col min="5386" max="5386" width="9.375" style="2964" bestFit="1" customWidth="1"/>
    <col min="5387" max="5387" width="4" style="2964" customWidth="1"/>
    <col min="5388" max="5388" width="5.125" style="2964" customWidth="1"/>
    <col min="5389" max="5389" width="13.625" style="2964" customWidth="1"/>
    <col min="5390" max="5632" width="8.875" style="2964"/>
    <col min="5633" max="5633" width="4.875" style="2964" customWidth="1"/>
    <col min="5634" max="5634" width="13.125" style="2964" customWidth="1"/>
    <col min="5635" max="5635" width="15.625" style="2964" customWidth="1"/>
    <col min="5636" max="5636" width="9.375" style="2964" bestFit="1" customWidth="1"/>
    <col min="5637" max="5637" width="13.5" style="2964" customWidth="1"/>
    <col min="5638" max="5638" width="8.875" style="2964"/>
    <col min="5639" max="5639" width="9.375" style="2964" bestFit="1" customWidth="1"/>
    <col min="5640" max="5641" width="8.875" style="2964"/>
    <col min="5642" max="5642" width="9.375" style="2964" bestFit="1" customWidth="1"/>
    <col min="5643" max="5643" width="4" style="2964" customWidth="1"/>
    <col min="5644" max="5644" width="5.125" style="2964" customWidth="1"/>
    <col min="5645" max="5645" width="13.625" style="2964" customWidth="1"/>
    <col min="5646" max="5888" width="8.875" style="2964"/>
    <col min="5889" max="5889" width="4.875" style="2964" customWidth="1"/>
    <col min="5890" max="5890" width="13.125" style="2964" customWidth="1"/>
    <col min="5891" max="5891" width="15.625" style="2964" customWidth="1"/>
    <col min="5892" max="5892" width="9.375" style="2964" bestFit="1" customWidth="1"/>
    <col min="5893" max="5893" width="13.5" style="2964" customWidth="1"/>
    <col min="5894" max="5894" width="8.875" style="2964"/>
    <col min="5895" max="5895" width="9.375" style="2964" bestFit="1" customWidth="1"/>
    <col min="5896" max="5897" width="8.875" style="2964"/>
    <col min="5898" max="5898" width="9.375" style="2964" bestFit="1" customWidth="1"/>
    <col min="5899" max="5899" width="4" style="2964" customWidth="1"/>
    <col min="5900" max="5900" width="5.125" style="2964" customWidth="1"/>
    <col min="5901" max="5901" width="13.625" style="2964" customWidth="1"/>
    <col min="5902" max="6144" width="8.875" style="2964"/>
    <col min="6145" max="6145" width="4.875" style="2964" customWidth="1"/>
    <col min="6146" max="6146" width="13.125" style="2964" customWidth="1"/>
    <col min="6147" max="6147" width="15.625" style="2964" customWidth="1"/>
    <col min="6148" max="6148" width="9.375" style="2964" bestFit="1" customWidth="1"/>
    <col min="6149" max="6149" width="13.5" style="2964" customWidth="1"/>
    <col min="6150" max="6150" width="8.875" style="2964"/>
    <col min="6151" max="6151" width="9.375" style="2964" bestFit="1" customWidth="1"/>
    <col min="6152" max="6153" width="8.875" style="2964"/>
    <col min="6154" max="6154" width="9.375" style="2964" bestFit="1" customWidth="1"/>
    <col min="6155" max="6155" width="4" style="2964" customWidth="1"/>
    <col min="6156" max="6156" width="5.125" style="2964" customWidth="1"/>
    <col min="6157" max="6157" width="13.625" style="2964" customWidth="1"/>
    <col min="6158" max="6400" width="8.875" style="2964"/>
    <col min="6401" max="6401" width="4.875" style="2964" customWidth="1"/>
    <col min="6402" max="6402" width="13.125" style="2964" customWidth="1"/>
    <col min="6403" max="6403" width="15.625" style="2964" customWidth="1"/>
    <col min="6404" max="6404" width="9.375" style="2964" bestFit="1" customWidth="1"/>
    <col min="6405" max="6405" width="13.5" style="2964" customWidth="1"/>
    <col min="6406" max="6406" width="8.875" style="2964"/>
    <col min="6407" max="6407" width="9.375" style="2964" bestFit="1" customWidth="1"/>
    <col min="6408" max="6409" width="8.875" style="2964"/>
    <col min="6410" max="6410" width="9.375" style="2964" bestFit="1" customWidth="1"/>
    <col min="6411" max="6411" width="4" style="2964" customWidth="1"/>
    <col min="6412" max="6412" width="5.125" style="2964" customWidth="1"/>
    <col min="6413" max="6413" width="13.625" style="2964" customWidth="1"/>
    <col min="6414" max="6656" width="8.875" style="2964"/>
    <col min="6657" max="6657" width="4.875" style="2964" customWidth="1"/>
    <col min="6658" max="6658" width="13.125" style="2964" customWidth="1"/>
    <col min="6659" max="6659" width="15.625" style="2964" customWidth="1"/>
    <col min="6660" max="6660" width="9.375" style="2964" bestFit="1" customWidth="1"/>
    <col min="6661" max="6661" width="13.5" style="2964" customWidth="1"/>
    <col min="6662" max="6662" width="8.875" style="2964"/>
    <col min="6663" max="6663" width="9.375" style="2964" bestFit="1" customWidth="1"/>
    <col min="6664" max="6665" width="8.875" style="2964"/>
    <col min="6666" max="6666" width="9.375" style="2964" bestFit="1" customWidth="1"/>
    <col min="6667" max="6667" width="4" style="2964" customWidth="1"/>
    <col min="6668" max="6668" width="5.125" style="2964" customWidth="1"/>
    <col min="6669" max="6669" width="13.625" style="2964" customWidth="1"/>
    <col min="6670" max="6912" width="8.875" style="2964"/>
    <col min="6913" max="6913" width="4.875" style="2964" customWidth="1"/>
    <col min="6914" max="6914" width="13.125" style="2964" customWidth="1"/>
    <col min="6915" max="6915" width="15.625" style="2964" customWidth="1"/>
    <col min="6916" max="6916" width="9.375" style="2964" bestFit="1" customWidth="1"/>
    <col min="6917" max="6917" width="13.5" style="2964" customWidth="1"/>
    <col min="6918" max="6918" width="8.875" style="2964"/>
    <col min="6919" max="6919" width="9.375" style="2964" bestFit="1" customWidth="1"/>
    <col min="6920" max="6921" width="8.875" style="2964"/>
    <col min="6922" max="6922" width="9.375" style="2964" bestFit="1" customWidth="1"/>
    <col min="6923" max="6923" width="4" style="2964" customWidth="1"/>
    <col min="6924" max="6924" width="5.125" style="2964" customWidth="1"/>
    <col min="6925" max="6925" width="13.625" style="2964" customWidth="1"/>
    <col min="6926" max="7168" width="8.875" style="2964"/>
    <col min="7169" max="7169" width="4.875" style="2964" customWidth="1"/>
    <col min="7170" max="7170" width="13.125" style="2964" customWidth="1"/>
    <col min="7171" max="7171" width="15.625" style="2964" customWidth="1"/>
    <col min="7172" max="7172" width="9.375" style="2964" bestFit="1" customWidth="1"/>
    <col min="7173" max="7173" width="13.5" style="2964" customWidth="1"/>
    <col min="7174" max="7174" width="8.875" style="2964"/>
    <col min="7175" max="7175" width="9.375" style="2964" bestFit="1" customWidth="1"/>
    <col min="7176" max="7177" width="8.875" style="2964"/>
    <col min="7178" max="7178" width="9.375" style="2964" bestFit="1" customWidth="1"/>
    <col min="7179" max="7179" width="4" style="2964" customWidth="1"/>
    <col min="7180" max="7180" width="5.125" style="2964" customWidth="1"/>
    <col min="7181" max="7181" width="13.625" style="2964" customWidth="1"/>
    <col min="7182" max="7424" width="8.875" style="2964"/>
    <col min="7425" max="7425" width="4.875" style="2964" customWidth="1"/>
    <col min="7426" max="7426" width="13.125" style="2964" customWidth="1"/>
    <col min="7427" max="7427" width="15.625" style="2964" customWidth="1"/>
    <col min="7428" max="7428" width="9.375" style="2964" bestFit="1" customWidth="1"/>
    <col min="7429" max="7429" width="13.5" style="2964" customWidth="1"/>
    <col min="7430" max="7430" width="8.875" style="2964"/>
    <col min="7431" max="7431" width="9.375" style="2964" bestFit="1" customWidth="1"/>
    <col min="7432" max="7433" width="8.875" style="2964"/>
    <col min="7434" max="7434" width="9.375" style="2964" bestFit="1" customWidth="1"/>
    <col min="7435" max="7435" width="4" style="2964" customWidth="1"/>
    <col min="7436" max="7436" width="5.125" style="2964" customWidth="1"/>
    <col min="7437" max="7437" width="13.625" style="2964" customWidth="1"/>
    <col min="7438" max="7680" width="8.875" style="2964"/>
    <col min="7681" max="7681" width="4.875" style="2964" customWidth="1"/>
    <col min="7682" max="7682" width="13.125" style="2964" customWidth="1"/>
    <col min="7683" max="7683" width="15.625" style="2964" customWidth="1"/>
    <col min="7684" max="7684" width="9.375" style="2964" bestFit="1" customWidth="1"/>
    <col min="7685" max="7685" width="13.5" style="2964" customWidth="1"/>
    <col min="7686" max="7686" width="8.875" style="2964"/>
    <col min="7687" max="7687" width="9.375" style="2964" bestFit="1" customWidth="1"/>
    <col min="7688" max="7689" width="8.875" style="2964"/>
    <col min="7690" max="7690" width="9.375" style="2964" bestFit="1" customWidth="1"/>
    <col min="7691" max="7691" width="4" style="2964" customWidth="1"/>
    <col min="7692" max="7692" width="5.125" style="2964" customWidth="1"/>
    <col min="7693" max="7693" width="13.625" style="2964" customWidth="1"/>
    <col min="7694" max="7936" width="8.875" style="2964"/>
    <col min="7937" max="7937" width="4.875" style="2964" customWidth="1"/>
    <col min="7938" max="7938" width="13.125" style="2964" customWidth="1"/>
    <col min="7939" max="7939" width="15.625" style="2964" customWidth="1"/>
    <col min="7940" max="7940" width="9.375" style="2964" bestFit="1" customWidth="1"/>
    <col min="7941" max="7941" width="13.5" style="2964" customWidth="1"/>
    <col min="7942" max="7942" width="8.875" style="2964"/>
    <col min="7943" max="7943" width="9.375" style="2964" bestFit="1" customWidth="1"/>
    <col min="7944" max="7945" width="8.875" style="2964"/>
    <col min="7946" max="7946" width="9.375" style="2964" bestFit="1" customWidth="1"/>
    <col min="7947" max="7947" width="4" style="2964" customWidth="1"/>
    <col min="7948" max="7948" width="5.125" style="2964" customWidth="1"/>
    <col min="7949" max="7949" width="13.625" style="2964" customWidth="1"/>
    <col min="7950" max="8192" width="8.875" style="2964"/>
    <col min="8193" max="8193" width="4.875" style="2964" customWidth="1"/>
    <col min="8194" max="8194" width="13.125" style="2964" customWidth="1"/>
    <col min="8195" max="8195" width="15.625" style="2964" customWidth="1"/>
    <col min="8196" max="8196" width="9.375" style="2964" bestFit="1" customWidth="1"/>
    <col min="8197" max="8197" width="13.5" style="2964" customWidth="1"/>
    <col min="8198" max="8198" width="8.875" style="2964"/>
    <col min="8199" max="8199" width="9.375" style="2964" bestFit="1" customWidth="1"/>
    <col min="8200" max="8201" width="8.875" style="2964"/>
    <col min="8202" max="8202" width="9.375" style="2964" bestFit="1" customWidth="1"/>
    <col min="8203" max="8203" width="4" style="2964" customWidth="1"/>
    <col min="8204" max="8204" width="5.125" style="2964" customWidth="1"/>
    <col min="8205" max="8205" width="13.625" style="2964" customWidth="1"/>
    <col min="8206" max="8448" width="8.875" style="2964"/>
    <col min="8449" max="8449" width="4.875" style="2964" customWidth="1"/>
    <col min="8450" max="8450" width="13.125" style="2964" customWidth="1"/>
    <col min="8451" max="8451" width="15.625" style="2964" customWidth="1"/>
    <col min="8452" max="8452" width="9.375" style="2964" bestFit="1" customWidth="1"/>
    <col min="8453" max="8453" width="13.5" style="2964" customWidth="1"/>
    <col min="8454" max="8454" width="8.875" style="2964"/>
    <col min="8455" max="8455" width="9.375" style="2964" bestFit="1" customWidth="1"/>
    <col min="8456" max="8457" width="8.875" style="2964"/>
    <col min="8458" max="8458" width="9.375" style="2964" bestFit="1" customWidth="1"/>
    <col min="8459" max="8459" width="4" style="2964" customWidth="1"/>
    <col min="8460" max="8460" width="5.125" style="2964" customWidth="1"/>
    <col min="8461" max="8461" width="13.625" style="2964" customWidth="1"/>
    <col min="8462" max="8704" width="8.875" style="2964"/>
    <col min="8705" max="8705" width="4.875" style="2964" customWidth="1"/>
    <col min="8706" max="8706" width="13.125" style="2964" customWidth="1"/>
    <col min="8707" max="8707" width="15.625" style="2964" customWidth="1"/>
    <col min="8708" max="8708" width="9.375" style="2964" bestFit="1" customWidth="1"/>
    <col min="8709" max="8709" width="13.5" style="2964" customWidth="1"/>
    <col min="8710" max="8710" width="8.875" style="2964"/>
    <col min="8711" max="8711" width="9.375" style="2964" bestFit="1" customWidth="1"/>
    <col min="8712" max="8713" width="8.875" style="2964"/>
    <col min="8714" max="8714" width="9.375" style="2964" bestFit="1" customWidth="1"/>
    <col min="8715" max="8715" width="4" style="2964" customWidth="1"/>
    <col min="8716" max="8716" width="5.125" style="2964" customWidth="1"/>
    <col min="8717" max="8717" width="13.625" style="2964" customWidth="1"/>
    <col min="8718" max="8960" width="8.875" style="2964"/>
    <col min="8961" max="8961" width="4.875" style="2964" customWidth="1"/>
    <col min="8962" max="8962" width="13.125" style="2964" customWidth="1"/>
    <col min="8963" max="8963" width="15.625" style="2964" customWidth="1"/>
    <col min="8964" max="8964" width="9.375" style="2964" bestFit="1" customWidth="1"/>
    <col min="8965" max="8965" width="13.5" style="2964" customWidth="1"/>
    <col min="8966" max="8966" width="8.875" style="2964"/>
    <col min="8967" max="8967" width="9.375" style="2964" bestFit="1" customWidth="1"/>
    <col min="8968" max="8969" width="8.875" style="2964"/>
    <col min="8970" max="8970" width="9.375" style="2964" bestFit="1" customWidth="1"/>
    <col min="8971" max="8971" width="4" style="2964" customWidth="1"/>
    <col min="8972" max="8972" width="5.125" style="2964" customWidth="1"/>
    <col min="8973" max="8973" width="13.625" style="2964" customWidth="1"/>
    <col min="8974" max="9216" width="8.875" style="2964"/>
    <col min="9217" max="9217" width="4.875" style="2964" customWidth="1"/>
    <col min="9218" max="9218" width="13.125" style="2964" customWidth="1"/>
    <col min="9219" max="9219" width="15.625" style="2964" customWidth="1"/>
    <col min="9220" max="9220" width="9.375" style="2964" bestFit="1" customWidth="1"/>
    <col min="9221" max="9221" width="13.5" style="2964" customWidth="1"/>
    <col min="9222" max="9222" width="8.875" style="2964"/>
    <col min="9223" max="9223" width="9.375" style="2964" bestFit="1" customWidth="1"/>
    <col min="9224" max="9225" width="8.875" style="2964"/>
    <col min="9226" max="9226" width="9.375" style="2964" bestFit="1" customWidth="1"/>
    <col min="9227" max="9227" width="4" style="2964" customWidth="1"/>
    <col min="9228" max="9228" width="5.125" style="2964" customWidth="1"/>
    <col min="9229" max="9229" width="13.625" style="2964" customWidth="1"/>
    <col min="9230" max="9472" width="8.875" style="2964"/>
    <col min="9473" max="9473" width="4.875" style="2964" customWidth="1"/>
    <col min="9474" max="9474" width="13.125" style="2964" customWidth="1"/>
    <col min="9475" max="9475" width="15.625" style="2964" customWidth="1"/>
    <col min="9476" max="9476" width="9.375" style="2964" bestFit="1" customWidth="1"/>
    <col min="9477" max="9477" width="13.5" style="2964" customWidth="1"/>
    <col min="9478" max="9478" width="8.875" style="2964"/>
    <col min="9479" max="9479" width="9.375" style="2964" bestFit="1" customWidth="1"/>
    <col min="9480" max="9481" width="8.875" style="2964"/>
    <col min="9482" max="9482" width="9.375" style="2964" bestFit="1" customWidth="1"/>
    <col min="9483" max="9483" width="4" style="2964" customWidth="1"/>
    <col min="9484" max="9484" width="5.125" style="2964" customWidth="1"/>
    <col min="9485" max="9485" width="13.625" style="2964" customWidth="1"/>
    <col min="9486" max="9728" width="8.875" style="2964"/>
    <col min="9729" max="9729" width="4.875" style="2964" customWidth="1"/>
    <col min="9730" max="9730" width="13.125" style="2964" customWidth="1"/>
    <col min="9731" max="9731" width="15.625" style="2964" customWidth="1"/>
    <col min="9732" max="9732" width="9.375" style="2964" bestFit="1" customWidth="1"/>
    <col min="9733" max="9733" width="13.5" style="2964" customWidth="1"/>
    <col min="9734" max="9734" width="8.875" style="2964"/>
    <col min="9735" max="9735" width="9.375" style="2964" bestFit="1" customWidth="1"/>
    <col min="9736" max="9737" width="8.875" style="2964"/>
    <col min="9738" max="9738" width="9.375" style="2964" bestFit="1" customWidth="1"/>
    <col min="9739" max="9739" width="4" style="2964" customWidth="1"/>
    <col min="9740" max="9740" width="5.125" style="2964" customWidth="1"/>
    <col min="9741" max="9741" width="13.625" style="2964" customWidth="1"/>
    <col min="9742" max="9984" width="8.875" style="2964"/>
    <col min="9985" max="9985" width="4.875" style="2964" customWidth="1"/>
    <col min="9986" max="9986" width="13.125" style="2964" customWidth="1"/>
    <col min="9987" max="9987" width="15.625" style="2964" customWidth="1"/>
    <col min="9988" max="9988" width="9.375" style="2964" bestFit="1" customWidth="1"/>
    <col min="9989" max="9989" width="13.5" style="2964" customWidth="1"/>
    <col min="9990" max="9990" width="8.875" style="2964"/>
    <col min="9991" max="9991" width="9.375" style="2964" bestFit="1" customWidth="1"/>
    <col min="9992" max="9993" width="8.875" style="2964"/>
    <col min="9994" max="9994" width="9.375" style="2964" bestFit="1" customWidth="1"/>
    <col min="9995" max="9995" width="4" style="2964" customWidth="1"/>
    <col min="9996" max="9996" width="5.125" style="2964" customWidth="1"/>
    <col min="9997" max="9997" width="13.625" style="2964" customWidth="1"/>
    <col min="9998" max="10240" width="8.875" style="2964"/>
    <col min="10241" max="10241" width="4.875" style="2964" customWidth="1"/>
    <col min="10242" max="10242" width="13.125" style="2964" customWidth="1"/>
    <col min="10243" max="10243" width="15.625" style="2964" customWidth="1"/>
    <col min="10244" max="10244" width="9.375" style="2964" bestFit="1" customWidth="1"/>
    <col min="10245" max="10245" width="13.5" style="2964" customWidth="1"/>
    <col min="10246" max="10246" width="8.875" style="2964"/>
    <col min="10247" max="10247" width="9.375" style="2964" bestFit="1" customWidth="1"/>
    <col min="10248" max="10249" width="8.875" style="2964"/>
    <col min="10250" max="10250" width="9.375" style="2964" bestFit="1" customWidth="1"/>
    <col min="10251" max="10251" width="4" style="2964" customWidth="1"/>
    <col min="10252" max="10252" width="5.125" style="2964" customWidth="1"/>
    <col min="10253" max="10253" width="13.625" style="2964" customWidth="1"/>
    <col min="10254" max="10496" width="8.875" style="2964"/>
    <col min="10497" max="10497" width="4.875" style="2964" customWidth="1"/>
    <col min="10498" max="10498" width="13.125" style="2964" customWidth="1"/>
    <col min="10499" max="10499" width="15.625" style="2964" customWidth="1"/>
    <col min="10500" max="10500" width="9.375" style="2964" bestFit="1" customWidth="1"/>
    <col min="10501" max="10501" width="13.5" style="2964" customWidth="1"/>
    <col min="10502" max="10502" width="8.875" style="2964"/>
    <col min="10503" max="10503" width="9.375" style="2964" bestFit="1" customWidth="1"/>
    <col min="10504" max="10505" width="8.875" style="2964"/>
    <col min="10506" max="10506" width="9.375" style="2964" bestFit="1" customWidth="1"/>
    <col min="10507" max="10507" width="4" style="2964" customWidth="1"/>
    <col min="10508" max="10508" width="5.125" style="2964" customWidth="1"/>
    <col min="10509" max="10509" width="13.625" style="2964" customWidth="1"/>
    <col min="10510" max="10752" width="8.875" style="2964"/>
    <col min="10753" max="10753" width="4.875" style="2964" customWidth="1"/>
    <col min="10754" max="10754" width="13.125" style="2964" customWidth="1"/>
    <col min="10755" max="10755" width="15.625" style="2964" customWidth="1"/>
    <col min="10756" max="10756" width="9.375" style="2964" bestFit="1" customWidth="1"/>
    <col min="10757" max="10757" width="13.5" style="2964" customWidth="1"/>
    <col min="10758" max="10758" width="8.875" style="2964"/>
    <col min="10759" max="10759" width="9.375" style="2964" bestFit="1" customWidth="1"/>
    <col min="10760" max="10761" width="8.875" style="2964"/>
    <col min="10762" max="10762" width="9.375" style="2964" bestFit="1" customWidth="1"/>
    <col min="10763" max="10763" width="4" style="2964" customWidth="1"/>
    <col min="10764" max="10764" width="5.125" style="2964" customWidth="1"/>
    <col min="10765" max="10765" width="13.625" style="2964" customWidth="1"/>
    <col min="10766" max="11008" width="8.875" style="2964"/>
    <col min="11009" max="11009" width="4.875" style="2964" customWidth="1"/>
    <col min="11010" max="11010" width="13.125" style="2964" customWidth="1"/>
    <col min="11011" max="11011" width="15.625" style="2964" customWidth="1"/>
    <col min="11012" max="11012" width="9.375" style="2964" bestFit="1" customWidth="1"/>
    <col min="11013" max="11013" width="13.5" style="2964" customWidth="1"/>
    <col min="11014" max="11014" width="8.875" style="2964"/>
    <col min="11015" max="11015" width="9.375" style="2964" bestFit="1" customWidth="1"/>
    <col min="11016" max="11017" width="8.875" style="2964"/>
    <col min="11018" max="11018" width="9.375" style="2964" bestFit="1" customWidth="1"/>
    <col min="11019" max="11019" width="4" style="2964" customWidth="1"/>
    <col min="11020" max="11020" width="5.125" style="2964" customWidth="1"/>
    <col min="11021" max="11021" width="13.625" style="2964" customWidth="1"/>
    <col min="11022" max="11264" width="8.875" style="2964"/>
    <col min="11265" max="11265" width="4.875" style="2964" customWidth="1"/>
    <col min="11266" max="11266" width="13.125" style="2964" customWidth="1"/>
    <col min="11267" max="11267" width="15.625" style="2964" customWidth="1"/>
    <col min="11268" max="11268" width="9.375" style="2964" bestFit="1" customWidth="1"/>
    <col min="11269" max="11269" width="13.5" style="2964" customWidth="1"/>
    <col min="11270" max="11270" width="8.875" style="2964"/>
    <col min="11271" max="11271" width="9.375" style="2964" bestFit="1" customWidth="1"/>
    <col min="11272" max="11273" width="8.875" style="2964"/>
    <col min="11274" max="11274" width="9.375" style="2964" bestFit="1" customWidth="1"/>
    <col min="11275" max="11275" width="4" style="2964" customWidth="1"/>
    <col min="11276" max="11276" width="5.125" style="2964" customWidth="1"/>
    <col min="11277" max="11277" width="13.625" style="2964" customWidth="1"/>
    <col min="11278" max="11520" width="8.875" style="2964"/>
    <col min="11521" max="11521" width="4.875" style="2964" customWidth="1"/>
    <col min="11522" max="11522" width="13.125" style="2964" customWidth="1"/>
    <col min="11523" max="11523" width="15.625" style="2964" customWidth="1"/>
    <col min="11524" max="11524" width="9.375" style="2964" bestFit="1" customWidth="1"/>
    <col min="11525" max="11525" width="13.5" style="2964" customWidth="1"/>
    <col min="11526" max="11526" width="8.875" style="2964"/>
    <col min="11527" max="11527" width="9.375" style="2964" bestFit="1" customWidth="1"/>
    <col min="11528" max="11529" width="8.875" style="2964"/>
    <col min="11530" max="11530" width="9.375" style="2964" bestFit="1" customWidth="1"/>
    <col min="11531" max="11531" width="4" style="2964" customWidth="1"/>
    <col min="11532" max="11532" width="5.125" style="2964" customWidth="1"/>
    <col min="11533" max="11533" width="13.625" style="2964" customWidth="1"/>
    <col min="11534" max="11776" width="8.875" style="2964"/>
    <col min="11777" max="11777" width="4.875" style="2964" customWidth="1"/>
    <col min="11778" max="11778" width="13.125" style="2964" customWidth="1"/>
    <col min="11779" max="11779" width="15.625" style="2964" customWidth="1"/>
    <col min="11780" max="11780" width="9.375" style="2964" bestFit="1" customWidth="1"/>
    <col min="11781" max="11781" width="13.5" style="2964" customWidth="1"/>
    <col min="11782" max="11782" width="8.875" style="2964"/>
    <col min="11783" max="11783" width="9.375" style="2964" bestFit="1" customWidth="1"/>
    <col min="11784" max="11785" width="8.875" style="2964"/>
    <col min="11786" max="11786" width="9.375" style="2964" bestFit="1" customWidth="1"/>
    <col min="11787" max="11787" width="4" style="2964" customWidth="1"/>
    <col min="11788" max="11788" width="5.125" style="2964" customWidth="1"/>
    <col min="11789" max="11789" width="13.625" style="2964" customWidth="1"/>
    <col min="11790" max="12032" width="8.875" style="2964"/>
    <col min="12033" max="12033" width="4.875" style="2964" customWidth="1"/>
    <col min="12034" max="12034" width="13.125" style="2964" customWidth="1"/>
    <col min="12035" max="12035" width="15.625" style="2964" customWidth="1"/>
    <col min="12036" max="12036" width="9.375" style="2964" bestFit="1" customWidth="1"/>
    <col min="12037" max="12037" width="13.5" style="2964" customWidth="1"/>
    <col min="12038" max="12038" width="8.875" style="2964"/>
    <col min="12039" max="12039" width="9.375" style="2964" bestFit="1" customWidth="1"/>
    <col min="12040" max="12041" width="8.875" style="2964"/>
    <col min="12042" max="12042" width="9.375" style="2964" bestFit="1" customWidth="1"/>
    <col min="12043" max="12043" width="4" style="2964" customWidth="1"/>
    <col min="12044" max="12044" width="5.125" style="2964" customWidth="1"/>
    <col min="12045" max="12045" width="13.625" style="2964" customWidth="1"/>
    <col min="12046" max="12288" width="8.875" style="2964"/>
    <col min="12289" max="12289" width="4.875" style="2964" customWidth="1"/>
    <col min="12290" max="12290" width="13.125" style="2964" customWidth="1"/>
    <col min="12291" max="12291" width="15.625" style="2964" customWidth="1"/>
    <col min="12292" max="12292" width="9.375" style="2964" bestFit="1" customWidth="1"/>
    <col min="12293" max="12293" width="13.5" style="2964" customWidth="1"/>
    <col min="12294" max="12294" width="8.875" style="2964"/>
    <col min="12295" max="12295" width="9.375" style="2964" bestFit="1" customWidth="1"/>
    <col min="12296" max="12297" width="8.875" style="2964"/>
    <col min="12298" max="12298" width="9.375" style="2964" bestFit="1" customWidth="1"/>
    <col min="12299" max="12299" width="4" style="2964" customWidth="1"/>
    <col min="12300" max="12300" width="5.125" style="2964" customWidth="1"/>
    <col min="12301" max="12301" width="13.625" style="2964" customWidth="1"/>
    <col min="12302" max="12544" width="8.875" style="2964"/>
    <col min="12545" max="12545" width="4.875" style="2964" customWidth="1"/>
    <col min="12546" max="12546" width="13.125" style="2964" customWidth="1"/>
    <col min="12547" max="12547" width="15.625" style="2964" customWidth="1"/>
    <col min="12548" max="12548" width="9.375" style="2964" bestFit="1" customWidth="1"/>
    <col min="12549" max="12549" width="13.5" style="2964" customWidth="1"/>
    <col min="12550" max="12550" width="8.875" style="2964"/>
    <col min="12551" max="12551" width="9.375" style="2964" bestFit="1" customWidth="1"/>
    <col min="12552" max="12553" width="8.875" style="2964"/>
    <col min="12554" max="12554" width="9.375" style="2964" bestFit="1" customWidth="1"/>
    <col min="12555" max="12555" width="4" style="2964" customWidth="1"/>
    <col min="12556" max="12556" width="5.125" style="2964" customWidth="1"/>
    <col min="12557" max="12557" width="13.625" style="2964" customWidth="1"/>
    <col min="12558" max="12800" width="8.875" style="2964"/>
    <col min="12801" max="12801" width="4.875" style="2964" customWidth="1"/>
    <col min="12802" max="12802" width="13.125" style="2964" customWidth="1"/>
    <col min="12803" max="12803" width="15.625" style="2964" customWidth="1"/>
    <col min="12804" max="12804" width="9.375" style="2964" bestFit="1" customWidth="1"/>
    <col min="12805" max="12805" width="13.5" style="2964" customWidth="1"/>
    <col min="12806" max="12806" width="8.875" style="2964"/>
    <col min="12807" max="12807" width="9.375" style="2964" bestFit="1" customWidth="1"/>
    <col min="12808" max="12809" width="8.875" style="2964"/>
    <col min="12810" max="12810" width="9.375" style="2964" bestFit="1" customWidth="1"/>
    <col min="12811" max="12811" width="4" style="2964" customWidth="1"/>
    <col min="12812" max="12812" width="5.125" style="2964" customWidth="1"/>
    <col min="12813" max="12813" width="13.625" style="2964" customWidth="1"/>
    <col min="12814" max="13056" width="8.875" style="2964"/>
    <col min="13057" max="13057" width="4.875" style="2964" customWidth="1"/>
    <col min="13058" max="13058" width="13.125" style="2964" customWidth="1"/>
    <col min="13059" max="13059" width="15.625" style="2964" customWidth="1"/>
    <col min="13060" max="13060" width="9.375" style="2964" bestFit="1" customWidth="1"/>
    <col min="13061" max="13061" width="13.5" style="2964" customWidth="1"/>
    <col min="13062" max="13062" width="8.875" style="2964"/>
    <col min="13063" max="13063" width="9.375" style="2964" bestFit="1" customWidth="1"/>
    <col min="13064" max="13065" width="8.875" style="2964"/>
    <col min="13066" max="13066" width="9.375" style="2964" bestFit="1" customWidth="1"/>
    <col min="13067" max="13067" width="4" style="2964" customWidth="1"/>
    <col min="13068" max="13068" width="5.125" style="2964" customWidth="1"/>
    <col min="13069" max="13069" width="13.625" style="2964" customWidth="1"/>
    <col min="13070" max="13312" width="8.875" style="2964"/>
    <col min="13313" max="13313" width="4.875" style="2964" customWidth="1"/>
    <col min="13314" max="13314" width="13.125" style="2964" customWidth="1"/>
    <col min="13315" max="13315" width="15.625" style="2964" customWidth="1"/>
    <col min="13316" max="13316" width="9.375" style="2964" bestFit="1" customWidth="1"/>
    <col min="13317" max="13317" width="13.5" style="2964" customWidth="1"/>
    <col min="13318" max="13318" width="8.875" style="2964"/>
    <col min="13319" max="13319" width="9.375" style="2964" bestFit="1" customWidth="1"/>
    <col min="13320" max="13321" width="8.875" style="2964"/>
    <col min="13322" max="13322" width="9.375" style="2964" bestFit="1" customWidth="1"/>
    <col min="13323" max="13323" width="4" style="2964" customWidth="1"/>
    <col min="13324" max="13324" width="5.125" style="2964" customWidth="1"/>
    <col min="13325" max="13325" width="13.625" style="2964" customWidth="1"/>
    <col min="13326" max="13568" width="8.875" style="2964"/>
    <col min="13569" max="13569" width="4.875" style="2964" customWidth="1"/>
    <col min="13570" max="13570" width="13.125" style="2964" customWidth="1"/>
    <col min="13571" max="13571" width="15.625" style="2964" customWidth="1"/>
    <col min="13572" max="13572" width="9.375" style="2964" bestFit="1" customWidth="1"/>
    <col min="13573" max="13573" width="13.5" style="2964" customWidth="1"/>
    <col min="13574" max="13574" width="8.875" style="2964"/>
    <col min="13575" max="13575" width="9.375" style="2964" bestFit="1" customWidth="1"/>
    <col min="13576" max="13577" width="8.875" style="2964"/>
    <col min="13578" max="13578" width="9.375" style="2964" bestFit="1" customWidth="1"/>
    <col min="13579" max="13579" width="4" style="2964" customWidth="1"/>
    <col min="13580" max="13580" width="5.125" style="2964" customWidth="1"/>
    <col min="13581" max="13581" width="13.625" style="2964" customWidth="1"/>
    <col min="13582" max="13824" width="8.875" style="2964"/>
    <col min="13825" max="13825" width="4.875" style="2964" customWidth="1"/>
    <col min="13826" max="13826" width="13.125" style="2964" customWidth="1"/>
    <col min="13827" max="13827" width="15.625" style="2964" customWidth="1"/>
    <col min="13828" max="13828" width="9.375" style="2964" bestFit="1" customWidth="1"/>
    <col min="13829" max="13829" width="13.5" style="2964" customWidth="1"/>
    <col min="13830" max="13830" width="8.875" style="2964"/>
    <col min="13831" max="13831" width="9.375" style="2964" bestFit="1" customWidth="1"/>
    <col min="13832" max="13833" width="8.875" style="2964"/>
    <col min="13834" max="13834" width="9.375" style="2964" bestFit="1" customWidth="1"/>
    <col min="13835" max="13835" width="4" style="2964" customWidth="1"/>
    <col min="13836" max="13836" width="5.125" style="2964" customWidth="1"/>
    <col min="13837" max="13837" width="13.625" style="2964" customWidth="1"/>
    <col min="13838" max="14080" width="8.875" style="2964"/>
    <col min="14081" max="14081" width="4.875" style="2964" customWidth="1"/>
    <col min="14082" max="14082" width="13.125" style="2964" customWidth="1"/>
    <col min="14083" max="14083" width="15.625" style="2964" customWidth="1"/>
    <col min="14084" max="14084" width="9.375" style="2964" bestFit="1" customWidth="1"/>
    <col min="14085" max="14085" width="13.5" style="2964" customWidth="1"/>
    <col min="14086" max="14086" width="8.875" style="2964"/>
    <col min="14087" max="14087" width="9.375" style="2964" bestFit="1" customWidth="1"/>
    <col min="14088" max="14089" width="8.875" style="2964"/>
    <col min="14090" max="14090" width="9.375" style="2964" bestFit="1" customWidth="1"/>
    <col min="14091" max="14091" width="4" style="2964" customWidth="1"/>
    <col min="14092" max="14092" width="5.125" style="2964" customWidth="1"/>
    <col min="14093" max="14093" width="13.625" style="2964" customWidth="1"/>
    <col min="14094" max="14336" width="8.875" style="2964"/>
    <col min="14337" max="14337" width="4.875" style="2964" customWidth="1"/>
    <col min="14338" max="14338" width="13.125" style="2964" customWidth="1"/>
    <col min="14339" max="14339" width="15.625" style="2964" customWidth="1"/>
    <col min="14340" max="14340" width="9.375" style="2964" bestFit="1" customWidth="1"/>
    <col min="14341" max="14341" width="13.5" style="2964" customWidth="1"/>
    <col min="14342" max="14342" width="8.875" style="2964"/>
    <col min="14343" max="14343" width="9.375" style="2964" bestFit="1" customWidth="1"/>
    <col min="14344" max="14345" width="8.875" style="2964"/>
    <col min="14346" max="14346" width="9.375" style="2964" bestFit="1" customWidth="1"/>
    <col min="14347" max="14347" width="4" style="2964" customWidth="1"/>
    <col min="14348" max="14348" width="5.125" style="2964" customWidth="1"/>
    <col min="14349" max="14349" width="13.625" style="2964" customWidth="1"/>
    <col min="14350" max="14592" width="8.875" style="2964"/>
    <col min="14593" max="14593" width="4.875" style="2964" customWidth="1"/>
    <col min="14594" max="14594" width="13.125" style="2964" customWidth="1"/>
    <col min="14595" max="14595" width="15.625" style="2964" customWidth="1"/>
    <col min="14596" max="14596" width="9.375" style="2964" bestFit="1" customWidth="1"/>
    <col min="14597" max="14597" width="13.5" style="2964" customWidth="1"/>
    <col min="14598" max="14598" width="8.875" style="2964"/>
    <col min="14599" max="14599" width="9.375" style="2964" bestFit="1" customWidth="1"/>
    <col min="14600" max="14601" width="8.875" style="2964"/>
    <col min="14602" max="14602" width="9.375" style="2964" bestFit="1" customWidth="1"/>
    <col min="14603" max="14603" width="4" style="2964" customWidth="1"/>
    <col min="14604" max="14604" width="5.125" style="2964" customWidth="1"/>
    <col min="14605" max="14605" width="13.625" style="2964" customWidth="1"/>
    <col min="14606" max="14848" width="8.875" style="2964"/>
    <col min="14849" max="14849" width="4.875" style="2964" customWidth="1"/>
    <col min="14850" max="14850" width="13.125" style="2964" customWidth="1"/>
    <col min="14851" max="14851" width="15.625" style="2964" customWidth="1"/>
    <col min="14852" max="14852" width="9.375" style="2964" bestFit="1" customWidth="1"/>
    <col min="14853" max="14853" width="13.5" style="2964" customWidth="1"/>
    <col min="14854" max="14854" width="8.875" style="2964"/>
    <col min="14855" max="14855" width="9.375" style="2964" bestFit="1" customWidth="1"/>
    <col min="14856" max="14857" width="8.875" style="2964"/>
    <col min="14858" max="14858" width="9.375" style="2964" bestFit="1" customWidth="1"/>
    <col min="14859" max="14859" width="4" style="2964" customWidth="1"/>
    <col min="14860" max="14860" width="5.125" style="2964" customWidth="1"/>
    <col min="14861" max="14861" width="13.625" style="2964" customWidth="1"/>
    <col min="14862" max="15104" width="8.875" style="2964"/>
    <col min="15105" max="15105" width="4.875" style="2964" customWidth="1"/>
    <col min="15106" max="15106" width="13.125" style="2964" customWidth="1"/>
    <col min="15107" max="15107" width="15.625" style="2964" customWidth="1"/>
    <col min="15108" max="15108" width="9.375" style="2964" bestFit="1" customWidth="1"/>
    <col min="15109" max="15109" width="13.5" style="2964" customWidth="1"/>
    <col min="15110" max="15110" width="8.875" style="2964"/>
    <col min="15111" max="15111" width="9.375" style="2964" bestFit="1" customWidth="1"/>
    <col min="15112" max="15113" width="8.875" style="2964"/>
    <col min="15114" max="15114" width="9.375" style="2964" bestFit="1" customWidth="1"/>
    <col min="15115" max="15115" width="4" style="2964" customWidth="1"/>
    <col min="15116" max="15116" width="5.125" style="2964" customWidth="1"/>
    <col min="15117" max="15117" width="13.625" style="2964" customWidth="1"/>
    <col min="15118" max="15360" width="8.875" style="2964"/>
    <col min="15361" max="15361" width="4.875" style="2964" customWidth="1"/>
    <col min="15362" max="15362" width="13.125" style="2964" customWidth="1"/>
    <col min="15363" max="15363" width="15.625" style="2964" customWidth="1"/>
    <col min="15364" max="15364" width="9.375" style="2964" bestFit="1" customWidth="1"/>
    <col min="15365" max="15365" width="13.5" style="2964" customWidth="1"/>
    <col min="15366" max="15366" width="8.875" style="2964"/>
    <col min="15367" max="15367" width="9.375" style="2964" bestFit="1" customWidth="1"/>
    <col min="15368" max="15369" width="8.875" style="2964"/>
    <col min="15370" max="15370" width="9.375" style="2964" bestFit="1" customWidth="1"/>
    <col min="15371" max="15371" width="4" style="2964" customWidth="1"/>
    <col min="15372" max="15372" width="5.125" style="2964" customWidth="1"/>
    <col min="15373" max="15373" width="13.625" style="2964" customWidth="1"/>
    <col min="15374" max="15616" width="8.875" style="2964"/>
    <col min="15617" max="15617" width="4.875" style="2964" customWidth="1"/>
    <col min="15618" max="15618" width="13.125" style="2964" customWidth="1"/>
    <col min="15619" max="15619" width="15.625" style="2964" customWidth="1"/>
    <col min="15620" max="15620" width="9.375" style="2964" bestFit="1" customWidth="1"/>
    <col min="15621" max="15621" width="13.5" style="2964" customWidth="1"/>
    <col min="15622" max="15622" width="8.875" style="2964"/>
    <col min="15623" max="15623" width="9.375" style="2964" bestFit="1" customWidth="1"/>
    <col min="15624" max="15625" width="8.875" style="2964"/>
    <col min="15626" max="15626" width="9.375" style="2964" bestFit="1" customWidth="1"/>
    <col min="15627" max="15627" width="4" style="2964" customWidth="1"/>
    <col min="15628" max="15628" width="5.125" style="2964" customWidth="1"/>
    <col min="15629" max="15629" width="13.625" style="2964" customWidth="1"/>
    <col min="15630" max="15872" width="8.875" style="2964"/>
    <col min="15873" max="15873" width="4.875" style="2964" customWidth="1"/>
    <col min="15874" max="15874" width="13.125" style="2964" customWidth="1"/>
    <col min="15875" max="15875" width="15.625" style="2964" customWidth="1"/>
    <col min="15876" max="15876" width="9.375" style="2964" bestFit="1" customWidth="1"/>
    <col min="15877" max="15877" width="13.5" style="2964" customWidth="1"/>
    <col min="15878" max="15878" width="8.875" style="2964"/>
    <col min="15879" max="15879" width="9.375" style="2964" bestFit="1" customWidth="1"/>
    <col min="15880" max="15881" width="8.875" style="2964"/>
    <col min="15882" max="15882" width="9.375" style="2964" bestFit="1" customWidth="1"/>
    <col min="15883" max="15883" width="4" style="2964" customWidth="1"/>
    <col min="15884" max="15884" width="5.125" style="2964" customWidth="1"/>
    <col min="15885" max="15885" width="13.625" style="2964" customWidth="1"/>
    <col min="15886" max="16128" width="8.875" style="2964"/>
    <col min="16129" max="16129" width="4.875" style="2964" customWidth="1"/>
    <col min="16130" max="16130" width="13.125" style="2964" customWidth="1"/>
    <col min="16131" max="16131" width="15.625" style="2964" customWidth="1"/>
    <col min="16132" max="16132" width="9.375" style="2964" bestFit="1" customWidth="1"/>
    <col min="16133" max="16133" width="13.5" style="2964" customWidth="1"/>
    <col min="16134" max="16134" width="8.875" style="2964"/>
    <col min="16135" max="16135" width="9.375" style="2964" bestFit="1" customWidth="1"/>
    <col min="16136" max="16137" width="8.875" style="2964"/>
    <col min="16138" max="16138" width="9.375" style="2964" bestFit="1" customWidth="1"/>
    <col min="16139" max="16139" width="4" style="2964" customWidth="1"/>
    <col min="16140" max="16140" width="5.125" style="2964" customWidth="1"/>
    <col min="16141" max="16141" width="13.625" style="2964" customWidth="1"/>
    <col min="16142" max="16384" width="8.875" style="2964"/>
  </cols>
  <sheetData>
    <row r="1" spans="1:257" s="3024" customFormat="1" ht="14.25" thickBot="1">
      <c r="A1" s="3023"/>
      <c r="B1" s="3025" t="s">
        <v>2787</v>
      </c>
      <c r="C1" s="3029">
        <f>项目基本情况!D3</f>
        <v>43236</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2818</v>
      </c>
      <c r="C2" s="3030">
        <f>'数据-取费表'!B22</f>
        <v>1.5</v>
      </c>
      <c r="D2" s="3025" t="s">
        <v>2788</v>
      </c>
      <c r="E2" s="3028">
        <f ca="1">INDIRECT("I"&amp;$I$1)/100</f>
        <v>4.7500000000000001E-2</v>
      </c>
      <c r="G2" s="2965"/>
      <c r="H2" s="2965"/>
      <c r="I2" s="2965" t="s">
        <v>2789</v>
      </c>
      <c r="K2" s="2965"/>
      <c r="L2" s="2965"/>
      <c r="M2" s="2965"/>
      <c r="N2" s="2965" t="s">
        <v>2790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2820</v>
      </c>
      <c r="C3" s="3027">
        <f>'数据-取费表'!B19</f>
        <v>0</v>
      </c>
      <c r="D3" s="3025" t="s">
        <v>2788</v>
      </c>
      <c r="E3" s="3028">
        <f ca="1">INDIRECT("J"&amp;$J$1)/100</f>
        <v>0</v>
      </c>
      <c r="G3" s="2967" t="s">
        <v>2791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2819</v>
      </c>
      <c r="C4" s="3028">
        <f ca="1">N4/100</f>
        <v>1.4999999999999999E-2</v>
      </c>
      <c r="G4" s="2973" t="s">
        <v>2792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2797</v>
      </c>
      <c r="C10" s="2992"/>
      <c r="D10" s="2992"/>
      <c r="E10" s="2992"/>
      <c r="F10" s="2992"/>
      <c r="G10" s="2992"/>
      <c r="H10" s="2992"/>
      <c r="I10" s="2966"/>
      <c r="J10" s="2966"/>
      <c r="K10" s="2992"/>
      <c r="L10" s="2993" t="s">
        <v>2798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2799</v>
      </c>
      <c r="C11" s="2997" t="s">
        <v>2800</v>
      </c>
      <c r="D11" s="2998" t="s">
        <v>2801</v>
      </c>
      <c r="E11" s="2999"/>
      <c r="F11" s="2998" t="s">
        <v>2802</v>
      </c>
      <c r="G11" s="3000"/>
      <c r="H11" s="2999"/>
      <c r="I11" s="2998" t="s">
        <v>2803</v>
      </c>
      <c r="J11" s="2999"/>
      <c r="K11" s="2995"/>
      <c r="L11" s="2996" t="s">
        <v>2799</v>
      </c>
      <c r="M11" s="2997" t="s">
        <v>2800</v>
      </c>
      <c r="N11" s="2996" t="s">
        <v>2804</v>
      </c>
      <c r="O11" s="2998" t="s">
        <v>2805</v>
      </c>
      <c r="P11" s="3000"/>
      <c r="Q11" s="3000"/>
      <c r="R11" s="3000"/>
      <c r="S11" s="3000"/>
      <c r="T11" s="2999"/>
      <c r="U11" s="2998" t="s">
        <v>2806</v>
      </c>
      <c r="V11" s="3000"/>
      <c r="W11" s="2999"/>
      <c r="X11" s="2996" t="s">
        <v>2807</v>
      </c>
      <c r="Y11" s="2996" t="s">
        <v>2808</v>
      </c>
      <c r="Z11" s="2996" t="s">
        <v>2809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2810</v>
      </c>
      <c r="E12" s="3005" t="s">
        <v>2811</v>
      </c>
      <c r="F12" s="3005" t="s">
        <v>2812</v>
      </c>
      <c r="G12" s="3005" t="s">
        <v>2813</v>
      </c>
      <c r="H12" s="3005" t="s">
        <v>2795</v>
      </c>
      <c r="I12" s="3006" t="s">
        <v>2814</v>
      </c>
      <c r="J12" s="3006" t="s">
        <v>2814</v>
      </c>
      <c r="K12" s="3002"/>
      <c r="L12" s="3003"/>
      <c r="M12" s="3004"/>
      <c r="N12" s="3003"/>
      <c r="O12" s="3006" t="s">
        <v>2815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2816</v>
      </c>
      <c r="C13" s="3010">
        <v>42301</v>
      </c>
      <c r="D13" s="3011">
        <v>4.3499999999999996</v>
      </c>
      <c r="E13" s="3011">
        <v>4.3499999999999996</v>
      </c>
      <c r="F13" s="3011">
        <v>4.75</v>
      </c>
      <c r="G13" s="3011">
        <v>4.75</v>
      </c>
      <c r="H13" s="3011">
        <v>4.9000000000000004</v>
      </c>
      <c r="I13" s="3011">
        <v>2.75</v>
      </c>
      <c r="J13" s="3011">
        <v>3.25</v>
      </c>
      <c r="K13" s="3008"/>
      <c r="L13" s="3009" t="s">
        <v>2816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2817</v>
      </c>
      <c r="Y42" s="3015" t="s">
        <v>2817</v>
      </c>
      <c r="Z42" s="3015" t="s">
        <v>2817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2817</v>
      </c>
      <c r="Y43" s="3015" t="s">
        <v>2817</v>
      </c>
      <c r="Z43" s="3015" t="s">
        <v>2817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2817</v>
      </c>
      <c r="Y44" s="3015" t="s">
        <v>2817</v>
      </c>
      <c r="Z44" s="3015" t="s">
        <v>2817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2817</v>
      </c>
      <c r="Y45" s="3015" t="s">
        <v>2817</v>
      </c>
      <c r="Z45" s="3015" t="s">
        <v>2817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2817</v>
      </c>
      <c r="Y46" s="3015" t="s">
        <v>2817</v>
      </c>
      <c r="Z46" s="3015" t="s">
        <v>2817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2817</v>
      </c>
      <c r="Y47" s="3015" t="s">
        <v>2817</v>
      </c>
      <c r="Z47" s="3015" t="s">
        <v>2817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2817</v>
      </c>
      <c r="Y48" s="3015" t="s">
        <v>2817</v>
      </c>
      <c r="Z48" s="3015" t="s">
        <v>2817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2817</v>
      </c>
      <c r="Y49" s="3015" t="s">
        <v>2817</v>
      </c>
      <c r="Z49" s="3015" t="s">
        <v>2817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2817</v>
      </c>
      <c r="Y50" s="3015" t="s">
        <v>2817</v>
      </c>
      <c r="Z50" s="3015" t="s">
        <v>2817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2817</v>
      </c>
      <c r="V51" s="3015" t="s">
        <v>2817</v>
      </c>
      <c r="W51" s="3015" t="s">
        <v>2817</v>
      </c>
      <c r="X51" s="3015" t="s">
        <v>2817</v>
      </c>
      <c r="Y51" s="3015" t="s">
        <v>2817</v>
      </c>
      <c r="Z51" s="3015" t="s">
        <v>2817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2817</v>
      </c>
      <c r="J55" s="3015" t="s">
        <v>2817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8" zoomScale="80" zoomScaleNormal="80" zoomScalePageLayoutView="80" workbookViewId="0">
      <selection activeCell="E3" sqref="E3"/>
    </sheetView>
  </sheetViews>
  <sheetFormatPr defaultColWidth="8.875" defaultRowHeight="14.25"/>
  <cols>
    <col min="1" max="1" width="10.5" style="1337" customWidth="1"/>
    <col min="2"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8" t="s">
        <v>719</v>
      </c>
      <c r="C1" s="2649" t="s">
        <v>720</v>
      </c>
      <c r="D1" s="2650" t="s">
        <v>2981</v>
      </c>
      <c r="E1" s="2651"/>
      <c r="F1" s="2832" t="s">
        <v>3054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f>ROUND(B3*D3/10000,0)</f>
        <v>37811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8091</v>
      </c>
      <c r="C3" s="852" t="s">
        <v>722</v>
      </c>
      <c r="D3" s="851">
        <f>SUMIF('数据-汇总表'!$C19:$C33,D1,'数据-汇总表'!$E19:$E33)</f>
        <v>46731.7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581" t="s">
        <v>522</v>
      </c>
      <c r="D4" s="3582"/>
      <c r="E4" s="3618" t="s">
        <v>523</v>
      </c>
      <c r="F4" s="3619"/>
      <c r="G4" s="3692" t="s">
        <v>524</v>
      </c>
      <c r="H4" s="3693"/>
      <c r="I4" s="3581" t="s">
        <v>525</v>
      </c>
      <c r="J4" s="3582"/>
      <c r="K4" s="853" t="s">
        <v>526</v>
      </c>
      <c r="L4" s="2134"/>
      <c r="M4" s="2135"/>
      <c r="N4" s="2135"/>
      <c r="O4" s="2135"/>
      <c r="P4" s="3583" t="s">
        <v>527</v>
      </c>
      <c r="Q4" s="3584"/>
      <c r="R4" s="3589" t="s">
        <v>523</v>
      </c>
      <c r="S4" s="3590"/>
      <c r="T4" s="3589" t="s">
        <v>524</v>
      </c>
      <c r="U4" s="3590"/>
      <c r="V4" s="3576" t="s">
        <v>525</v>
      </c>
      <c r="W4" s="3576"/>
      <c r="X4" s="3339"/>
      <c r="Y4" s="3589" t="s">
        <v>527</v>
      </c>
      <c r="Z4" s="3590"/>
      <c r="AA4" s="3578" t="s">
        <v>523</v>
      </c>
      <c r="AB4" s="3578" t="s">
        <v>524</v>
      </c>
      <c r="AC4" s="3578" t="s">
        <v>525</v>
      </c>
    </row>
    <row r="5" spans="1:29" ht="15">
      <c r="A5" s="515"/>
      <c r="B5" s="516"/>
      <c r="C5" s="3599" t="s">
        <v>2920</v>
      </c>
      <c r="D5" s="3598"/>
      <c r="E5" s="3695" t="s">
        <v>3027</v>
      </c>
      <c r="F5" s="3621"/>
      <c r="G5" s="3597" t="s">
        <v>3550</v>
      </c>
      <c r="H5" s="3598"/>
      <c r="I5" s="3597" t="s">
        <v>3053</v>
      </c>
      <c r="J5" s="3598"/>
      <c r="K5" s="854"/>
      <c r="L5" s="2134"/>
      <c r="M5" s="2135"/>
      <c r="N5" s="2135"/>
      <c r="O5" s="2135"/>
      <c r="P5" s="3585"/>
      <c r="Q5" s="3586"/>
      <c r="R5" s="3591"/>
      <c r="S5" s="3592"/>
      <c r="T5" s="3591"/>
      <c r="U5" s="3592"/>
      <c r="V5" s="3576"/>
      <c r="W5" s="3576"/>
      <c r="X5" s="3339"/>
      <c r="Y5" s="3591"/>
      <c r="Z5" s="3592"/>
      <c r="AA5" s="3579"/>
      <c r="AB5" s="3579"/>
      <c r="AC5" s="3579"/>
    </row>
    <row r="6" spans="1:29" ht="30" customHeight="1" thickBot="1">
      <c r="A6" s="517"/>
      <c r="B6" s="518"/>
      <c r="C6" s="3615" t="s">
        <v>2924</v>
      </c>
      <c r="D6" s="3596"/>
      <c r="E6" s="3694" t="s">
        <v>3050</v>
      </c>
      <c r="F6" s="3617"/>
      <c r="G6" s="3595" t="s">
        <v>3551</v>
      </c>
      <c r="H6" s="3596"/>
      <c r="I6" s="3595" t="s">
        <v>3052</v>
      </c>
      <c r="J6" s="3596"/>
      <c r="K6" s="854" t="s">
        <v>528</v>
      </c>
      <c r="L6" s="2134"/>
      <c r="M6" s="2135"/>
      <c r="N6" s="2135"/>
      <c r="O6" s="2135"/>
      <c r="P6" s="3587"/>
      <c r="Q6" s="3588"/>
      <c r="R6" s="3591"/>
      <c r="S6" s="3592"/>
      <c r="T6" s="3593"/>
      <c r="U6" s="3594"/>
      <c r="V6" s="3576"/>
      <c r="W6" s="3576"/>
      <c r="X6" s="3339"/>
      <c r="Y6" s="3593"/>
      <c r="Z6" s="3594"/>
      <c r="AA6" s="3580"/>
      <c r="AB6" s="3580"/>
      <c r="AC6" s="3580"/>
    </row>
    <row r="7" spans="1:29" s="1220" customFormat="1" ht="15.75" thickBot="1">
      <c r="A7" s="2937"/>
      <c r="B7" s="2944" t="s">
        <v>529</v>
      </c>
      <c r="C7" s="519">
        <f>'数据-取费表'!B2</f>
        <v>43236</v>
      </c>
      <c r="D7" s="520">
        <v>100</v>
      </c>
      <c r="E7" s="521">
        <f>C7</f>
        <v>43236</v>
      </c>
      <c r="F7" s="522">
        <f>SUMIF(58:58,YEAR(E7)&amp;"-"&amp;MONTH(E7),59:59)</f>
        <v>100</v>
      </c>
      <c r="G7" s="523">
        <f>E7</f>
        <v>43236</v>
      </c>
      <c r="H7" s="520">
        <f>SUMIF(58:58,YEAR(G7)&amp;"-"&amp;MONTH(G7),59:59)</f>
        <v>100</v>
      </c>
      <c r="I7" s="523">
        <f>E7</f>
        <v>43236</v>
      </c>
      <c r="J7" s="520">
        <f>SUMIF(58:58,YEAR(I7)&amp;"-"&amp;MONTH(I7),59:59)</f>
        <v>100</v>
      </c>
      <c r="K7" s="855"/>
      <c r="L7" s="2136"/>
      <c r="M7" s="2137"/>
      <c r="N7" s="2137"/>
      <c r="O7" s="2137"/>
      <c r="P7" s="3608" t="s">
        <v>530</v>
      </c>
      <c r="Q7" s="3610"/>
      <c r="R7" s="1568" t="s">
        <v>13</v>
      </c>
      <c r="S7" s="1569">
        <f t="shared" ref="S7:S15" si="0">F7</f>
        <v>100</v>
      </c>
      <c r="T7" s="1568" t="s">
        <v>13</v>
      </c>
      <c r="U7" s="1569">
        <f t="shared" ref="U7:U15" si="1">H7</f>
        <v>100</v>
      </c>
      <c r="V7" s="1568" t="s">
        <v>13</v>
      </c>
      <c r="W7" s="1569">
        <f t="shared" ref="W7:W15" si="2">J7</f>
        <v>100</v>
      </c>
      <c r="X7" s="1570"/>
      <c r="Y7" s="3608" t="s">
        <v>530</v>
      </c>
      <c r="Z7" s="3609"/>
      <c r="AA7" s="1571">
        <f>D7/F7</f>
        <v>1</v>
      </c>
      <c r="AB7" s="1571">
        <f>D7/H7</f>
        <v>1</v>
      </c>
      <c r="AC7" s="1571">
        <f>D7/J7</f>
        <v>1</v>
      </c>
    </row>
    <row r="8" spans="1:29" s="1220" customFormat="1" ht="15.75" thickBot="1">
      <c r="A8" s="2938"/>
      <c r="B8" s="2945" t="s">
        <v>531</v>
      </c>
      <c r="C8" s="525" t="s">
        <v>576</v>
      </c>
      <c r="D8" s="520">
        <v>100</v>
      </c>
      <c r="E8" s="856" t="s">
        <v>2985</v>
      </c>
      <c r="F8" s="522">
        <f>SUMIF(61:61,E8,62:62)-SUMIF(61:61,C8,62:62)+100</f>
        <v>100</v>
      </c>
      <c r="G8" s="856" t="s">
        <v>2985</v>
      </c>
      <c r="H8" s="520">
        <f>SUMIF(61:61,G8,62:62)-SUMIF(61:61,C8,62:62)+100</f>
        <v>100</v>
      </c>
      <c r="I8" s="856" t="s">
        <v>2985</v>
      </c>
      <c r="J8" s="520">
        <f>SUMIF(61:61,I8,62:62)-SUMIF(61:61,C8,62:62)+100</f>
        <v>100</v>
      </c>
      <c r="K8" s="855"/>
      <c r="L8" s="2136"/>
      <c r="M8" s="2137"/>
      <c r="N8" s="2137"/>
      <c r="O8" s="2137"/>
      <c r="P8" s="3608" t="s">
        <v>533</v>
      </c>
      <c r="Q8" s="3609"/>
      <c r="R8" s="1568" t="s">
        <v>13</v>
      </c>
      <c r="S8" s="1569">
        <f t="shared" si="0"/>
        <v>100</v>
      </c>
      <c r="T8" s="1568" t="s">
        <v>13</v>
      </c>
      <c r="U8" s="1569">
        <f t="shared" si="1"/>
        <v>100</v>
      </c>
      <c r="V8" s="1568" t="s">
        <v>13</v>
      </c>
      <c r="W8" s="1569">
        <f t="shared" si="2"/>
        <v>100</v>
      </c>
      <c r="X8" s="1570"/>
      <c r="Y8" s="3608" t="s">
        <v>533</v>
      </c>
      <c r="Z8" s="3609"/>
      <c r="AA8" s="1571">
        <f t="shared" ref="AA8:AA46" si="3">D8/F8</f>
        <v>1</v>
      </c>
      <c r="AB8" s="1571">
        <f t="shared" ref="AB8:AB46" si="4">D8/H8</f>
        <v>1</v>
      </c>
      <c r="AC8" s="1571">
        <f t="shared" ref="AC8:AC46" si="5">D8/J8</f>
        <v>1</v>
      </c>
    </row>
    <row r="9" spans="1:29" s="1220" customFormat="1" ht="15">
      <c r="A9" s="2939"/>
      <c r="B9" s="2946" t="s">
        <v>2755</v>
      </c>
      <c r="C9" s="3197" t="s">
        <v>3028</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575" t="s">
        <v>535</v>
      </c>
      <c r="Q9" s="3336" t="str">
        <f t="shared" ref="Q9:Q15" si="6">B9</f>
        <v>用途</v>
      </c>
      <c r="R9" s="1568" t="s">
        <v>8</v>
      </c>
      <c r="S9" s="1569">
        <f t="shared" si="0"/>
        <v>100</v>
      </c>
      <c r="T9" s="1568" t="s">
        <v>8</v>
      </c>
      <c r="U9" s="1569">
        <f t="shared" si="1"/>
        <v>100</v>
      </c>
      <c r="V9" s="1568" t="s">
        <v>8</v>
      </c>
      <c r="W9" s="1569">
        <f t="shared" si="2"/>
        <v>100</v>
      </c>
      <c r="X9" s="1570"/>
      <c r="Y9" s="3521" t="s">
        <v>536</v>
      </c>
      <c r="Z9" s="3335" t="str">
        <f t="shared" ref="Z9:Z15" si="7">Q9</f>
        <v>用途</v>
      </c>
      <c r="AA9" s="1571">
        <f t="shared" si="3"/>
        <v>1</v>
      </c>
      <c r="AB9" s="1571">
        <f t="shared" si="4"/>
        <v>1</v>
      </c>
      <c r="AC9" s="1571">
        <f t="shared" si="5"/>
        <v>1</v>
      </c>
    </row>
    <row r="10" spans="1:29" s="1338" customFormat="1" ht="27">
      <c r="A10" s="2940"/>
      <c r="B10" s="2945" t="s">
        <v>2756</v>
      </c>
      <c r="C10" s="861" t="s">
        <v>3029</v>
      </c>
      <c r="D10" s="255">
        <v>100</v>
      </c>
      <c r="E10" s="862" t="s">
        <v>3029</v>
      </c>
      <c r="F10" s="863">
        <f>SUMIF(65:65,E10,66:66)-SUMIF(65:65,C10,66:66)+100</f>
        <v>100</v>
      </c>
      <c r="G10" s="862" t="s">
        <v>3029</v>
      </c>
      <c r="H10" s="255">
        <f>SUMIF(65:65,G10,66:66)-SUMIF(65:65,C10,66:66)+100</f>
        <v>100</v>
      </c>
      <c r="I10" s="862" t="s">
        <v>3029</v>
      </c>
      <c r="J10" s="255">
        <f>SUMIF(65:65,I10,66:66)-SUMIF(65:65,C10,66:66)+100</f>
        <v>100</v>
      </c>
      <c r="K10" s="864">
        <v>1</v>
      </c>
      <c r="L10" s="2139"/>
      <c r="M10" s="2179"/>
      <c r="N10" s="2179"/>
      <c r="O10" s="2140"/>
      <c r="P10" s="3575"/>
      <c r="Q10" s="3336" t="str">
        <f t="shared" si="6"/>
        <v>土地使用年限（年）</v>
      </c>
      <c r="R10" s="1568" t="s">
        <v>8</v>
      </c>
      <c r="S10" s="1569">
        <f t="shared" si="0"/>
        <v>100</v>
      </c>
      <c r="T10" s="1568" t="s">
        <v>8</v>
      </c>
      <c r="U10" s="1569">
        <f t="shared" si="1"/>
        <v>100</v>
      </c>
      <c r="V10" s="1568" t="s">
        <v>8</v>
      </c>
      <c r="W10" s="1569">
        <f t="shared" si="2"/>
        <v>100</v>
      </c>
      <c r="X10" s="1570"/>
      <c r="Y10" s="3521"/>
      <c r="Z10" s="3335" t="str">
        <f t="shared" si="7"/>
        <v>土地使用年限（年）</v>
      </c>
      <c r="AA10" s="1571">
        <f t="shared" si="3"/>
        <v>1</v>
      </c>
      <c r="AB10" s="1571">
        <f t="shared" si="4"/>
        <v>1</v>
      </c>
      <c r="AC10" s="1571">
        <f t="shared" si="5"/>
        <v>1</v>
      </c>
    </row>
    <row r="11" spans="1:29" ht="15.75" thickBot="1">
      <c r="A11" s="2941"/>
      <c r="B11" s="2945" t="s">
        <v>2757</v>
      </c>
      <c r="C11" s="533">
        <f>'数据-汇总表'!I6</f>
        <v>1.92</v>
      </c>
      <c r="D11" s="255">
        <v>100</v>
      </c>
      <c r="E11" s="534">
        <v>2</v>
      </c>
      <c r="F11" s="863">
        <f>LOOKUP(E11,68:68,69:69)-LOOKUP(C11,68:68,69:69)+100</f>
        <v>99</v>
      </c>
      <c r="G11" s="533">
        <v>1.36</v>
      </c>
      <c r="H11" s="255">
        <f>LOOKUP(G11,68:68,69:69)-LOOKUP(C11,68:68,69:69)+100</f>
        <v>100</v>
      </c>
      <c r="I11" s="533">
        <v>2.4900000000000002</v>
      </c>
      <c r="J11" s="255">
        <f>LOOKUP(I11,68:68,69:69)-LOOKUP(C11,68:68,69:69)+100</f>
        <v>99</v>
      </c>
      <c r="K11" s="864">
        <v>1</v>
      </c>
      <c r="L11" s="2141"/>
      <c r="M11" s="2135"/>
      <c r="N11" s="2135"/>
      <c r="O11" s="2142"/>
      <c r="P11" s="3575"/>
      <c r="Q11" s="3336" t="str">
        <f t="shared" si="6"/>
        <v>容积率</v>
      </c>
      <c r="R11" s="1568" t="s">
        <v>11</v>
      </c>
      <c r="S11" s="1569">
        <f t="shared" si="0"/>
        <v>99</v>
      </c>
      <c r="T11" s="1568" t="s">
        <v>11</v>
      </c>
      <c r="U11" s="1569">
        <f t="shared" si="1"/>
        <v>100</v>
      </c>
      <c r="V11" s="1568" t="s">
        <v>11</v>
      </c>
      <c r="W11" s="1569">
        <f t="shared" si="2"/>
        <v>99</v>
      </c>
      <c r="X11" s="1570"/>
      <c r="Y11" s="3521"/>
      <c r="Z11" s="3335" t="str">
        <f t="shared" si="7"/>
        <v>容积率</v>
      </c>
      <c r="AA11" s="1571">
        <f t="shared" si="3"/>
        <v>1.0101010101010102</v>
      </c>
      <c r="AB11" s="1571">
        <f t="shared" si="4"/>
        <v>1</v>
      </c>
      <c r="AC11" s="1571">
        <f t="shared" si="5"/>
        <v>1.0101010101010102</v>
      </c>
    </row>
    <row r="12" spans="1:29" s="1220"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575"/>
      <c r="Q12" s="3336">
        <f t="shared" si="6"/>
        <v>0</v>
      </c>
      <c r="R12" s="1568" t="s">
        <v>11</v>
      </c>
      <c r="S12" s="1569">
        <f t="shared" si="0"/>
        <v>100</v>
      </c>
      <c r="T12" s="1568" t="s">
        <v>11</v>
      </c>
      <c r="U12" s="1569">
        <f t="shared" si="1"/>
        <v>100</v>
      </c>
      <c r="V12" s="1568" t="s">
        <v>11</v>
      </c>
      <c r="W12" s="1569">
        <f t="shared" si="2"/>
        <v>100</v>
      </c>
      <c r="X12" s="1570"/>
      <c r="Y12" s="3521"/>
      <c r="Z12" s="3335">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575"/>
      <c r="Q13" s="3336">
        <f t="shared" si="6"/>
        <v>0</v>
      </c>
      <c r="R13" s="1568" t="s">
        <v>11</v>
      </c>
      <c r="S13" s="1569">
        <f t="shared" si="0"/>
        <v>100</v>
      </c>
      <c r="T13" s="1568" t="s">
        <v>11</v>
      </c>
      <c r="U13" s="1569">
        <f t="shared" si="1"/>
        <v>100</v>
      </c>
      <c r="V13" s="1568" t="s">
        <v>11</v>
      </c>
      <c r="W13" s="1569">
        <f t="shared" si="2"/>
        <v>100</v>
      </c>
      <c r="X13" s="1570"/>
      <c r="Y13" s="3521"/>
      <c r="Z13" s="3335">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575"/>
      <c r="Q14" s="3336">
        <f t="shared" si="6"/>
        <v>0</v>
      </c>
      <c r="R14" s="1568" t="s">
        <v>11</v>
      </c>
      <c r="S14" s="1569">
        <f t="shared" si="0"/>
        <v>100</v>
      </c>
      <c r="T14" s="1568" t="s">
        <v>11</v>
      </c>
      <c r="U14" s="1569">
        <f t="shared" si="1"/>
        <v>100</v>
      </c>
      <c r="V14" s="1568" t="s">
        <v>11</v>
      </c>
      <c r="W14" s="1569">
        <f t="shared" si="2"/>
        <v>100</v>
      </c>
      <c r="X14" s="1570"/>
      <c r="Y14" s="3521"/>
      <c r="Z14" s="3335">
        <f t="shared" si="7"/>
        <v>0</v>
      </c>
      <c r="AA14" s="1571">
        <f t="shared" si="3"/>
        <v>1</v>
      </c>
      <c r="AB14" s="1571">
        <f t="shared" si="4"/>
        <v>1</v>
      </c>
      <c r="AC14" s="1571">
        <f t="shared" si="5"/>
        <v>1</v>
      </c>
    </row>
    <row r="15" spans="1:29" ht="85.5">
      <c r="A15" s="2935" t="s">
        <v>2753</v>
      </c>
      <c r="B15" s="166" t="s">
        <v>295</v>
      </c>
      <c r="C15" s="867" t="str">
        <f>估价对象房地状况!C3</f>
        <v>周边居住用地比例、居住小区规模和社区发展完善程度（居住用地比例适宜，较多住宅项目，但尚未开发完成，社区发展完善程度较差）</v>
      </c>
      <c r="D15" s="549">
        <v>100</v>
      </c>
      <c r="E15" s="550"/>
      <c r="F15" s="551">
        <f>SUMIF(76:76,E16,77:77)-SUMIF(76:76,C16,77:77)+100</f>
        <v>95</v>
      </c>
      <c r="G15" s="552"/>
      <c r="H15" s="549">
        <f>SUMIF(76:76,G16,77:77)-SUMIF(76:76,C16,77:77)+100</f>
        <v>100</v>
      </c>
      <c r="I15" s="550"/>
      <c r="J15" s="549">
        <f>SUMIF(76:76,I16,77:77)-SUMIF(76:76,C16,77:77)+100</f>
        <v>95</v>
      </c>
      <c r="K15" s="868">
        <v>5</v>
      </c>
      <c r="L15" s="2143"/>
      <c r="M15" s="2135"/>
      <c r="N15" s="2135"/>
      <c r="O15" s="2142"/>
      <c r="P15" s="3611" t="s">
        <v>540</v>
      </c>
      <c r="Q15" s="3337" t="str">
        <f t="shared" si="6"/>
        <v>居住社区成熟度</v>
      </c>
      <c r="R15" s="1573" t="s">
        <v>11</v>
      </c>
      <c r="S15" s="1574">
        <f t="shared" si="0"/>
        <v>95</v>
      </c>
      <c r="T15" s="1573" t="s">
        <v>11</v>
      </c>
      <c r="U15" s="1574">
        <f t="shared" si="1"/>
        <v>100</v>
      </c>
      <c r="V15" s="1573" t="s">
        <v>11</v>
      </c>
      <c r="W15" s="1574">
        <f t="shared" si="2"/>
        <v>95</v>
      </c>
      <c r="X15" s="3339"/>
      <c r="Y15" s="3611" t="s">
        <v>540</v>
      </c>
      <c r="Z15" s="3338" t="str">
        <f t="shared" si="7"/>
        <v>居住社区成熟度</v>
      </c>
      <c r="AA15" s="3340">
        <f t="shared" si="3"/>
        <v>1.0526315789473684</v>
      </c>
      <c r="AB15" s="3340">
        <f t="shared" si="4"/>
        <v>1</v>
      </c>
      <c r="AC15" s="3340">
        <f t="shared" si="5"/>
        <v>1.0526315789473684</v>
      </c>
    </row>
    <row r="16" spans="1:29" ht="15">
      <c r="A16" s="532"/>
      <c r="B16" s="869"/>
      <c r="C16" s="576" t="s">
        <v>3017</v>
      </c>
      <c r="D16" s="555"/>
      <c r="E16" s="576" t="s">
        <v>3018</v>
      </c>
      <c r="F16" s="557"/>
      <c r="G16" s="576" t="s">
        <v>3017</v>
      </c>
      <c r="H16" s="559"/>
      <c r="I16" s="576" t="s">
        <v>3018</v>
      </c>
      <c r="J16" s="555"/>
      <c r="K16" s="870"/>
      <c r="L16" s="2143"/>
      <c r="M16" s="2135"/>
      <c r="N16" s="2135"/>
      <c r="O16" s="2142"/>
      <c r="P16" s="3612"/>
      <c r="Q16" s="3337"/>
      <c r="R16" s="1573"/>
      <c r="S16" s="1574"/>
      <c r="T16" s="1573"/>
      <c r="U16" s="1574"/>
      <c r="V16" s="1573"/>
      <c r="W16" s="1574"/>
      <c r="X16" s="3339"/>
      <c r="Y16" s="3612"/>
      <c r="Z16" s="3338"/>
      <c r="AA16" s="3340">
        <v>1</v>
      </c>
      <c r="AB16" s="3340">
        <v>1</v>
      </c>
      <c r="AC16" s="3340">
        <v>1</v>
      </c>
    </row>
    <row r="17" spans="1:29" ht="85.5">
      <c r="A17" s="532"/>
      <c r="B17" s="871" t="s">
        <v>296</v>
      </c>
      <c r="C17" s="872" t="str">
        <f>估价对象房地状况!C6</f>
        <v>周边道路状况、公共交通通达情况、停车便捷程度（北至文峰大道 南至文明大道 均为城市主干道 南距安阳东站直线1.5公里 y1路 11路 16路）</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612"/>
      <c r="Q17" s="3337" t="str">
        <f>B17</f>
        <v>交通便捷度</v>
      </c>
      <c r="R17" s="1573" t="s">
        <v>11</v>
      </c>
      <c r="S17" s="1574">
        <f>F17</f>
        <v>100</v>
      </c>
      <c r="T17" s="1573" t="s">
        <v>11</v>
      </c>
      <c r="U17" s="1574">
        <f>H17</f>
        <v>100</v>
      </c>
      <c r="V17" s="1573" t="s">
        <v>11</v>
      </c>
      <c r="W17" s="1574">
        <f>J17</f>
        <v>100</v>
      </c>
      <c r="X17" s="3339"/>
      <c r="Y17" s="3612"/>
      <c r="Z17" s="3338" t="str">
        <f>Q17</f>
        <v>交通便捷度</v>
      </c>
      <c r="AA17" s="3340">
        <f t="shared" si="3"/>
        <v>1</v>
      </c>
      <c r="AB17" s="3340">
        <f t="shared" si="4"/>
        <v>1</v>
      </c>
      <c r="AC17" s="3340">
        <f t="shared" si="5"/>
        <v>1</v>
      </c>
    </row>
    <row r="18" spans="1:29" ht="15">
      <c r="A18" s="532"/>
      <c r="B18" s="595"/>
      <c r="C18" s="873" t="s">
        <v>3019</v>
      </c>
      <c r="D18" s="559"/>
      <c r="E18" s="873" t="s">
        <v>3019</v>
      </c>
      <c r="F18" s="563"/>
      <c r="G18" s="873" t="s">
        <v>3019</v>
      </c>
      <c r="H18" s="555"/>
      <c r="I18" s="873" t="s">
        <v>3019</v>
      </c>
      <c r="J18" s="555"/>
      <c r="K18" s="870"/>
      <c r="L18" s="2143"/>
      <c r="M18" s="2135"/>
      <c r="N18" s="2135"/>
      <c r="O18" s="2142"/>
      <c r="P18" s="3612"/>
      <c r="Q18" s="3337"/>
      <c r="R18" s="1573"/>
      <c r="S18" s="1574"/>
      <c r="T18" s="1573"/>
      <c r="U18" s="1574"/>
      <c r="V18" s="1573"/>
      <c r="W18" s="1574"/>
      <c r="X18" s="3339"/>
      <c r="Y18" s="3612"/>
      <c r="Z18" s="3338"/>
      <c r="AA18" s="3340">
        <v>1</v>
      </c>
      <c r="AB18" s="3340">
        <v>1</v>
      </c>
      <c r="AC18" s="3340">
        <v>1</v>
      </c>
    </row>
    <row r="19" spans="1:29" ht="15">
      <c r="A19" s="532"/>
      <c r="B19" s="2625" t="s">
        <v>2546</v>
      </c>
      <c r="C19" s="872">
        <f>估价对象房地状况!C7</f>
        <v>0</v>
      </c>
      <c r="D19" s="565">
        <v>100</v>
      </c>
      <c r="E19" s="570"/>
      <c r="F19" s="571">
        <f>SUMIF(80:80,E20,81:81)-SUMIF(80:80,C20,81:81)+100</f>
        <v>97</v>
      </c>
      <c r="G19" s="572"/>
      <c r="H19" s="559">
        <f>SUMIF(80:80,G20,81:81)-SUMIF(80:80,C20,81:81)+100</f>
        <v>103</v>
      </c>
      <c r="I19" s="570"/>
      <c r="J19" s="559">
        <f>SUMIF(80:80,I20,81:81)-SUMIF(80:80,C20,81:81)+100</f>
        <v>97</v>
      </c>
      <c r="K19" s="868">
        <v>3</v>
      </c>
      <c r="L19" s="2143"/>
      <c r="M19" s="2135"/>
      <c r="N19" s="2135"/>
      <c r="O19" s="2142"/>
      <c r="P19" s="3612"/>
      <c r="Q19" s="3337" t="str">
        <f>B19</f>
        <v>公共配套设施</v>
      </c>
      <c r="R19" s="1573" t="s">
        <v>11</v>
      </c>
      <c r="S19" s="1574">
        <f>F19</f>
        <v>97</v>
      </c>
      <c r="T19" s="1573" t="s">
        <v>11</v>
      </c>
      <c r="U19" s="1574">
        <f>H19</f>
        <v>103</v>
      </c>
      <c r="V19" s="1573" t="s">
        <v>11</v>
      </c>
      <c r="W19" s="1574">
        <f>J19</f>
        <v>97</v>
      </c>
      <c r="X19" s="3339"/>
      <c r="Y19" s="3612"/>
      <c r="Z19" s="3338" t="str">
        <f>Q19</f>
        <v>公共配套设施</v>
      </c>
      <c r="AA19" s="3340">
        <f t="shared" si="3"/>
        <v>1.0309278350515463</v>
      </c>
      <c r="AB19" s="3340">
        <f t="shared" si="4"/>
        <v>0.970873786407767</v>
      </c>
      <c r="AC19" s="3340">
        <f t="shared" si="5"/>
        <v>1.0309278350515463</v>
      </c>
    </row>
    <row r="20" spans="1:29" ht="15">
      <c r="A20" s="532"/>
      <c r="B20" s="595"/>
      <c r="C20" s="576" t="s">
        <v>3017</v>
      </c>
      <c r="D20" s="555"/>
      <c r="E20" s="576" t="s">
        <v>3018</v>
      </c>
      <c r="F20" s="557"/>
      <c r="G20" s="576" t="s">
        <v>3019</v>
      </c>
      <c r="H20" s="555"/>
      <c r="I20" s="576" t="s">
        <v>3018</v>
      </c>
      <c r="J20" s="555"/>
      <c r="K20" s="870"/>
      <c r="L20" s="2143"/>
      <c r="M20" s="2135"/>
      <c r="N20" s="2135"/>
      <c r="O20" s="2142"/>
      <c r="P20" s="3612"/>
      <c r="Q20" s="3337"/>
      <c r="R20" s="1573"/>
      <c r="S20" s="1574"/>
      <c r="T20" s="1573"/>
      <c r="U20" s="1574"/>
      <c r="V20" s="1573"/>
      <c r="W20" s="1574"/>
      <c r="X20" s="3339"/>
      <c r="Y20" s="3612"/>
      <c r="Z20" s="3338"/>
      <c r="AA20" s="3340">
        <v>1</v>
      </c>
      <c r="AB20" s="3340">
        <v>1</v>
      </c>
      <c r="AC20" s="3340">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612"/>
      <c r="Q21" s="3337" t="str">
        <f>B21</f>
        <v>基础设施水平</v>
      </c>
      <c r="R21" s="1573" t="s">
        <v>11</v>
      </c>
      <c r="S21" s="1574">
        <f>F21</f>
        <v>100</v>
      </c>
      <c r="T21" s="1573" t="s">
        <v>11</v>
      </c>
      <c r="U21" s="1574">
        <f>H21</f>
        <v>100</v>
      </c>
      <c r="V21" s="1573" t="s">
        <v>11</v>
      </c>
      <c r="W21" s="1574">
        <f>J21</f>
        <v>100</v>
      </c>
      <c r="X21" s="3339"/>
      <c r="Y21" s="3612"/>
      <c r="Z21" s="3338" t="str">
        <f>Q21</f>
        <v>基础设施水平</v>
      </c>
      <c r="AA21" s="3340">
        <f t="shared" ref="AA21" si="8">D21/F21</f>
        <v>1</v>
      </c>
      <c r="AB21" s="3340">
        <f t="shared" ref="AB21" si="9">D21/H21</f>
        <v>1</v>
      </c>
      <c r="AC21" s="3340">
        <f t="shared" ref="AC21" si="10">D21/J21</f>
        <v>1</v>
      </c>
    </row>
    <row r="22" spans="1:29" ht="15">
      <c r="A22" s="532"/>
      <c r="B22" s="922"/>
      <c r="C22" s="873" t="s">
        <v>3020</v>
      </c>
      <c r="D22" s="555"/>
      <c r="E22" s="873" t="s">
        <v>3020</v>
      </c>
      <c r="F22" s="557"/>
      <c r="G22" s="873" t="s">
        <v>3020</v>
      </c>
      <c r="H22" s="555"/>
      <c r="I22" s="873" t="s">
        <v>3020</v>
      </c>
      <c r="J22" s="555"/>
      <c r="K22" s="2624"/>
      <c r="L22" s="2143"/>
      <c r="M22" s="2135"/>
      <c r="N22" s="2135"/>
      <c r="O22" s="2142"/>
      <c r="P22" s="3612"/>
      <c r="Q22" s="3337"/>
      <c r="R22" s="1573"/>
      <c r="S22" s="1574"/>
      <c r="T22" s="1573"/>
      <c r="U22" s="1574"/>
      <c r="V22" s="1573"/>
      <c r="W22" s="1574"/>
      <c r="X22" s="3339"/>
      <c r="Y22" s="3612"/>
      <c r="Z22" s="3338"/>
      <c r="AA22" s="3340">
        <v>1</v>
      </c>
      <c r="AB22" s="3340">
        <v>1</v>
      </c>
      <c r="AC22" s="3340">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612"/>
      <c r="Q23" s="3337" t="str">
        <f>B23</f>
        <v>自然及人文环境</v>
      </c>
      <c r="R23" s="1573" t="s">
        <v>11</v>
      </c>
      <c r="S23" s="1574">
        <f>F23</f>
        <v>100</v>
      </c>
      <c r="T23" s="1573" t="s">
        <v>11</v>
      </c>
      <c r="U23" s="1574">
        <f>H23</f>
        <v>100</v>
      </c>
      <c r="V23" s="1573" t="s">
        <v>11</v>
      </c>
      <c r="W23" s="1574">
        <f>J23</f>
        <v>100</v>
      </c>
      <c r="X23" s="3339"/>
      <c r="Y23" s="3612"/>
      <c r="Z23" s="3338" t="str">
        <f>Q23</f>
        <v>自然及人文环境</v>
      </c>
      <c r="AA23" s="3340">
        <f t="shared" si="3"/>
        <v>1</v>
      </c>
      <c r="AB23" s="3340">
        <f t="shared" si="4"/>
        <v>1</v>
      </c>
      <c r="AC23" s="3340">
        <f t="shared" si="5"/>
        <v>1</v>
      </c>
    </row>
    <row r="24" spans="1:29" ht="15">
      <c r="A24" s="532"/>
      <c r="B24" s="595"/>
      <c r="C24" s="3341" t="s">
        <v>3019</v>
      </c>
      <c r="D24" s="555"/>
      <c r="E24" s="576" t="s">
        <v>3019</v>
      </c>
      <c r="F24" s="557"/>
      <c r="G24" s="576" t="s">
        <v>3019</v>
      </c>
      <c r="H24" s="555"/>
      <c r="I24" s="576" t="s">
        <v>3019</v>
      </c>
      <c r="J24" s="555"/>
      <c r="K24" s="870"/>
      <c r="L24" s="2143"/>
      <c r="M24" s="2135"/>
      <c r="N24" s="2135"/>
      <c r="O24" s="2142"/>
      <c r="P24" s="3612"/>
      <c r="Q24" s="3337"/>
      <c r="R24" s="1573"/>
      <c r="S24" s="1574"/>
      <c r="T24" s="1573"/>
      <c r="U24" s="1574"/>
      <c r="V24" s="1573"/>
      <c r="W24" s="1574"/>
      <c r="X24" s="3339"/>
      <c r="Y24" s="3612"/>
      <c r="Z24" s="3338"/>
      <c r="AA24" s="3340">
        <v>1</v>
      </c>
      <c r="AB24" s="3340">
        <v>1</v>
      </c>
      <c r="AC24" s="3340">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12"/>
      <c r="Q25" s="3337" t="str">
        <f t="shared" ref="Q25:Q46" si="11">B25</f>
        <v>楼层-1</v>
      </c>
      <c r="R25" s="1573" t="s">
        <v>11</v>
      </c>
      <c r="S25" s="1574">
        <f>F25</f>
        <v>100</v>
      </c>
      <c r="T25" s="1573" t="s">
        <v>11</v>
      </c>
      <c r="U25" s="1574">
        <f>H25</f>
        <v>100</v>
      </c>
      <c r="V25" s="1573" t="s">
        <v>11</v>
      </c>
      <c r="W25" s="1574">
        <f>J25</f>
        <v>100</v>
      </c>
      <c r="X25" s="3339"/>
      <c r="Y25" s="3612"/>
      <c r="Z25" s="3338" t="str">
        <f>Q25</f>
        <v>楼层-1</v>
      </c>
      <c r="AA25" s="3340">
        <f t="shared" si="3"/>
        <v>1</v>
      </c>
      <c r="AB25" s="3340">
        <f t="shared" si="4"/>
        <v>1</v>
      </c>
      <c r="AC25" s="334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12"/>
      <c r="Q26" s="3337" t="str">
        <f t="shared" si="11"/>
        <v>朝向</v>
      </c>
      <c r="R26" s="1573" t="s">
        <v>11</v>
      </c>
      <c r="S26" s="1574">
        <f>F26</f>
        <v>100</v>
      </c>
      <c r="T26" s="1573" t="s">
        <v>11</v>
      </c>
      <c r="U26" s="1574">
        <f>H26</f>
        <v>100</v>
      </c>
      <c r="V26" s="1573" t="s">
        <v>11</v>
      </c>
      <c r="W26" s="1574">
        <f>J26</f>
        <v>100</v>
      </c>
      <c r="X26" s="3339"/>
      <c r="Y26" s="3612"/>
      <c r="Z26" s="3338" t="str">
        <f>Q26</f>
        <v>朝向</v>
      </c>
      <c r="AA26" s="3340">
        <f t="shared" si="3"/>
        <v>1</v>
      </c>
      <c r="AB26" s="3340">
        <f t="shared" si="4"/>
        <v>1</v>
      </c>
      <c r="AC26" s="3340">
        <f t="shared" si="5"/>
        <v>1</v>
      </c>
    </row>
    <row r="27" spans="1:29" s="1220" customFormat="1" ht="15.75" thickBot="1">
      <c r="A27" s="536"/>
      <c r="B27" s="3200" t="s">
        <v>3048</v>
      </c>
      <c r="C27" s="3201" t="s">
        <v>3049</v>
      </c>
      <c r="D27" s="875">
        <v>100</v>
      </c>
      <c r="E27" s="3202" t="s">
        <v>3045</v>
      </c>
      <c r="F27" s="876">
        <f>SUMIF(90:90,E27,91:91)-SUMIF(90:90,C27,91:91)+100</f>
        <v>99</v>
      </c>
      <c r="G27" s="3201" t="s">
        <v>3049</v>
      </c>
      <c r="H27" s="875">
        <f>SUMIF(90:90,G27,91:91)-SUMIF(90:90,C27,91:91)+100</f>
        <v>100</v>
      </c>
      <c r="I27" s="3201" t="s">
        <v>3055</v>
      </c>
      <c r="J27" s="875">
        <f>SUMIF(90:90,I27,91:91)-SUMIF(90:90,C27,91:91)+100</f>
        <v>101</v>
      </c>
      <c r="K27" s="865"/>
      <c r="L27" s="2136"/>
      <c r="M27" s="2137"/>
      <c r="N27" s="2137"/>
      <c r="O27" s="2138"/>
      <c r="P27" s="3612"/>
      <c r="Q27" s="3336" t="str">
        <f t="shared" si="11"/>
        <v>楼层</v>
      </c>
      <c r="R27" s="1568" t="s">
        <v>11</v>
      </c>
      <c r="S27" s="1569">
        <f>F27</f>
        <v>99</v>
      </c>
      <c r="T27" s="1568" t="s">
        <v>11</v>
      </c>
      <c r="U27" s="1569">
        <f>H27</f>
        <v>100</v>
      </c>
      <c r="V27" s="1568" t="s">
        <v>11</v>
      </c>
      <c r="W27" s="1569">
        <f>J27</f>
        <v>101</v>
      </c>
      <c r="X27" s="1570"/>
      <c r="Y27" s="3612"/>
      <c r="Z27" s="3335" t="str">
        <f>Q27</f>
        <v>楼层</v>
      </c>
      <c r="AA27" s="3340">
        <f>D27/F27</f>
        <v>1.0101010101010102</v>
      </c>
      <c r="AB27" s="3340">
        <f>D27/H27</f>
        <v>1</v>
      </c>
      <c r="AC27" s="3340">
        <f>D27/J27</f>
        <v>0.99009900990099009</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12"/>
      <c r="Q28" s="3337">
        <f t="shared" si="11"/>
        <v>0</v>
      </c>
      <c r="R28" s="1573" t="s">
        <v>11</v>
      </c>
      <c r="S28" s="1574">
        <f t="shared" ref="S28:S46" si="12">F28</f>
        <v>100</v>
      </c>
      <c r="T28" s="1573" t="s">
        <v>11</v>
      </c>
      <c r="U28" s="1574">
        <f t="shared" ref="U28:U46" si="13">H28</f>
        <v>100</v>
      </c>
      <c r="V28" s="1573" t="s">
        <v>11</v>
      </c>
      <c r="W28" s="1574">
        <f t="shared" ref="W28:W46" si="14">J28</f>
        <v>100</v>
      </c>
      <c r="X28" s="3339"/>
      <c r="Y28" s="3612"/>
      <c r="Z28" s="3338">
        <f t="shared" ref="Z28:Z46" si="15">Q28</f>
        <v>0</v>
      </c>
      <c r="AA28" s="3340">
        <f t="shared" si="3"/>
        <v>1</v>
      </c>
      <c r="AB28" s="3340">
        <f t="shared" si="4"/>
        <v>1</v>
      </c>
      <c r="AC28" s="3340">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12"/>
      <c r="Q29" s="3337">
        <f t="shared" si="11"/>
        <v>0</v>
      </c>
      <c r="R29" s="1573" t="s">
        <v>11</v>
      </c>
      <c r="S29" s="1574">
        <f t="shared" si="12"/>
        <v>100</v>
      </c>
      <c r="T29" s="1573" t="s">
        <v>11</v>
      </c>
      <c r="U29" s="1574">
        <f t="shared" si="13"/>
        <v>100</v>
      </c>
      <c r="V29" s="1573" t="s">
        <v>11</v>
      </c>
      <c r="W29" s="1574">
        <f t="shared" si="14"/>
        <v>100</v>
      </c>
      <c r="X29" s="3339"/>
      <c r="Y29" s="3612"/>
      <c r="Z29" s="3338">
        <f t="shared" si="15"/>
        <v>0</v>
      </c>
      <c r="AA29" s="3340">
        <f t="shared" si="3"/>
        <v>1</v>
      </c>
      <c r="AB29" s="3340">
        <f t="shared" si="4"/>
        <v>1</v>
      </c>
      <c r="AC29" s="3340">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12"/>
      <c r="Q30" s="3337">
        <f t="shared" si="11"/>
        <v>0</v>
      </c>
      <c r="R30" s="1573" t="s">
        <v>11</v>
      </c>
      <c r="S30" s="1574">
        <f t="shared" si="12"/>
        <v>100</v>
      </c>
      <c r="T30" s="1573" t="s">
        <v>11</v>
      </c>
      <c r="U30" s="1574">
        <f t="shared" si="13"/>
        <v>100</v>
      </c>
      <c r="V30" s="1573" t="s">
        <v>11</v>
      </c>
      <c r="W30" s="1574">
        <f t="shared" si="14"/>
        <v>100</v>
      </c>
      <c r="X30" s="3339"/>
      <c r="Y30" s="3612"/>
      <c r="Z30" s="3338">
        <f t="shared" si="15"/>
        <v>0</v>
      </c>
      <c r="AA30" s="3340">
        <f t="shared" si="3"/>
        <v>1</v>
      </c>
      <c r="AB30" s="3340">
        <f t="shared" si="4"/>
        <v>1</v>
      </c>
      <c r="AC30" s="3340">
        <f t="shared" si="5"/>
        <v>1</v>
      </c>
    </row>
    <row r="31" spans="1:29" ht="15" hidden="1" customHeight="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12"/>
      <c r="Q31" s="3337">
        <f t="shared" si="11"/>
        <v>0</v>
      </c>
      <c r="R31" s="1573" t="s">
        <v>11</v>
      </c>
      <c r="S31" s="1574">
        <f t="shared" si="12"/>
        <v>100</v>
      </c>
      <c r="T31" s="1573" t="s">
        <v>11</v>
      </c>
      <c r="U31" s="1574">
        <f t="shared" si="13"/>
        <v>100</v>
      </c>
      <c r="V31" s="1573" t="s">
        <v>11</v>
      </c>
      <c r="W31" s="1574">
        <f t="shared" si="14"/>
        <v>100</v>
      </c>
      <c r="X31" s="3339"/>
      <c r="Y31" s="3612"/>
      <c r="Z31" s="3338">
        <f t="shared" si="15"/>
        <v>0</v>
      </c>
      <c r="AA31" s="3340">
        <f t="shared" si="3"/>
        <v>1</v>
      </c>
      <c r="AB31" s="3340">
        <f t="shared" si="4"/>
        <v>1</v>
      </c>
      <c r="AC31" s="3340">
        <f t="shared" si="5"/>
        <v>1</v>
      </c>
    </row>
    <row r="32" spans="1:29" ht="15">
      <c r="A32" s="2932" t="s">
        <v>2754</v>
      </c>
      <c r="B32" s="172" t="s">
        <v>724</v>
      </c>
      <c r="C32" s="878" t="s">
        <v>2981</v>
      </c>
      <c r="D32" s="597">
        <v>100</v>
      </c>
      <c r="E32" s="879" t="s">
        <v>2977</v>
      </c>
      <c r="F32" s="575">
        <f>SUMIF(100:100,E32,101:101)-SUMIF(100:100,C32,101:101)+100</f>
        <v>90</v>
      </c>
      <c r="G32" s="878" t="s">
        <v>2981</v>
      </c>
      <c r="H32" s="597">
        <f>SUMIF(100:100,G32,101:101)-SUMIF(100:100,C32,101:101)+100</f>
        <v>100</v>
      </c>
      <c r="I32" s="879" t="s">
        <v>2977</v>
      </c>
      <c r="J32" s="540">
        <f>SUMIF(100:100,I32,101:101)-SUMIF(100:100,C32,101:101)+100</f>
        <v>90</v>
      </c>
      <c r="K32" s="864">
        <v>5</v>
      </c>
      <c r="L32" s="2143"/>
      <c r="M32" s="2135"/>
      <c r="N32" s="2135"/>
      <c r="O32" s="2142"/>
      <c r="P32" s="3613" t="s">
        <v>550</v>
      </c>
      <c r="Q32" s="3337" t="str">
        <f t="shared" si="11"/>
        <v>建筑类型</v>
      </c>
      <c r="R32" s="1573" t="s">
        <v>11</v>
      </c>
      <c r="S32" s="1574">
        <f t="shared" si="12"/>
        <v>90</v>
      </c>
      <c r="T32" s="1573" t="s">
        <v>11</v>
      </c>
      <c r="U32" s="1574">
        <f t="shared" si="13"/>
        <v>100</v>
      </c>
      <c r="V32" s="1573" t="s">
        <v>11</v>
      </c>
      <c r="W32" s="1574">
        <f t="shared" si="14"/>
        <v>90</v>
      </c>
      <c r="X32" s="3339"/>
      <c r="Y32" s="3614" t="s">
        <v>550</v>
      </c>
      <c r="Z32" s="3338" t="str">
        <f t="shared" si="15"/>
        <v>建筑类型</v>
      </c>
      <c r="AA32" s="3340">
        <f t="shared" si="3"/>
        <v>1.1111111111111112</v>
      </c>
      <c r="AB32" s="3340">
        <f t="shared" si="4"/>
        <v>1</v>
      </c>
      <c r="AC32" s="3340">
        <f t="shared" si="5"/>
        <v>1.1111111111111112</v>
      </c>
    </row>
    <row r="33" spans="1:29" s="1339" customFormat="1" ht="15">
      <c r="A33" s="603"/>
      <c r="B33" s="527" t="s">
        <v>725</v>
      </c>
      <c r="C33" s="533">
        <f>'数据-汇总表'!E3</f>
        <v>156303.04999999999</v>
      </c>
      <c r="D33" s="255">
        <v>100</v>
      </c>
      <c r="E33" s="534">
        <v>180000</v>
      </c>
      <c r="F33" s="863">
        <f>LOOKUP(E33,103:103,104:104)-LOOKUP(C33,103:103,104:104)+100</f>
        <v>100</v>
      </c>
      <c r="G33" s="533">
        <v>480000</v>
      </c>
      <c r="H33" s="255">
        <f>LOOKUP(G33,103:103,104:104)-LOOKUP(C33,103:103,104:104)+100</f>
        <v>100</v>
      </c>
      <c r="I33" s="534">
        <v>240248</v>
      </c>
      <c r="J33" s="255">
        <f>LOOKUP(I33,103:103,104:104)-LOOKUP(C33,103:103,104:104)+100</f>
        <v>100</v>
      </c>
      <c r="K33" s="865"/>
      <c r="L33" s="2141"/>
      <c r="M33" s="2172"/>
      <c r="N33" s="2172"/>
      <c r="O33" s="2144"/>
      <c r="P33" s="3614"/>
      <c r="Q33" s="1605" t="str">
        <f t="shared" si="11"/>
        <v>项目建筑规模</v>
      </c>
      <c r="R33" s="1577" t="s">
        <v>11</v>
      </c>
      <c r="S33" s="1578">
        <f t="shared" si="12"/>
        <v>100</v>
      </c>
      <c r="T33" s="1577" t="s">
        <v>11</v>
      </c>
      <c r="U33" s="1578">
        <f t="shared" si="13"/>
        <v>100</v>
      </c>
      <c r="V33" s="1577" t="s">
        <v>11</v>
      </c>
      <c r="W33" s="1578">
        <f t="shared" si="14"/>
        <v>100</v>
      </c>
      <c r="X33" s="1579"/>
      <c r="Y33" s="3614"/>
      <c r="Z33" s="1580" t="str">
        <f t="shared" si="15"/>
        <v>项目建筑规模</v>
      </c>
      <c r="AA33" s="3340">
        <f t="shared" si="3"/>
        <v>1</v>
      </c>
      <c r="AB33" s="3340">
        <f t="shared" si="4"/>
        <v>1</v>
      </c>
      <c r="AC33" s="3340">
        <f t="shared" si="5"/>
        <v>1</v>
      </c>
    </row>
    <row r="34" spans="1:29" ht="15">
      <c r="A34" s="594"/>
      <c r="B34" s="527" t="s">
        <v>726</v>
      </c>
      <c r="C34" s="881" t="s">
        <v>3025</v>
      </c>
      <c r="D34" s="540">
        <v>100</v>
      </c>
      <c r="E34" s="882" t="s">
        <v>3025</v>
      </c>
      <c r="F34" s="575">
        <f>SUMIF(105:105,E34,106:106)-SUMIF(105:105,C34,106:106)+100</f>
        <v>100</v>
      </c>
      <c r="G34" s="881" t="s">
        <v>3025</v>
      </c>
      <c r="H34" s="540">
        <f>SUMIF(105:105,G34,106:106)-SUMIF(105:105,C34,106:106)+100</f>
        <v>100</v>
      </c>
      <c r="I34" s="882" t="s">
        <v>3025</v>
      </c>
      <c r="J34" s="540">
        <f>SUMIF(105:105,I34,106:106)-SUMIF(105:105,C34,106:106)+100</f>
        <v>100</v>
      </c>
      <c r="K34" s="864">
        <v>2</v>
      </c>
      <c r="L34" s="2143"/>
      <c r="M34" s="2135"/>
      <c r="N34" s="2135"/>
      <c r="O34" s="2142"/>
      <c r="P34" s="3614"/>
      <c r="Q34" s="3337" t="str">
        <f t="shared" si="11"/>
        <v>建筑结构</v>
      </c>
      <c r="R34" s="1573" t="s">
        <v>11</v>
      </c>
      <c r="S34" s="1574">
        <f t="shared" si="12"/>
        <v>100</v>
      </c>
      <c r="T34" s="1573" t="s">
        <v>11</v>
      </c>
      <c r="U34" s="1574">
        <f t="shared" si="13"/>
        <v>100</v>
      </c>
      <c r="V34" s="1573" t="s">
        <v>11</v>
      </c>
      <c r="W34" s="1574">
        <f t="shared" si="14"/>
        <v>100</v>
      </c>
      <c r="X34" s="3339"/>
      <c r="Y34" s="3614"/>
      <c r="Z34" s="3338" t="str">
        <f t="shared" si="15"/>
        <v>建筑结构</v>
      </c>
      <c r="AA34" s="3340">
        <f t="shared" si="3"/>
        <v>1</v>
      </c>
      <c r="AB34" s="3340">
        <f t="shared" si="4"/>
        <v>1</v>
      </c>
      <c r="AC34" s="3340">
        <f t="shared" si="5"/>
        <v>1</v>
      </c>
    </row>
    <row r="35" spans="1:29" ht="15">
      <c r="A35" s="594"/>
      <c r="B35" s="527" t="s">
        <v>727</v>
      </c>
      <c r="C35" s="599" t="s">
        <v>3034</v>
      </c>
      <c r="D35" s="540">
        <v>100</v>
      </c>
      <c r="E35" s="874" t="s">
        <v>3034</v>
      </c>
      <c r="F35" s="575">
        <f>SUMIF(107:107,E35,108:108)-SUMIF(107:107,C35,108:108)+100</f>
        <v>100</v>
      </c>
      <c r="G35" s="599" t="s">
        <v>3034</v>
      </c>
      <c r="H35" s="540">
        <f>SUMIF(107:107,G35,108:108)-SUMIF(107:107,C35,108:108)+100</f>
        <v>100</v>
      </c>
      <c r="I35" s="874" t="s">
        <v>3034</v>
      </c>
      <c r="J35" s="540">
        <f>SUMIF(107:107,I35,108:108)-SUMIF(107:107,C35,108:108)+100</f>
        <v>100</v>
      </c>
      <c r="K35" s="864">
        <v>2</v>
      </c>
      <c r="L35" s="2143"/>
      <c r="M35" s="2135"/>
      <c r="N35" s="2135"/>
      <c r="O35" s="2142"/>
      <c r="P35" s="3614"/>
      <c r="Q35" s="3337" t="str">
        <f t="shared" si="11"/>
        <v>建筑品质</v>
      </c>
      <c r="R35" s="1573" t="s">
        <v>11</v>
      </c>
      <c r="S35" s="1574">
        <f t="shared" si="12"/>
        <v>100</v>
      </c>
      <c r="T35" s="1573" t="s">
        <v>11</v>
      </c>
      <c r="U35" s="1574">
        <f t="shared" si="13"/>
        <v>100</v>
      </c>
      <c r="V35" s="1573" t="s">
        <v>11</v>
      </c>
      <c r="W35" s="1574">
        <f t="shared" si="14"/>
        <v>100</v>
      </c>
      <c r="X35" s="3339"/>
      <c r="Y35" s="3614"/>
      <c r="Z35" s="3338" t="str">
        <f t="shared" si="15"/>
        <v>建筑品质</v>
      </c>
      <c r="AA35" s="3340">
        <f t="shared" si="3"/>
        <v>1</v>
      </c>
      <c r="AB35" s="3340">
        <f t="shared" si="4"/>
        <v>1</v>
      </c>
      <c r="AC35" s="3340">
        <f t="shared" si="5"/>
        <v>1</v>
      </c>
    </row>
    <row r="36" spans="1:29" ht="15">
      <c r="A36" s="594"/>
      <c r="B36" s="527" t="s">
        <v>728</v>
      </c>
      <c r="C36" s="599" t="s">
        <v>3036</v>
      </c>
      <c r="D36" s="540">
        <v>100</v>
      </c>
      <c r="E36" s="874" t="s">
        <v>3036</v>
      </c>
      <c r="F36" s="575">
        <f>SUMIF(109:109,E36,110:110)-SUMIF(109:109,C36,110:110)+100</f>
        <v>100</v>
      </c>
      <c r="G36" s="599" t="s">
        <v>3036</v>
      </c>
      <c r="H36" s="540">
        <f>SUMIF(109:109,G36,110:110)-SUMIF(109:109,C36,110:110)+100</f>
        <v>100</v>
      </c>
      <c r="I36" s="874" t="s">
        <v>3036</v>
      </c>
      <c r="J36" s="540">
        <f>SUMIF(109:109,I36,110:110)-SUMIF(109:109,C36,110:110)+100</f>
        <v>100</v>
      </c>
      <c r="K36" s="864">
        <v>2</v>
      </c>
      <c r="L36" s="2143"/>
      <c r="M36" s="2135"/>
      <c r="N36" s="2135"/>
      <c r="O36" s="2142"/>
      <c r="P36" s="3614"/>
      <c r="Q36" s="3337" t="str">
        <f t="shared" si="11"/>
        <v>公共部分装修</v>
      </c>
      <c r="R36" s="1573" t="s">
        <v>11</v>
      </c>
      <c r="S36" s="1574">
        <f t="shared" si="12"/>
        <v>100</v>
      </c>
      <c r="T36" s="1573" t="s">
        <v>11</v>
      </c>
      <c r="U36" s="1574">
        <f t="shared" si="13"/>
        <v>100</v>
      </c>
      <c r="V36" s="1573" t="s">
        <v>11</v>
      </c>
      <c r="W36" s="1574">
        <f t="shared" si="14"/>
        <v>100</v>
      </c>
      <c r="X36" s="3339"/>
      <c r="Y36" s="3614"/>
      <c r="Z36" s="3338" t="str">
        <f t="shared" si="15"/>
        <v>公共部分装修</v>
      </c>
      <c r="AA36" s="3340">
        <f t="shared" si="3"/>
        <v>1</v>
      </c>
      <c r="AB36" s="3340">
        <f t="shared" si="4"/>
        <v>1</v>
      </c>
      <c r="AC36" s="3340">
        <f t="shared" si="5"/>
        <v>1</v>
      </c>
    </row>
    <row r="37" spans="1:29" s="1220" customFormat="1" ht="15">
      <c r="A37" s="600"/>
      <c r="B37" s="527" t="s">
        <v>729</v>
      </c>
      <c r="C37" s="885">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614"/>
      <c r="Q37" s="3336" t="str">
        <f t="shared" si="11"/>
        <v>成新度</v>
      </c>
      <c r="R37" s="1568" t="s">
        <v>11</v>
      </c>
      <c r="S37" s="1569">
        <f t="shared" si="12"/>
        <v>100</v>
      </c>
      <c r="T37" s="1568" t="s">
        <v>11</v>
      </c>
      <c r="U37" s="1569">
        <f t="shared" si="13"/>
        <v>100</v>
      </c>
      <c r="V37" s="1568" t="s">
        <v>11</v>
      </c>
      <c r="W37" s="1569">
        <f t="shared" si="14"/>
        <v>100</v>
      </c>
      <c r="X37" s="1570"/>
      <c r="Y37" s="3614"/>
      <c r="Z37" s="3335" t="str">
        <f t="shared" si="15"/>
        <v>成新度</v>
      </c>
      <c r="AA37" s="1571">
        <f t="shared" si="3"/>
        <v>1</v>
      </c>
      <c r="AB37" s="1571">
        <f t="shared" si="4"/>
        <v>1</v>
      </c>
      <c r="AC37" s="1571">
        <f t="shared" si="5"/>
        <v>1</v>
      </c>
    </row>
    <row r="38" spans="1:29" ht="15">
      <c r="A38" s="594"/>
      <c r="B38" s="527" t="s">
        <v>730</v>
      </c>
      <c r="C38" s="599" t="s">
        <v>3038</v>
      </c>
      <c r="D38" s="540">
        <v>100</v>
      </c>
      <c r="E38" s="874" t="s">
        <v>3038</v>
      </c>
      <c r="F38" s="575">
        <f>SUMIF(114:114,E38,115:115)-SUMIF(114:114,C38,115:115)+100</f>
        <v>100</v>
      </c>
      <c r="G38" s="599" t="s">
        <v>3038</v>
      </c>
      <c r="H38" s="540">
        <f>SUMIF(114:114,G38,115:115)-SUMIF(114:114,C38,115:115)+100</f>
        <v>100</v>
      </c>
      <c r="I38" s="874" t="s">
        <v>3038</v>
      </c>
      <c r="J38" s="540">
        <f>SUMIF(114:114,I38,115:115)-SUMIF(114:114,C38,115:115)+100</f>
        <v>100</v>
      </c>
      <c r="K38" s="864">
        <v>2</v>
      </c>
      <c r="L38" s="2143"/>
      <c r="M38" s="2135"/>
      <c r="N38" s="2135"/>
      <c r="O38" s="2142"/>
      <c r="P38" s="3614" t="s">
        <v>550</v>
      </c>
      <c r="Q38" s="3337" t="str">
        <f t="shared" si="11"/>
        <v>物业管理</v>
      </c>
      <c r="R38" s="1573" t="s">
        <v>11</v>
      </c>
      <c r="S38" s="1574">
        <f t="shared" si="12"/>
        <v>100</v>
      </c>
      <c r="T38" s="1573" t="s">
        <v>11</v>
      </c>
      <c r="U38" s="1574">
        <f t="shared" si="13"/>
        <v>100</v>
      </c>
      <c r="V38" s="1573" t="s">
        <v>11</v>
      </c>
      <c r="W38" s="1574">
        <f t="shared" si="14"/>
        <v>100</v>
      </c>
      <c r="X38" s="3339"/>
      <c r="Y38" s="3614" t="s">
        <v>550</v>
      </c>
      <c r="Z38" s="3338" t="str">
        <f t="shared" si="15"/>
        <v>物业管理</v>
      </c>
      <c r="AA38" s="3340">
        <f t="shared" si="3"/>
        <v>1</v>
      </c>
      <c r="AB38" s="3340">
        <f t="shared" si="4"/>
        <v>1</v>
      </c>
      <c r="AC38" s="3340">
        <f t="shared" si="5"/>
        <v>1</v>
      </c>
    </row>
    <row r="39" spans="1:29" ht="15">
      <c r="A39" s="594"/>
      <c r="B39" s="1896" t="s">
        <v>2564</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2</v>
      </c>
      <c r="L39" s="2143"/>
      <c r="M39" s="2135"/>
      <c r="N39" s="2135"/>
      <c r="O39" s="2142"/>
      <c r="P39" s="3614"/>
      <c r="Q39" s="3337" t="str">
        <f t="shared" si="11"/>
        <v>市政基础设施</v>
      </c>
      <c r="R39" s="1573" t="s">
        <v>11</v>
      </c>
      <c r="S39" s="1574">
        <f t="shared" si="12"/>
        <v>100</v>
      </c>
      <c r="T39" s="1573" t="s">
        <v>11</v>
      </c>
      <c r="U39" s="1574">
        <f t="shared" si="13"/>
        <v>100</v>
      </c>
      <c r="V39" s="1573" t="s">
        <v>11</v>
      </c>
      <c r="W39" s="1574">
        <f t="shared" si="14"/>
        <v>100</v>
      </c>
      <c r="X39" s="3339"/>
      <c r="Y39" s="3614"/>
      <c r="Z39" s="3338" t="str">
        <f t="shared" si="15"/>
        <v>市政基础设施</v>
      </c>
      <c r="AA39" s="3340">
        <f t="shared" si="3"/>
        <v>1</v>
      </c>
      <c r="AB39" s="3340">
        <f t="shared" si="4"/>
        <v>1</v>
      </c>
      <c r="AC39" s="3340">
        <f t="shared" si="5"/>
        <v>1</v>
      </c>
    </row>
    <row r="40" spans="1:29" ht="15">
      <c r="A40" s="594"/>
      <c r="B40" s="527" t="s">
        <v>731</v>
      </c>
      <c r="C40" s="599" t="s">
        <v>3041</v>
      </c>
      <c r="D40" s="540">
        <v>100</v>
      </c>
      <c r="E40" s="874" t="s">
        <v>3041</v>
      </c>
      <c r="F40" s="575">
        <f>SUMIF(118:118,E40,119:119)-SUMIF(118:118,C40,119:119)+100</f>
        <v>100</v>
      </c>
      <c r="G40" s="599" t="s">
        <v>3041</v>
      </c>
      <c r="H40" s="540">
        <f>SUMIF(118:118,G40,119:119)-SUMIF(118:118,C40,119:119)+100</f>
        <v>100</v>
      </c>
      <c r="I40" s="874" t="s">
        <v>3041</v>
      </c>
      <c r="J40" s="540">
        <f>SUMIF(118:118,I40,119:119)-SUMIF(118:118,C40,119:119)+100</f>
        <v>100</v>
      </c>
      <c r="K40" s="864">
        <v>3</v>
      </c>
      <c r="L40" s="2143"/>
      <c r="M40" s="2135"/>
      <c r="N40" s="2135"/>
      <c r="O40" s="2142"/>
      <c r="P40" s="3614"/>
      <c r="Q40" s="3337" t="str">
        <f t="shared" si="11"/>
        <v>房型</v>
      </c>
      <c r="R40" s="1573" t="s">
        <v>11</v>
      </c>
      <c r="S40" s="1574">
        <f t="shared" si="12"/>
        <v>100</v>
      </c>
      <c r="T40" s="1573" t="s">
        <v>11</v>
      </c>
      <c r="U40" s="1574">
        <f t="shared" si="13"/>
        <v>100</v>
      </c>
      <c r="V40" s="1573" t="s">
        <v>11</v>
      </c>
      <c r="W40" s="1574">
        <f t="shared" si="14"/>
        <v>100</v>
      </c>
      <c r="X40" s="3339"/>
      <c r="Y40" s="3614"/>
      <c r="Z40" s="3338" t="str">
        <f t="shared" si="15"/>
        <v>房型</v>
      </c>
      <c r="AA40" s="3340">
        <f t="shared" si="3"/>
        <v>1</v>
      </c>
      <c r="AB40" s="3340">
        <f t="shared" si="4"/>
        <v>1</v>
      </c>
      <c r="AC40" s="3340">
        <f t="shared" si="5"/>
        <v>1</v>
      </c>
    </row>
    <row r="41" spans="1:29" s="1339" customFormat="1" ht="28.5">
      <c r="A41" s="603"/>
      <c r="B41" s="527" t="s">
        <v>732</v>
      </c>
      <c r="C41" s="533"/>
      <c r="D41" s="255">
        <v>100</v>
      </c>
      <c r="E41" s="534" t="s">
        <v>3057</v>
      </c>
      <c r="F41" s="863">
        <f>SUMIF(120:120,E41,121:121)-SUMIF(120:120,C41,121:121)+100</f>
        <v>100</v>
      </c>
      <c r="G41" s="533" t="s">
        <v>3058</v>
      </c>
      <c r="H41" s="255">
        <f>SUMIF(120:120,G41,121:121)-SUMIF(120:120,C41,121:121)+100</f>
        <v>100</v>
      </c>
      <c r="I41" s="534" t="s">
        <v>3059</v>
      </c>
      <c r="J41" s="540">
        <f>SUMIF(120:120,I41,121:121)-SUMIF(120:120,C41,121:121)+100</f>
        <v>100</v>
      </c>
      <c r="K41" s="865"/>
      <c r="L41" s="2141"/>
      <c r="M41" s="2172"/>
      <c r="N41" s="2172"/>
      <c r="O41" s="2144"/>
      <c r="P41" s="3614"/>
      <c r="Q41" s="1605" t="str">
        <f t="shared" si="11"/>
        <v>单套/主力户型建筑面积</v>
      </c>
      <c r="R41" s="1577" t="s">
        <v>11</v>
      </c>
      <c r="S41" s="1578">
        <f t="shared" si="12"/>
        <v>100</v>
      </c>
      <c r="T41" s="1577" t="s">
        <v>11</v>
      </c>
      <c r="U41" s="1578">
        <f t="shared" si="13"/>
        <v>100</v>
      </c>
      <c r="V41" s="1577" t="s">
        <v>11</v>
      </c>
      <c r="W41" s="1578">
        <f t="shared" si="14"/>
        <v>100</v>
      </c>
      <c r="X41" s="1579"/>
      <c r="Y41" s="3614"/>
      <c r="Z41" s="1580" t="str">
        <f t="shared" si="15"/>
        <v>单套/主力户型建筑面积</v>
      </c>
      <c r="AA41" s="3340">
        <f t="shared" si="3"/>
        <v>1</v>
      </c>
      <c r="AB41" s="3340">
        <f t="shared" si="4"/>
        <v>1</v>
      </c>
      <c r="AC41" s="3340">
        <f t="shared" si="5"/>
        <v>1</v>
      </c>
    </row>
    <row r="42" spans="1:29" ht="15">
      <c r="A42" s="594"/>
      <c r="B42" s="527" t="s">
        <v>733</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3</v>
      </c>
      <c r="L42" s="2143"/>
      <c r="M42" s="2135"/>
      <c r="N42" s="2135"/>
      <c r="O42" s="2142"/>
      <c r="P42" s="3614"/>
      <c r="Q42" s="3337" t="str">
        <f t="shared" si="11"/>
        <v>内部装修</v>
      </c>
      <c r="R42" s="1573" t="s">
        <v>11</v>
      </c>
      <c r="S42" s="1574">
        <f t="shared" si="12"/>
        <v>100</v>
      </c>
      <c r="T42" s="1573" t="s">
        <v>11</v>
      </c>
      <c r="U42" s="1574">
        <f t="shared" si="13"/>
        <v>100</v>
      </c>
      <c r="V42" s="1573" t="s">
        <v>11</v>
      </c>
      <c r="W42" s="1574">
        <f t="shared" si="14"/>
        <v>100</v>
      </c>
      <c r="X42" s="3339"/>
      <c r="Y42" s="3614"/>
      <c r="Z42" s="3338" t="str">
        <f t="shared" si="15"/>
        <v>内部装修</v>
      </c>
      <c r="AA42" s="3340">
        <f t="shared" si="3"/>
        <v>1</v>
      </c>
      <c r="AB42" s="3340">
        <f t="shared" si="4"/>
        <v>1</v>
      </c>
      <c r="AC42" s="3340">
        <f t="shared" si="5"/>
        <v>1</v>
      </c>
    </row>
    <row r="43" spans="1:29" ht="27.75" thickBot="1">
      <c r="A43" s="594"/>
      <c r="B43" s="527" t="s">
        <v>734</v>
      </c>
      <c r="C43" s="3199" t="s">
        <v>3019</v>
      </c>
      <c r="D43" s="546">
        <v>100</v>
      </c>
      <c r="E43" s="874" t="s">
        <v>3019</v>
      </c>
      <c r="F43" s="575">
        <f>SUMIF(124:124,E43,125:125)-SUMIF(124:124,C43,125:125)+100</f>
        <v>100</v>
      </c>
      <c r="G43" s="3199" t="s">
        <v>3019</v>
      </c>
      <c r="H43" s="546">
        <f>SUMIF(124:124,G43,125:125)-SUMIF(124:124,C43,125:125)+100</f>
        <v>100</v>
      </c>
      <c r="I43" s="874" t="s">
        <v>3019</v>
      </c>
      <c r="J43" s="540">
        <f>SUMIF(124:124,I43,125:125)-SUMIF(124:124,C43,125:125)+100</f>
        <v>100</v>
      </c>
      <c r="K43" s="864">
        <v>2</v>
      </c>
      <c r="L43" s="2143"/>
      <c r="M43" s="2135"/>
      <c r="N43" s="2135"/>
      <c r="O43" s="2142"/>
      <c r="P43" s="3614"/>
      <c r="Q43" s="3337" t="str">
        <f t="shared" si="11"/>
        <v>内部装修维护情况</v>
      </c>
      <c r="R43" s="1573" t="s">
        <v>11</v>
      </c>
      <c r="S43" s="1574">
        <f t="shared" si="12"/>
        <v>100</v>
      </c>
      <c r="T43" s="1573" t="s">
        <v>11</v>
      </c>
      <c r="U43" s="1574">
        <f t="shared" si="13"/>
        <v>100</v>
      </c>
      <c r="V43" s="1573" t="s">
        <v>11</v>
      </c>
      <c r="W43" s="1574">
        <f t="shared" si="14"/>
        <v>100</v>
      </c>
      <c r="X43" s="3339"/>
      <c r="Y43" s="3614"/>
      <c r="Z43" s="3338" t="str">
        <f t="shared" si="15"/>
        <v>内部装修维护情况</v>
      </c>
      <c r="AA43" s="3340">
        <f t="shared" si="3"/>
        <v>1</v>
      </c>
      <c r="AB43" s="3340">
        <f t="shared" si="4"/>
        <v>1</v>
      </c>
      <c r="AC43" s="3340">
        <f t="shared" si="5"/>
        <v>1</v>
      </c>
    </row>
    <row r="44" spans="1:29" s="1220" customFormat="1" ht="15.75" hidden="1" thickBot="1">
      <c r="A44" s="600"/>
      <c r="B44" s="877"/>
      <c r="C44" s="3198"/>
      <c r="D44" s="875">
        <v>100</v>
      </c>
      <c r="E44" s="880"/>
      <c r="F44" s="863">
        <f>SUMIF(126:126,E44,127:127)-SUMIF(126:126,C44,127:127)+100</f>
        <v>100</v>
      </c>
      <c r="G44" s="3198"/>
      <c r="H44" s="875">
        <f>SUMIF(126:126,G44,127:127)-SUMIF(126:126,C44,127:127)+100</f>
        <v>100</v>
      </c>
      <c r="I44" s="880"/>
      <c r="J44" s="255">
        <f>SUMIF(126:126,I44,127:127)-SUMIF(126:126,C44,127:127)+100</f>
        <v>100</v>
      </c>
      <c r="K44" s="865"/>
      <c r="L44" s="2136"/>
      <c r="M44" s="2137"/>
      <c r="N44" s="2137"/>
      <c r="O44" s="2138"/>
      <c r="P44" s="3614"/>
      <c r="Q44" s="3336">
        <f t="shared" si="11"/>
        <v>0</v>
      </c>
      <c r="R44" s="1568" t="s">
        <v>11</v>
      </c>
      <c r="S44" s="1569">
        <f t="shared" si="12"/>
        <v>100</v>
      </c>
      <c r="T44" s="1568" t="s">
        <v>11</v>
      </c>
      <c r="U44" s="1569">
        <f t="shared" si="13"/>
        <v>100</v>
      </c>
      <c r="V44" s="1568" t="s">
        <v>11</v>
      </c>
      <c r="W44" s="1569">
        <f t="shared" si="14"/>
        <v>100</v>
      </c>
      <c r="X44" s="1570"/>
      <c r="Y44" s="3614"/>
      <c r="Z44" s="3335">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14"/>
      <c r="Q45" s="3337">
        <f t="shared" si="11"/>
        <v>0</v>
      </c>
      <c r="R45" s="1573" t="s">
        <v>11</v>
      </c>
      <c r="S45" s="1574">
        <f t="shared" si="12"/>
        <v>100</v>
      </c>
      <c r="T45" s="1573" t="s">
        <v>11</v>
      </c>
      <c r="U45" s="1574">
        <f t="shared" si="13"/>
        <v>100</v>
      </c>
      <c r="V45" s="1573" t="s">
        <v>11</v>
      </c>
      <c r="W45" s="1574">
        <f t="shared" si="14"/>
        <v>100</v>
      </c>
      <c r="X45" s="3339"/>
      <c r="Y45" s="3614"/>
      <c r="Z45" s="3338">
        <f t="shared" si="15"/>
        <v>0</v>
      </c>
      <c r="AA45" s="3340">
        <f t="shared" si="3"/>
        <v>1</v>
      </c>
      <c r="AB45" s="3340">
        <f t="shared" si="4"/>
        <v>1</v>
      </c>
      <c r="AC45" s="3340">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691"/>
      <c r="Q46" s="3337">
        <f t="shared" si="11"/>
        <v>0</v>
      </c>
      <c r="R46" s="1573" t="s">
        <v>10</v>
      </c>
      <c r="S46" s="1574">
        <f t="shared" si="12"/>
        <v>100</v>
      </c>
      <c r="T46" s="1573" t="s">
        <v>10</v>
      </c>
      <c r="U46" s="1574">
        <f t="shared" si="13"/>
        <v>100</v>
      </c>
      <c r="V46" s="1573" t="s">
        <v>10</v>
      </c>
      <c r="W46" s="1574">
        <f t="shared" si="14"/>
        <v>100</v>
      </c>
      <c r="X46" s="3339"/>
      <c r="Y46" s="3691"/>
      <c r="Z46" s="3338">
        <f t="shared" si="15"/>
        <v>0</v>
      </c>
      <c r="AA46" s="3340">
        <f t="shared" si="3"/>
        <v>1</v>
      </c>
      <c r="AB46" s="3340">
        <f t="shared" si="4"/>
        <v>1</v>
      </c>
      <c r="AC46" s="3340">
        <f t="shared" si="5"/>
        <v>1</v>
      </c>
    </row>
    <row r="47" spans="1:29" ht="15">
      <c r="A47" s="607" t="s">
        <v>735</v>
      </c>
      <c r="B47" s="887"/>
      <c r="C47" s="2652" t="s">
        <v>9</v>
      </c>
      <c r="D47" s="2653"/>
      <c r="E47" s="2654">
        <f>ROUND(7200*0.95,0)</f>
        <v>6840</v>
      </c>
      <c r="F47" s="2655"/>
      <c r="G47" s="2656">
        <f>ROUND(8500*0.95,0)</f>
        <v>8075</v>
      </c>
      <c r="H47" s="2657"/>
      <c r="I47" s="2654">
        <f>ROUND(7000*0.95,0)</f>
        <v>6650</v>
      </c>
      <c r="J47" s="2657"/>
      <c r="K47" s="1606"/>
      <c r="L47" s="2145"/>
      <c r="M47" s="2146"/>
      <c r="N47" s="2135"/>
      <c r="O47" s="2146"/>
      <c r="P47" s="3575" t="str">
        <f>A47</f>
        <v>成交单价（元/平方米）</v>
      </c>
      <c r="Q47" s="3575"/>
      <c r="R47" s="3690">
        <f>E47</f>
        <v>6840</v>
      </c>
      <c r="S47" s="3690"/>
      <c r="T47" s="3690">
        <f>G47</f>
        <v>8075</v>
      </c>
      <c r="U47" s="3690"/>
      <c r="V47" s="3690">
        <f>I47</f>
        <v>6650</v>
      </c>
      <c r="W47" s="3690"/>
      <c r="X47" s="1559"/>
      <c r="Y47" s="1581"/>
      <c r="Z47" s="1559"/>
      <c r="AA47" s="1559"/>
      <c r="AB47" s="1559"/>
      <c r="AC47" s="1559"/>
    </row>
    <row r="48" spans="1:29" ht="15.75" thickBot="1">
      <c r="A48" s="615" t="s">
        <v>2759</v>
      </c>
      <c r="B48" s="888"/>
      <c r="C48" s="2658">
        <f>R49</f>
        <v>8091</v>
      </c>
      <c r="D48" s="2659"/>
      <c r="E48" s="2660">
        <f>R48</f>
        <v>8415</v>
      </c>
      <c r="F48" s="2660"/>
      <c r="G48" s="2658">
        <f>T48</f>
        <v>7840</v>
      </c>
      <c r="H48" s="2659"/>
      <c r="I48" s="2660">
        <f>V48</f>
        <v>8019</v>
      </c>
      <c r="J48" s="2659"/>
      <c r="K48" s="1607"/>
      <c r="L48" s="2145"/>
      <c r="M48" s="2146"/>
      <c r="N48" s="2146"/>
      <c r="O48" s="2146"/>
      <c r="P48" s="3575" t="str">
        <f>A48</f>
        <v>比较价格（元/平方米）</v>
      </c>
      <c r="Q48" s="3575"/>
      <c r="R48" s="3690">
        <f>IF(F1="售价",ROUND(PRODUCT(R47,AA7:AA46),0),ROUND(PRODUCT(R47,AA7:AA46),1))</f>
        <v>8415</v>
      </c>
      <c r="S48" s="3690"/>
      <c r="T48" s="3690">
        <f>IF(F1="售价",ROUND(PRODUCT(T47,AB7:AB46),0),ROUND(PRODUCT(T47,AB7:AB46),1))</f>
        <v>7840</v>
      </c>
      <c r="U48" s="3690"/>
      <c r="V48" s="3690">
        <f>IF(F1="售价",ROUND(PRODUCT(V47,AC7:AC46),0),ROUND(PRODUCT(V47,AC7:AC46),1))</f>
        <v>8019</v>
      </c>
      <c r="W48" s="3690"/>
      <c r="X48" s="1559"/>
      <c r="Y48" s="1559"/>
      <c r="Z48" s="1559"/>
      <c r="AA48" s="1559"/>
      <c r="AB48" s="1559"/>
      <c r="AC48" s="1559"/>
    </row>
    <row r="49" spans="1:29" ht="15.75" thickBot="1">
      <c r="A49" s="621" t="s">
        <v>2926</v>
      </c>
      <c r="B49" s="622"/>
      <c r="C49" s="2661">
        <f>R49</f>
        <v>8091</v>
      </c>
      <c r="D49" s="2661"/>
      <c r="E49" s="2661"/>
      <c r="F49" s="2661"/>
      <c r="G49" s="2661"/>
      <c r="H49" s="2661"/>
      <c r="I49" s="2661"/>
      <c r="J49" s="2661"/>
      <c r="K49" s="1608"/>
      <c r="L49" s="2145"/>
      <c r="M49" s="2146"/>
      <c r="N49" s="2146"/>
      <c r="O49" s="2146"/>
      <c r="P49" s="3572" t="str">
        <f>A49</f>
        <v>估价对象XX用房的比较价格（楼面单价，元/平方米）</v>
      </c>
      <c r="Q49" s="3573"/>
      <c r="R49" s="3689">
        <f>IF(F1="售价",ROUND(AVERAGE(R48:V48),0),ROUND(AVERAGE(R48:V48),1))</f>
        <v>8091</v>
      </c>
      <c r="S49" s="3689"/>
      <c r="T49" s="3689"/>
      <c r="U49" s="3689"/>
      <c r="V49" s="3689"/>
      <c r="W49" s="3689"/>
      <c r="X49" s="1559"/>
      <c r="Y49" s="1559"/>
      <c r="Z49" s="1559"/>
      <c r="AA49" s="1559"/>
      <c r="AB49" s="1559"/>
      <c r="AC49" s="1559"/>
    </row>
    <row r="50" spans="1:29">
      <c r="A50" s="2146"/>
      <c r="B50" s="2146"/>
      <c r="C50" s="2146"/>
      <c r="D50" s="2146"/>
      <c r="E50" s="2146"/>
      <c r="F50" s="2146"/>
      <c r="G50" s="2149">
        <v>0.01</v>
      </c>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0.23026315789473695</v>
      </c>
      <c r="F52" s="627" t="str">
        <f>IF(OR(E52&gt;=0.3,E52&lt;=-0.3),"超过30%","")</f>
        <v/>
      </c>
      <c r="G52" s="626">
        <f>IF(G47&lt;G48,G48/G47-1,G47/G48-1)</f>
        <v>2.9974489795918435E-2</v>
      </c>
      <c r="H52" s="627" t="str">
        <f>IF(OR(G52&gt;=0.3,G52&lt;=-0.3),"超过30%","")</f>
        <v/>
      </c>
      <c r="I52" s="626">
        <f>IF(I47&lt;I48,I48/I47-1,I47/I48-1)</f>
        <v>0.20586466165413531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7.3341836734693855E-2</v>
      </c>
      <c r="F53" s="627" t="str">
        <f>IF(OR(E53&gt;=0.2,E53&lt;=-0.2),"超过20%","")</f>
        <v/>
      </c>
      <c r="G53" s="626">
        <f>IF(G48&lt;I48,I48/G48-1,G48/I48-1)</f>
        <v>2.2831632653061318E-2</v>
      </c>
      <c r="H53" s="627" t="str">
        <f>IF(OR(G53&gt;=0.2,G53&lt;=-0.2),"超过20%","")</f>
        <v/>
      </c>
      <c r="I53" s="626">
        <f>IF(I48&lt;E48,E48/I48-1,I48/E48-1)</f>
        <v>4.9382716049382713E-2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0.18055555555555558</v>
      </c>
      <c r="F54" s="627" t="str">
        <f>IF(OR(E54&gt;=0.3,E54&lt;=-0.3),"超过30%","")</f>
        <v/>
      </c>
      <c r="G54" s="626">
        <f>IF(G47&lt;I47,I47/G47-1,G47/I47-1)</f>
        <v>0.21428571428571419</v>
      </c>
      <c r="H54" s="627" t="str">
        <f>IF(OR(G54&gt;=0.3,G54&lt;=-0.3),"超过30%","")</f>
        <v/>
      </c>
      <c r="I54" s="626">
        <f>IF(I47&lt;E47,E47/I47-1,I47/E47-1)</f>
        <v>2.857142857142847E-2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f>C59-C60</f>
        <v>99.5</v>
      </c>
      <c r="E59" s="650">
        <f t="shared" ref="E59:G59" si="17">D59-D60</f>
        <v>99.5</v>
      </c>
      <c r="F59" s="650">
        <f t="shared" si="17"/>
        <v>99.5</v>
      </c>
      <c r="G59" s="650">
        <f t="shared" si="17"/>
        <v>99.5</v>
      </c>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v>0.5</v>
      </c>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8.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29.25" thickTop="1">
      <c r="A67" s="669"/>
      <c r="B67" s="681" t="s">
        <v>538</v>
      </c>
      <c r="C67" s="682" t="str">
        <f>C68&amp;"（含）"&amp;"-"&amp;D68</f>
        <v>1（含）-2</v>
      </c>
      <c r="D67" s="682" t="str">
        <f t="shared" ref="D67:L67" si="19">D68&amp;"（含）"&amp;"-"&amp;E68</f>
        <v>2（含）-3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67"/>
      <c r="O69" s="2167"/>
      <c r="P69" s="2166"/>
      <c r="Q69" s="2159"/>
      <c r="R69" s="2146"/>
      <c r="S69" s="2146"/>
      <c r="T69" s="2146"/>
      <c r="U69" s="2146"/>
      <c r="V69" s="2146"/>
      <c r="W69" s="2146"/>
      <c r="X69" s="2146"/>
      <c r="Y69" s="2146"/>
      <c r="Z69" s="2146"/>
      <c r="AA69" s="2146"/>
      <c r="AB69" s="2146"/>
      <c r="AC69" s="2146"/>
    </row>
    <row r="70" spans="1:29" s="1339" customFormat="1" ht="16.5" hidden="1" thickTop="1" thickBot="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6.5" hidden="1" thickTop="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6.5" hidden="1" thickTop="1" thickBot="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6.5" hidden="1" thickTop="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6.5" hidden="1" thickTop="1" thickBot="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6.5" hidden="1" thickTop="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6.5" hidden="1" thickTop="1" thickBot="1">
      <c r="A86" s="709"/>
      <c r="B86" s="1897" t="s">
        <v>2258</v>
      </c>
      <c r="C86" s="3194"/>
      <c r="D86" s="3194"/>
      <c r="E86" s="3194"/>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6.5" hidden="1" thickTop="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6.5" hidden="1" thickTop="1" thickBot="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6.5" hidden="1" thickTop="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楼层</v>
      </c>
      <c r="C90" s="3194" t="s">
        <v>3045</v>
      </c>
      <c r="D90" s="3194" t="s">
        <v>3046</v>
      </c>
      <c r="E90" s="3194" t="s">
        <v>3047</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101</v>
      </c>
      <c r="E91" s="692">
        <v>102</v>
      </c>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6.5" hidden="1" thickTop="1" thickBot="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6.5" hidden="1" thickTop="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6.5" hidden="1" thickTop="1" thickBot="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6.5" hidden="1" thickTop="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6.5" hidden="1" thickTop="1" thickBot="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6.5" hidden="1" thickTop="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6.5" hidden="1" thickTop="1" thickBot="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6.5" hidden="1" thickTop="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551</v>
      </c>
      <c r="B100" s="665" t="s">
        <v>746</v>
      </c>
      <c r="C100" s="3193" t="s">
        <v>3030</v>
      </c>
      <c r="D100" s="3193" t="s">
        <v>3031</v>
      </c>
      <c r="E100" s="3193" t="s">
        <v>3032</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67"/>
      <c r="O101" s="2167"/>
      <c r="P101" s="2166"/>
      <c r="Q101" s="2159"/>
      <c r="R101" s="2146"/>
      <c r="S101" s="2146"/>
      <c r="T101" s="2146"/>
      <c r="U101" s="2146"/>
      <c r="V101" s="2146"/>
      <c r="W101" s="2146"/>
      <c r="X101" s="2146"/>
      <c r="Y101" s="2146"/>
      <c r="Z101" s="2146"/>
      <c r="AA101" s="2146"/>
      <c r="AB101" s="2146"/>
      <c r="AC101" s="2146"/>
    </row>
    <row r="102" spans="1:29" ht="43.5" thickTop="1">
      <c r="A102" s="669"/>
      <c r="B102" s="673" t="s">
        <v>747</v>
      </c>
      <c r="C102" s="708" t="str">
        <f>C103&amp;"(含)"&amp;"-"&amp;D103</f>
        <v>0(含)-500000</v>
      </c>
      <c r="D102" s="708" t="str">
        <f t="shared" ref="D102:L102" si="24">D103&amp;"(含)"&amp;"-"&amp;E103</f>
        <v>500000(含)-1000000</v>
      </c>
      <c r="E102" s="708" t="str">
        <f t="shared" si="24"/>
        <v>1000000(含)-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4" t="s">
        <v>3033</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96" t="s">
        <v>3035</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4" t="s">
        <v>3037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9" customFormat="1" ht="29.2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4" t="s">
        <v>3039</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3040</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196" t="s">
        <v>3042</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97</v>
      </c>
      <c r="E119" s="679">
        <f t="shared" si="29"/>
        <v>94</v>
      </c>
      <c r="F119" s="679">
        <f t="shared" si="29"/>
        <v>91</v>
      </c>
      <c r="G119" s="679">
        <f t="shared" si="29"/>
        <v>88</v>
      </c>
      <c r="H119" s="679">
        <f t="shared" si="29"/>
        <v>85</v>
      </c>
      <c r="I119" s="679">
        <f t="shared" si="29"/>
        <v>82</v>
      </c>
      <c r="J119" s="679">
        <f t="shared" si="29"/>
        <v>79</v>
      </c>
      <c r="K119" s="679">
        <f t="shared" si="29"/>
        <v>76</v>
      </c>
      <c r="L119" s="679">
        <f t="shared" si="29"/>
        <v>73</v>
      </c>
      <c r="M119" s="679">
        <f t="shared" si="29"/>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94" t="s">
        <v>3044</v>
      </c>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5" zoomScale="80" zoomScaleNormal="80" zoomScalePageLayoutView="80" workbookViewId="0">
      <selection activeCell="L37" sqref="L37"/>
    </sheetView>
  </sheetViews>
  <sheetFormatPr defaultColWidth="8.875" defaultRowHeight="14.25"/>
  <cols>
    <col min="1" max="1" width="10.5" style="1337" customWidth="1"/>
    <col min="2"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8" t="s">
        <v>719</v>
      </c>
      <c r="C1" s="2649" t="s">
        <v>720</v>
      </c>
      <c r="D1" s="2650" t="s">
        <v>3506</v>
      </c>
      <c r="E1" s="2651"/>
      <c r="F1" s="2832" t="s">
        <v>3054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f>ROUND(B3*D3/10000,0)</f>
        <v>19284</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16132</v>
      </c>
      <c r="C3" s="852" t="s">
        <v>722</v>
      </c>
      <c r="D3" s="851">
        <f>SUMIF('数据-汇总表'!$C19:$C33,D1,'数据-汇总表'!$E19:$E33)</f>
        <v>11954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581" t="s">
        <v>522</v>
      </c>
      <c r="D4" s="3582"/>
      <c r="E4" s="3618" t="s">
        <v>523</v>
      </c>
      <c r="F4" s="3619"/>
      <c r="G4" s="3581" t="s">
        <v>524</v>
      </c>
      <c r="H4" s="3582"/>
      <c r="I4" s="3581" t="s">
        <v>525</v>
      </c>
      <c r="J4" s="3582"/>
      <c r="K4" s="853" t="s">
        <v>526</v>
      </c>
      <c r="L4" s="2134"/>
      <c r="M4" s="2135"/>
      <c r="N4" s="2135"/>
      <c r="O4" s="2135"/>
      <c r="P4" s="3583" t="s">
        <v>527</v>
      </c>
      <c r="Q4" s="3584"/>
      <c r="R4" s="3589" t="s">
        <v>523</v>
      </c>
      <c r="S4" s="3590"/>
      <c r="T4" s="3589" t="s">
        <v>524</v>
      </c>
      <c r="U4" s="3590"/>
      <c r="V4" s="3576" t="s">
        <v>525</v>
      </c>
      <c r="W4" s="3576"/>
      <c r="X4" s="3210"/>
      <c r="Y4" s="3589" t="s">
        <v>527</v>
      </c>
      <c r="Z4" s="3590"/>
      <c r="AA4" s="3578" t="s">
        <v>523</v>
      </c>
      <c r="AB4" s="3578" t="s">
        <v>524</v>
      </c>
      <c r="AC4" s="3578" t="s">
        <v>525</v>
      </c>
    </row>
    <row r="5" spans="1:29" ht="15">
      <c r="A5" s="515"/>
      <c r="B5" s="516"/>
      <c r="C5" s="3599" t="s">
        <v>2920</v>
      </c>
      <c r="D5" s="3598"/>
      <c r="E5" s="3695" t="s">
        <v>3530</v>
      </c>
      <c r="F5" s="3621"/>
      <c r="G5" s="3597" t="s">
        <v>3536</v>
      </c>
      <c r="H5" s="3598"/>
      <c r="I5" s="3597" t="s">
        <v>3536</v>
      </c>
      <c r="J5" s="3598"/>
      <c r="K5" s="854"/>
      <c r="L5" s="2134"/>
      <c r="M5" s="2135"/>
      <c r="N5" s="2135"/>
      <c r="O5" s="2135"/>
      <c r="P5" s="3585"/>
      <c r="Q5" s="3586"/>
      <c r="R5" s="3591"/>
      <c r="S5" s="3592"/>
      <c r="T5" s="3591"/>
      <c r="U5" s="3592"/>
      <c r="V5" s="3576"/>
      <c r="W5" s="3576"/>
      <c r="X5" s="3210"/>
      <c r="Y5" s="3591"/>
      <c r="Z5" s="3592"/>
      <c r="AA5" s="3579"/>
      <c r="AB5" s="3579"/>
      <c r="AC5" s="3579"/>
    </row>
    <row r="6" spans="1:29" ht="30" customHeight="1" thickBot="1">
      <c r="A6" s="517"/>
      <c r="B6" s="518"/>
      <c r="C6" s="3615" t="s">
        <v>2924</v>
      </c>
      <c r="D6" s="3596"/>
      <c r="E6" s="3694" t="s">
        <v>3531</v>
      </c>
      <c r="F6" s="3617"/>
      <c r="G6" s="3595" t="s">
        <v>3051</v>
      </c>
      <c r="H6" s="3596"/>
      <c r="I6" s="3595" t="s">
        <v>3051</v>
      </c>
      <c r="J6" s="3596"/>
      <c r="K6" s="854" t="s">
        <v>528</v>
      </c>
      <c r="L6" s="2134"/>
      <c r="M6" s="2135"/>
      <c r="N6" s="2135"/>
      <c r="O6" s="2135"/>
      <c r="P6" s="3587"/>
      <c r="Q6" s="3588"/>
      <c r="R6" s="3591"/>
      <c r="S6" s="3592"/>
      <c r="T6" s="3593"/>
      <c r="U6" s="3594"/>
      <c r="V6" s="3576"/>
      <c r="W6" s="3576"/>
      <c r="X6" s="3210"/>
      <c r="Y6" s="3593"/>
      <c r="Z6" s="3594"/>
      <c r="AA6" s="3580"/>
      <c r="AB6" s="3580"/>
      <c r="AC6" s="3580"/>
    </row>
    <row r="7" spans="1:29" s="1220" customFormat="1" ht="15.75" thickBot="1">
      <c r="A7" s="2937"/>
      <c r="B7" s="2944" t="s">
        <v>529</v>
      </c>
      <c r="C7" s="519">
        <f>'数据-取费表'!B2</f>
        <v>43236</v>
      </c>
      <c r="D7" s="520">
        <v>100</v>
      </c>
      <c r="E7" s="521">
        <f>C7</f>
        <v>43236</v>
      </c>
      <c r="F7" s="522">
        <f>SUMIF(58:58,YEAR(E7)&amp;"-"&amp;MONTH(E7),59:59)</f>
        <v>100</v>
      </c>
      <c r="G7" s="523">
        <f>E7</f>
        <v>43236</v>
      </c>
      <c r="H7" s="520">
        <f>SUMIF(58:58,YEAR(G7)&amp;"-"&amp;MONTH(G7),59:59)</f>
        <v>100</v>
      </c>
      <c r="I7" s="523">
        <f>E7</f>
        <v>43236</v>
      </c>
      <c r="J7" s="520">
        <f>SUMIF(58:58,YEAR(I7)&amp;"-"&amp;MONTH(I7),59:59)</f>
        <v>100</v>
      </c>
      <c r="K7" s="855"/>
      <c r="L7" s="2136"/>
      <c r="M7" s="2137"/>
      <c r="N7" s="2137"/>
      <c r="O7" s="2137"/>
      <c r="P7" s="3608" t="s">
        <v>530</v>
      </c>
      <c r="Q7" s="3610"/>
      <c r="R7" s="1568" t="s">
        <v>13</v>
      </c>
      <c r="S7" s="1569">
        <f t="shared" ref="S7:S15" si="0">F7</f>
        <v>100</v>
      </c>
      <c r="T7" s="1568" t="s">
        <v>13</v>
      </c>
      <c r="U7" s="1569">
        <f t="shared" ref="U7:U15" si="1">H7</f>
        <v>100</v>
      </c>
      <c r="V7" s="1568" t="s">
        <v>13</v>
      </c>
      <c r="W7" s="1569">
        <f t="shared" ref="W7:W15" si="2">J7</f>
        <v>100</v>
      </c>
      <c r="X7" s="1570"/>
      <c r="Y7" s="3608" t="s">
        <v>530</v>
      </c>
      <c r="Z7" s="3609"/>
      <c r="AA7" s="1571">
        <f>D7/F7</f>
        <v>1</v>
      </c>
      <c r="AB7" s="1571">
        <f>D7/H7</f>
        <v>1</v>
      </c>
      <c r="AC7" s="1571">
        <f>D7/J7</f>
        <v>1</v>
      </c>
    </row>
    <row r="8" spans="1:29" s="1220" customFormat="1" ht="15.75" thickBot="1">
      <c r="A8" s="2938"/>
      <c r="B8" s="2945" t="s">
        <v>531</v>
      </c>
      <c r="C8" s="525" t="s">
        <v>576</v>
      </c>
      <c r="D8" s="520">
        <v>100</v>
      </c>
      <c r="E8" s="856" t="s">
        <v>2985</v>
      </c>
      <c r="F8" s="522">
        <f>SUMIF(61:61,E8,62:62)-SUMIF(61:61,C8,62:62)+100</f>
        <v>100</v>
      </c>
      <c r="G8" s="856" t="s">
        <v>2985</v>
      </c>
      <c r="H8" s="520">
        <f>SUMIF(61:61,G8,62:62)-SUMIF(61:61,C8,62:62)+100</f>
        <v>100</v>
      </c>
      <c r="I8" s="856" t="s">
        <v>2985</v>
      </c>
      <c r="J8" s="520">
        <f>SUMIF(61:61,I8,62:62)-SUMIF(61:61,C8,62:62)+100</f>
        <v>100</v>
      </c>
      <c r="K8" s="855"/>
      <c r="L8" s="2136"/>
      <c r="M8" s="2137"/>
      <c r="N8" s="2137"/>
      <c r="O8" s="2137"/>
      <c r="P8" s="3608" t="s">
        <v>533</v>
      </c>
      <c r="Q8" s="3609"/>
      <c r="R8" s="1568" t="s">
        <v>13</v>
      </c>
      <c r="S8" s="1569">
        <f t="shared" si="0"/>
        <v>100</v>
      </c>
      <c r="T8" s="1568" t="s">
        <v>13</v>
      </c>
      <c r="U8" s="1569">
        <f t="shared" si="1"/>
        <v>100</v>
      </c>
      <c r="V8" s="1568" t="s">
        <v>13</v>
      </c>
      <c r="W8" s="1569">
        <f t="shared" si="2"/>
        <v>100</v>
      </c>
      <c r="X8" s="1570"/>
      <c r="Y8" s="3608" t="s">
        <v>533</v>
      </c>
      <c r="Z8" s="3609"/>
      <c r="AA8" s="1571">
        <f t="shared" ref="AA8:AA46" si="3">D8/F8</f>
        <v>1</v>
      </c>
      <c r="AB8" s="1571">
        <f t="shared" ref="AB8:AB46" si="4">D8/H8</f>
        <v>1</v>
      </c>
      <c r="AC8" s="1571">
        <f t="shared" ref="AC8:AC46" si="5">D8/J8</f>
        <v>1</v>
      </c>
    </row>
    <row r="9" spans="1:29" s="1220" customFormat="1" ht="15">
      <c r="A9" s="2939"/>
      <c r="B9" s="2946" t="s">
        <v>2755</v>
      </c>
      <c r="C9" s="3197" t="s">
        <v>3028</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575" t="s">
        <v>535</v>
      </c>
      <c r="Q9" s="3208" t="str">
        <f t="shared" ref="Q9:Q15" si="6">B9</f>
        <v>用途</v>
      </c>
      <c r="R9" s="1568" t="s">
        <v>8</v>
      </c>
      <c r="S9" s="1569">
        <f t="shared" si="0"/>
        <v>100</v>
      </c>
      <c r="T9" s="1568" t="s">
        <v>8</v>
      </c>
      <c r="U9" s="1569">
        <f t="shared" si="1"/>
        <v>100</v>
      </c>
      <c r="V9" s="1568" t="s">
        <v>8</v>
      </c>
      <c r="W9" s="1569">
        <f t="shared" si="2"/>
        <v>100</v>
      </c>
      <c r="X9" s="1570"/>
      <c r="Y9" s="3521" t="s">
        <v>536</v>
      </c>
      <c r="Z9" s="3207" t="str">
        <f t="shared" ref="Z9:Z15" si="7">Q9</f>
        <v>用途</v>
      </c>
      <c r="AA9" s="1571">
        <f t="shared" si="3"/>
        <v>1</v>
      </c>
      <c r="AB9" s="1571">
        <f t="shared" si="4"/>
        <v>1</v>
      </c>
      <c r="AC9" s="1571">
        <f t="shared" si="5"/>
        <v>1</v>
      </c>
    </row>
    <row r="10" spans="1:29" s="1338" customFormat="1" ht="27">
      <c r="A10" s="2940"/>
      <c r="B10" s="2945" t="s">
        <v>2756</v>
      </c>
      <c r="C10" s="861" t="s">
        <v>3029</v>
      </c>
      <c r="D10" s="255">
        <v>100</v>
      </c>
      <c r="E10" s="862" t="s">
        <v>3029</v>
      </c>
      <c r="F10" s="863">
        <f>SUMIF(65:65,E10,66:66)-SUMIF(65:65,C10,66:66)+100</f>
        <v>100</v>
      </c>
      <c r="G10" s="862" t="s">
        <v>3029</v>
      </c>
      <c r="H10" s="255">
        <f>SUMIF(65:65,G10,66:66)-SUMIF(65:65,C10,66:66)+100</f>
        <v>100</v>
      </c>
      <c r="I10" s="862" t="s">
        <v>3029</v>
      </c>
      <c r="J10" s="255">
        <f>SUMIF(65:65,I10,66:66)-SUMIF(65:65,C10,66:66)+100</f>
        <v>100</v>
      </c>
      <c r="K10" s="864">
        <v>1</v>
      </c>
      <c r="L10" s="2139"/>
      <c r="M10" s="2179"/>
      <c r="N10" s="2179"/>
      <c r="O10" s="2140"/>
      <c r="P10" s="3575"/>
      <c r="Q10" s="3208" t="str">
        <f t="shared" si="6"/>
        <v>土地使用年限（年）</v>
      </c>
      <c r="R10" s="1568" t="s">
        <v>8</v>
      </c>
      <c r="S10" s="1569">
        <f t="shared" si="0"/>
        <v>100</v>
      </c>
      <c r="T10" s="1568" t="s">
        <v>8</v>
      </c>
      <c r="U10" s="1569">
        <f t="shared" si="1"/>
        <v>100</v>
      </c>
      <c r="V10" s="1568" t="s">
        <v>8</v>
      </c>
      <c r="W10" s="1569">
        <f t="shared" si="2"/>
        <v>100</v>
      </c>
      <c r="X10" s="1570"/>
      <c r="Y10" s="3521"/>
      <c r="Z10" s="3207" t="str">
        <f t="shared" si="7"/>
        <v>土地使用年限（年）</v>
      </c>
      <c r="AA10" s="1571">
        <f t="shared" si="3"/>
        <v>1</v>
      </c>
      <c r="AB10" s="1571">
        <f t="shared" si="4"/>
        <v>1</v>
      </c>
      <c r="AC10" s="1571">
        <f t="shared" si="5"/>
        <v>1</v>
      </c>
    </row>
    <row r="11" spans="1:29" ht="15.75" thickBot="1">
      <c r="A11" s="2941"/>
      <c r="B11" s="2945" t="s">
        <v>2757</v>
      </c>
      <c r="C11" s="533">
        <f>'数据-汇总表'!I6</f>
        <v>1.92</v>
      </c>
      <c r="D11" s="255">
        <v>100</v>
      </c>
      <c r="E11" s="534">
        <v>1.74</v>
      </c>
      <c r="F11" s="863">
        <f>LOOKUP(E11,68:68,69:69)-LOOKUP(C11,68:68,69:69)+100</f>
        <v>100</v>
      </c>
      <c r="G11" s="533">
        <v>2</v>
      </c>
      <c r="H11" s="255">
        <f>LOOKUP(G11,68:68,69:69)-LOOKUP(C11,68:68,69:69)+100</f>
        <v>99</v>
      </c>
      <c r="I11" s="533">
        <v>2</v>
      </c>
      <c r="J11" s="255">
        <f>LOOKUP(I11,68:68,69:69)-LOOKUP(C11,68:68,69:69)+100</f>
        <v>99</v>
      </c>
      <c r="K11" s="864">
        <v>1</v>
      </c>
      <c r="L11" s="2141"/>
      <c r="M11" s="2135"/>
      <c r="N11" s="2135"/>
      <c r="O11" s="2142"/>
      <c r="P11" s="3575"/>
      <c r="Q11" s="3208" t="str">
        <f t="shared" si="6"/>
        <v>容积率</v>
      </c>
      <c r="R11" s="1568" t="s">
        <v>11</v>
      </c>
      <c r="S11" s="1569">
        <f t="shared" si="0"/>
        <v>100</v>
      </c>
      <c r="T11" s="1568" t="s">
        <v>11</v>
      </c>
      <c r="U11" s="1569">
        <f t="shared" si="1"/>
        <v>99</v>
      </c>
      <c r="V11" s="1568" t="s">
        <v>11</v>
      </c>
      <c r="W11" s="1569">
        <f t="shared" si="2"/>
        <v>99</v>
      </c>
      <c r="X11" s="1570"/>
      <c r="Y11" s="3521"/>
      <c r="Z11" s="3207" t="str">
        <f t="shared" si="7"/>
        <v>容积率</v>
      </c>
      <c r="AA11" s="1571">
        <f t="shared" si="3"/>
        <v>1</v>
      </c>
      <c r="AB11" s="1571">
        <f t="shared" si="4"/>
        <v>1.0101010101010102</v>
      </c>
      <c r="AC11" s="1571">
        <f t="shared" si="5"/>
        <v>1.0101010101010102</v>
      </c>
    </row>
    <row r="12" spans="1:29" s="1220"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575"/>
      <c r="Q12" s="3208">
        <f t="shared" si="6"/>
        <v>0</v>
      </c>
      <c r="R12" s="1568" t="s">
        <v>11</v>
      </c>
      <c r="S12" s="1569">
        <f t="shared" si="0"/>
        <v>100</v>
      </c>
      <c r="T12" s="1568" t="s">
        <v>11</v>
      </c>
      <c r="U12" s="1569">
        <f t="shared" si="1"/>
        <v>100</v>
      </c>
      <c r="V12" s="1568" t="s">
        <v>11</v>
      </c>
      <c r="W12" s="1569">
        <f t="shared" si="2"/>
        <v>100</v>
      </c>
      <c r="X12" s="1570"/>
      <c r="Y12" s="3521"/>
      <c r="Z12" s="3207">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575"/>
      <c r="Q13" s="3208">
        <f t="shared" si="6"/>
        <v>0</v>
      </c>
      <c r="R13" s="1568" t="s">
        <v>11</v>
      </c>
      <c r="S13" s="1569">
        <f t="shared" si="0"/>
        <v>100</v>
      </c>
      <c r="T13" s="1568" t="s">
        <v>11</v>
      </c>
      <c r="U13" s="1569">
        <f t="shared" si="1"/>
        <v>100</v>
      </c>
      <c r="V13" s="1568" t="s">
        <v>11</v>
      </c>
      <c r="W13" s="1569">
        <f t="shared" si="2"/>
        <v>100</v>
      </c>
      <c r="X13" s="1570"/>
      <c r="Y13" s="3521"/>
      <c r="Z13" s="3207">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575"/>
      <c r="Q14" s="3208">
        <f t="shared" si="6"/>
        <v>0</v>
      </c>
      <c r="R14" s="1568" t="s">
        <v>11</v>
      </c>
      <c r="S14" s="1569">
        <f t="shared" si="0"/>
        <v>100</v>
      </c>
      <c r="T14" s="1568" t="s">
        <v>11</v>
      </c>
      <c r="U14" s="1569">
        <f t="shared" si="1"/>
        <v>100</v>
      </c>
      <c r="V14" s="1568" t="s">
        <v>11</v>
      </c>
      <c r="W14" s="1569">
        <f t="shared" si="2"/>
        <v>100</v>
      </c>
      <c r="X14" s="1570"/>
      <c r="Y14" s="3521"/>
      <c r="Z14" s="3207">
        <f t="shared" si="7"/>
        <v>0</v>
      </c>
      <c r="AA14" s="1571">
        <f t="shared" si="3"/>
        <v>1</v>
      </c>
      <c r="AB14" s="1571">
        <f t="shared" si="4"/>
        <v>1</v>
      </c>
      <c r="AC14" s="1571">
        <f t="shared" si="5"/>
        <v>1</v>
      </c>
    </row>
    <row r="15" spans="1:29" ht="85.5">
      <c r="A15" s="2935" t="s">
        <v>2753</v>
      </c>
      <c r="B15" s="166" t="s">
        <v>295</v>
      </c>
      <c r="C15" s="867" t="str">
        <f>估价对象房地状况!C3</f>
        <v>周边居住用地比例、居住小区规模和社区发展完善程度（居住用地比例适宜，较多住宅项目，但尚未开发完成，社区发展完善程度较差）</v>
      </c>
      <c r="D15" s="549">
        <v>100</v>
      </c>
      <c r="E15" s="550"/>
      <c r="F15" s="551">
        <f>SUMIF(76:76,E16,77:77)-SUMIF(76:76,C16,77:77)+100</f>
        <v>95</v>
      </c>
      <c r="G15" s="552"/>
      <c r="H15" s="549">
        <f>SUMIF(76:76,G16,77:77)-SUMIF(76:76,C16,77:77)+100</f>
        <v>95</v>
      </c>
      <c r="I15" s="550"/>
      <c r="J15" s="549">
        <f>SUMIF(76:76,I16,77:77)-SUMIF(76:76,C16,77:77)+100</f>
        <v>95</v>
      </c>
      <c r="K15" s="868">
        <v>5</v>
      </c>
      <c r="L15" s="2143"/>
      <c r="M15" s="2135"/>
      <c r="N15" s="2135"/>
      <c r="O15" s="2142"/>
      <c r="P15" s="3611" t="s">
        <v>540</v>
      </c>
      <c r="Q15" s="3211" t="str">
        <f t="shared" si="6"/>
        <v>居住社区成熟度</v>
      </c>
      <c r="R15" s="1573" t="s">
        <v>11</v>
      </c>
      <c r="S15" s="1574">
        <f t="shared" si="0"/>
        <v>95</v>
      </c>
      <c r="T15" s="1573" t="s">
        <v>11</v>
      </c>
      <c r="U15" s="1574">
        <f t="shared" si="1"/>
        <v>95</v>
      </c>
      <c r="V15" s="1573" t="s">
        <v>11</v>
      </c>
      <c r="W15" s="1574">
        <f t="shared" si="2"/>
        <v>95</v>
      </c>
      <c r="X15" s="3210"/>
      <c r="Y15" s="3611" t="s">
        <v>540</v>
      </c>
      <c r="Z15" s="3212" t="str">
        <f t="shared" si="7"/>
        <v>居住社区成熟度</v>
      </c>
      <c r="AA15" s="3213">
        <f t="shared" si="3"/>
        <v>1.0526315789473684</v>
      </c>
      <c r="AB15" s="3213">
        <f t="shared" si="4"/>
        <v>1.0526315789473684</v>
      </c>
      <c r="AC15" s="3213">
        <f t="shared" si="5"/>
        <v>1.0526315789473684</v>
      </c>
    </row>
    <row r="16" spans="1:29" ht="15">
      <c r="A16" s="532"/>
      <c r="B16" s="869"/>
      <c r="C16" s="576" t="s">
        <v>3017</v>
      </c>
      <c r="D16" s="555"/>
      <c r="E16" s="576" t="s">
        <v>3018</v>
      </c>
      <c r="F16" s="557"/>
      <c r="G16" s="576" t="s">
        <v>3018</v>
      </c>
      <c r="H16" s="559"/>
      <c r="I16" s="576" t="s">
        <v>3018</v>
      </c>
      <c r="J16" s="555"/>
      <c r="K16" s="870"/>
      <c r="L16" s="2143"/>
      <c r="M16" s="2135"/>
      <c r="N16" s="2135"/>
      <c r="O16" s="2142"/>
      <c r="P16" s="3612"/>
      <c r="Q16" s="3211"/>
      <c r="R16" s="1573"/>
      <c r="S16" s="1574"/>
      <c r="T16" s="1573"/>
      <c r="U16" s="1574"/>
      <c r="V16" s="1573"/>
      <c r="W16" s="1574"/>
      <c r="X16" s="3210"/>
      <c r="Y16" s="3612"/>
      <c r="Z16" s="3212"/>
      <c r="AA16" s="3213">
        <v>1</v>
      </c>
      <c r="AB16" s="3213">
        <v>1</v>
      </c>
      <c r="AC16" s="3213">
        <v>1</v>
      </c>
    </row>
    <row r="17" spans="1:29" ht="85.5">
      <c r="A17" s="532"/>
      <c r="B17" s="871" t="s">
        <v>296</v>
      </c>
      <c r="C17" s="872" t="str">
        <f>估价对象房地状况!C6</f>
        <v>周边道路状况、公共交通通达情况、停车便捷程度（北至文峰大道 南至文明大道 均为城市主干道 南距安阳东站直线1.5公里 y1路 11路 16路）</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612"/>
      <c r="Q17" s="3211" t="str">
        <f>B17</f>
        <v>交通便捷度</v>
      </c>
      <c r="R17" s="1573" t="s">
        <v>11</v>
      </c>
      <c r="S17" s="1574">
        <f>F17</f>
        <v>100</v>
      </c>
      <c r="T17" s="1573" t="s">
        <v>11</v>
      </c>
      <c r="U17" s="1574">
        <f>H17</f>
        <v>100</v>
      </c>
      <c r="V17" s="1573" t="s">
        <v>11</v>
      </c>
      <c r="W17" s="1574">
        <f>J17</f>
        <v>100</v>
      </c>
      <c r="X17" s="3210"/>
      <c r="Y17" s="3612"/>
      <c r="Z17" s="3212" t="str">
        <f>Q17</f>
        <v>交通便捷度</v>
      </c>
      <c r="AA17" s="3213">
        <f t="shared" si="3"/>
        <v>1</v>
      </c>
      <c r="AB17" s="3213">
        <f t="shared" si="4"/>
        <v>1</v>
      </c>
      <c r="AC17" s="3213">
        <f t="shared" si="5"/>
        <v>1</v>
      </c>
    </row>
    <row r="18" spans="1:29" ht="15">
      <c r="A18" s="532"/>
      <c r="B18" s="595"/>
      <c r="C18" s="873" t="s">
        <v>3019</v>
      </c>
      <c r="D18" s="559"/>
      <c r="E18" s="873" t="s">
        <v>3019</v>
      </c>
      <c r="F18" s="563"/>
      <c r="G18" s="873" t="s">
        <v>3019</v>
      </c>
      <c r="H18" s="555"/>
      <c r="I18" s="873" t="s">
        <v>3019</v>
      </c>
      <c r="J18" s="555"/>
      <c r="K18" s="870"/>
      <c r="L18" s="2143"/>
      <c r="M18" s="2135"/>
      <c r="N18" s="2135"/>
      <c r="O18" s="2142"/>
      <c r="P18" s="3612"/>
      <c r="Q18" s="3211"/>
      <c r="R18" s="1573"/>
      <c r="S18" s="1574"/>
      <c r="T18" s="1573"/>
      <c r="U18" s="1574"/>
      <c r="V18" s="1573"/>
      <c r="W18" s="1574"/>
      <c r="X18" s="3210"/>
      <c r="Y18" s="3612"/>
      <c r="Z18" s="3212"/>
      <c r="AA18" s="3213">
        <v>1</v>
      </c>
      <c r="AB18" s="3213">
        <v>1</v>
      </c>
      <c r="AC18" s="3213">
        <v>1</v>
      </c>
    </row>
    <row r="19" spans="1:29" ht="15">
      <c r="A19" s="532"/>
      <c r="B19" s="2625" t="s">
        <v>2546</v>
      </c>
      <c r="C19" s="872">
        <f>估价对象房地状况!C7</f>
        <v>0</v>
      </c>
      <c r="D19" s="565">
        <v>100</v>
      </c>
      <c r="E19" s="570"/>
      <c r="F19" s="571">
        <f>SUMIF(80:80,E20,81:81)-SUMIF(80:80,C20,81:81)+100</f>
        <v>97</v>
      </c>
      <c r="G19" s="572"/>
      <c r="H19" s="559">
        <f>SUMIF(80:80,G20,81:81)-SUMIF(80:80,C20,81:81)+100</f>
        <v>97</v>
      </c>
      <c r="I19" s="570"/>
      <c r="J19" s="559">
        <f>SUMIF(80:80,I20,81:81)-SUMIF(80:80,C20,81:81)+100</f>
        <v>97</v>
      </c>
      <c r="K19" s="868">
        <v>3</v>
      </c>
      <c r="L19" s="2143"/>
      <c r="M19" s="2135"/>
      <c r="N19" s="2135"/>
      <c r="O19" s="2142"/>
      <c r="P19" s="3612"/>
      <c r="Q19" s="3211" t="str">
        <f>B19</f>
        <v>公共配套设施</v>
      </c>
      <c r="R19" s="1573" t="s">
        <v>11</v>
      </c>
      <c r="S19" s="1574">
        <f>F19</f>
        <v>97</v>
      </c>
      <c r="T19" s="1573" t="s">
        <v>11</v>
      </c>
      <c r="U19" s="1574">
        <f>H19</f>
        <v>97</v>
      </c>
      <c r="V19" s="1573" t="s">
        <v>11</v>
      </c>
      <c r="W19" s="1574">
        <f>J19</f>
        <v>97</v>
      </c>
      <c r="X19" s="3210"/>
      <c r="Y19" s="3612"/>
      <c r="Z19" s="3212" t="str">
        <f>Q19</f>
        <v>公共配套设施</v>
      </c>
      <c r="AA19" s="3213">
        <f t="shared" si="3"/>
        <v>1.0309278350515463</v>
      </c>
      <c r="AB19" s="3213">
        <f t="shared" si="4"/>
        <v>1.0309278350515463</v>
      </c>
      <c r="AC19" s="3213">
        <f t="shared" si="5"/>
        <v>1.0309278350515463</v>
      </c>
    </row>
    <row r="20" spans="1:29" ht="15">
      <c r="A20" s="532"/>
      <c r="B20" s="595"/>
      <c r="C20" s="576" t="s">
        <v>3017</v>
      </c>
      <c r="D20" s="555"/>
      <c r="E20" s="576" t="s">
        <v>3018</v>
      </c>
      <c r="F20" s="557"/>
      <c r="G20" s="576" t="s">
        <v>3018</v>
      </c>
      <c r="H20" s="555"/>
      <c r="I20" s="576" t="s">
        <v>3018</v>
      </c>
      <c r="J20" s="555"/>
      <c r="K20" s="870"/>
      <c r="L20" s="2143"/>
      <c r="M20" s="2135"/>
      <c r="N20" s="2135"/>
      <c r="O20" s="2142"/>
      <c r="P20" s="3612"/>
      <c r="Q20" s="3211"/>
      <c r="R20" s="1573"/>
      <c r="S20" s="1574"/>
      <c r="T20" s="1573"/>
      <c r="U20" s="1574"/>
      <c r="V20" s="1573"/>
      <c r="W20" s="1574"/>
      <c r="X20" s="3210"/>
      <c r="Y20" s="3612"/>
      <c r="Z20" s="3212"/>
      <c r="AA20" s="3213">
        <v>1</v>
      </c>
      <c r="AB20" s="3213">
        <v>1</v>
      </c>
      <c r="AC20" s="3213">
        <v>1</v>
      </c>
    </row>
    <row r="21" spans="1:29" ht="15">
      <c r="A21" s="532"/>
      <c r="B21" s="2618" t="s">
        <v>2547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612"/>
      <c r="Q21" s="3211" t="str">
        <f>B21</f>
        <v>基础设施水平</v>
      </c>
      <c r="R21" s="1573" t="s">
        <v>11</v>
      </c>
      <c r="S21" s="1574">
        <f>F21</f>
        <v>100</v>
      </c>
      <c r="T21" s="1573" t="s">
        <v>11</v>
      </c>
      <c r="U21" s="1574">
        <f>H21</f>
        <v>100</v>
      </c>
      <c r="V21" s="1573" t="s">
        <v>11</v>
      </c>
      <c r="W21" s="1574">
        <f>J21</f>
        <v>100</v>
      </c>
      <c r="X21" s="3210"/>
      <c r="Y21" s="3612"/>
      <c r="Z21" s="3212" t="str">
        <f>Q21</f>
        <v>基础设施水平</v>
      </c>
      <c r="AA21" s="3213">
        <f t="shared" ref="AA21" si="8">D21/F21</f>
        <v>1</v>
      </c>
      <c r="AB21" s="3213">
        <f t="shared" ref="AB21" si="9">D21/H21</f>
        <v>1</v>
      </c>
      <c r="AC21" s="3213">
        <f t="shared" ref="AC21" si="10">D21/J21</f>
        <v>1</v>
      </c>
    </row>
    <row r="22" spans="1:29" ht="15">
      <c r="A22" s="532"/>
      <c r="B22" s="922"/>
      <c r="C22" s="873" t="s">
        <v>3020</v>
      </c>
      <c r="D22" s="555"/>
      <c r="E22" s="873" t="s">
        <v>3020</v>
      </c>
      <c r="F22" s="557"/>
      <c r="G22" s="873" t="s">
        <v>3020</v>
      </c>
      <c r="H22" s="555"/>
      <c r="I22" s="873" t="s">
        <v>3020</v>
      </c>
      <c r="J22" s="555"/>
      <c r="K22" s="2624"/>
      <c r="L22" s="2143"/>
      <c r="M22" s="2135"/>
      <c r="N22" s="2135"/>
      <c r="O22" s="2142"/>
      <c r="P22" s="3612"/>
      <c r="Q22" s="3211"/>
      <c r="R22" s="1573"/>
      <c r="S22" s="1574"/>
      <c r="T22" s="1573"/>
      <c r="U22" s="1574"/>
      <c r="V22" s="1573"/>
      <c r="W22" s="1574"/>
      <c r="X22" s="3210"/>
      <c r="Y22" s="3612"/>
      <c r="Z22" s="3212"/>
      <c r="AA22" s="3213">
        <v>1</v>
      </c>
      <c r="AB22" s="3213">
        <v>1</v>
      </c>
      <c r="AC22" s="3213">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612"/>
      <c r="Q23" s="3211" t="str">
        <f>B23</f>
        <v>自然及人文环境</v>
      </c>
      <c r="R23" s="1573" t="s">
        <v>11</v>
      </c>
      <c r="S23" s="1574">
        <f>F23</f>
        <v>100</v>
      </c>
      <c r="T23" s="1573" t="s">
        <v>11</v>
      </c>
      <c r="U23" s="1574">
        <f>H23</f>
        <v>100</v>
      </c>
      <c r="V23" s="1573" t="s">
        <v>11</v>
      </c>
      <c r="W23" s="1574">
        <f>J23</f>
        <v>100</v>
      </c>
      <c r="X23" s="3210"/>
      <c r="Y23" s="3612"/>
      <c r="Z23" s="3212" t="str">
        <f>Q23</f>
        <v>自然及人文环境</v>
      </c>
      <c r="AA23" s="3213">
        <f t="shared" si="3"/>
        <v>1</v>
      </c>
      <c r="AB23" s="3213">
        <f t="shared" si="4"/>
        <v>1</v>
      </c>
      <c r="AC23" s="3213">
        <f t="shared" si="5"/>
        <v>1</v>
      </c>
    </row>
    <row r="24" spans="1:29" ht="15.75" thickBot="1">
      <c r="A24" s="532"/>
      <c r="B24" s="595"/>
      <c r="C24" s="3341" t="s">
        <v>3019</v>
      </c>
      <c r="D24" s="555"/>
      <c r="E24" s="576" t="s">
        <v>3019</v>
      </c>
      <c r="F24" s="557"/>
      <c r="G24" s="576" t="s">
        <v>3019</v>
      </c>
      <c r="H24" s="555"/>
      <c r="I24" s="576" t="s">
        <v>3019</v>
      </c>
      <c r="J24" s="555"/>
      <c r="K24" s="870"/>
      <c r="L24" s="2143"/>
      <c r="M24" s="2135"/>
      <c r="N24" s="2135"/>
      <c r="O24" s="2142"/>
      <c r="P24" s="3612"/>
      <c r="Q24" s="3211"/>
      <c r="R24" s="1573"/>
      <c r="S24" s="1574"/>
      <c r="T24" s="1573"/>
      <c r="U24" s="1574"/>
      <c r="V24" s="1573"/>
      <c r="W24" s="1574"/>
      <c r="X24" s="3210"/>
      <c r="Y24" s="3612"/>
      <c r="Z24" s="3212"/>
      <c r="AA24" s="3213">
        <v>1</v>
      </c>
      <c r="AB24" s="3213">
        <v>1</v>
      </c>
      <c r="AC24" s="3213">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12"/>
      <c r="Q25" s="3211" t="str">
        <f t="shared" ref="Q25:Q46" si="11">B25</f>
        <v>楼层-1</v>
      </c>
      <c r="R25" s="1573" t="s">
        <v>11</v>
      </c>
      <c r="S25" s="1574">
        <f>F25</f>
        <v>100</v>
      </c>
      <c r="T25" s="1573" t="s">
        <v>11</v>
      </c>
      <c r="U25" s="1574">
        <f>H25</f>
        <v>100</v>
      </c>
      <c r="V25" s="1573" t="s">
        <v>11</v>
      </c>
      <c r="W25" s="1574">
        <f>J25</f>
        <v>100</v>
      </c>
      <c r="X25" s="3210"/>
      <c r="Y25" s="3612"/>
      <c r="Z25" s="3212" t="str">
        <f>Q25</f>
        <v>楼层-1</v>
      </c>
      <c r="AA25" s="3213">
        <f t="shared" si="3"/>
        <v>1</v>
      </c>
      <c r="AB25" s="3213">
        <f t="shared" si="4"/>
        <v>1</v>
      </c>
      <c r="AC25" s="321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12"/>
      <c r="Q26" s="3211" t="str">
        <f t="shared" si="11"/>
        <v>朝向</v>
      </c>
      <c r="R26" s="1573" t="s">
        <v>11</v>
      </c>
      <c r="S26" s="1574">
        <f>F26</f>
        <v>100</v>
      </c>
      <c r="T26" s="1573" t="s">
        <v>11</v>
      </c>
      <c r="U26" s="1574">
        <f>H26</f>
        <v>100</v>
      </c>
      <c r="V26" s="1573" t="s">
        <v>11</v>
      </c>
      <c r="W26" s="1574">
        <f>J26</f>
        <v>100</v>
      </c>
      <c r="X26" s="3210"/>
      <c r="Y26" s="3612"/>
      <c r="Z26" s="3212" t="str">
        <f>Q26</f>
        <v>朝向</v>
      </c>
      <c r="AA26" s="3213">
        <f t="shared" si="3"/>
        <v>1</v>
      </c>
      <c r="AB26" s="3213">
        <f t="shared" si="4"/>
        <v>1</v>
      </c>
      <c r="AC26" s="3213">
        <f t="shared" si="5"/>
        <v>1</v>
      </c>
    </row>
    <row r="27" spans="1:29" s="1220" customFormat="1" ht="15.75" hidden="1" thickBot="1">
      <c r="A27" s="536"/>
      <c r="B27" s="3200"/>
      <c r="C27" s="3201"/>
      <c r="D27" s="875">
        <v>100</v>
      </c>
      <c r="E27" s="3202"/>
      <c r="F27" s="876">
        <f>SUMIF(90:90,E27,91:91)-SUMIF(90:90,C27,91:91)+100</f>
        <v>100</v>
      </c>
      <c r="G27" s="3201"/>
      <c r="H27" s="875">
        <f>SUMIF(90:90,G27,91:91)-SUMIF(90:90,C27,91:91)+100</f>
        <v>100</v>
      </c>
      <c r="I27" s="3201"/>
      <c r="J27" s="875">
        <f>SUMIF(90:90,I27,91:91)-SUMIF(90:90,C27,91:91)+100</f>
        <v>100</v>
      </c>
      <c r="K27" s="865"/>
      <c r="L27" s="2136"/>
      <c r="M27" s="2137"/>
      <c r="N27" s="2137"/>
      <c r="O27" s="2138"/>
      <c r="P27" s="3612"/>
      <c r="Q27" s="3208">
        <f t="shared" si="11"/>
        <v>0</v>
      </c>
      <c r="R27" s="1568" t="s">
        <v>11</v>
      </c>
      <c r="S27" s="1569">
        <f>F27</f>
        <v>100</v>
      </c>
      <c r="T27" s="1568" t="s">
        <v>11</v>
      </c>
      <c r="U27" s="1569">
        <f>H27</f>
        <v>100</v>
      </c>
      <c r="V27" s="1568" t="s">
        <v>11</v>
      </c>
      <c r="W27" s="1569">
        <f>J27</f>
        <v>100</v>
      </c>
      <c r="X27" s="1570"/>
      <c r="Y27" s="3612"/>
      <c r="Z27" s="3207">
        <f>Q27</f>
        <v>0</v>
      </c>
      <c r="AA27" s="3213">
        <f>D27/F27</f>
        <v>1</v>
      </c>
      <c r="AB27" s="3213">
        <f>D27/H27</f>
        <v>1</v>
      </c>
      <c r="AC27" s="3213">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12"/>
      <c r="Q28" s="3211">
        <f t="shared" si="11"/>
        <v>0</v>
      </c>
      <c r="R28" s="1573" t="s">
        <v>11</v>
      </c>
      <c r="S28" s="1574">
        <f t="shared" ref="S28:S46" si="12">F28</f>
        <v>100</v>
      </c>
      <c r="T28" s="1573" t="s">
        <v>11</v>
      </c>
      <c r="U28" s="1574">
        <f t="shared" ref="U28:U46" si="13">H28</f>
        <v>100</v>
      </c>
      <c r="V28" s="1573" t="s">
        <v>11</v>
      </c>
      <c r="W28" s="1574">
        <f t="shared" ref="W28:W46" si="14">J28</f>
        <v>100</v>
      </c>
      <c r="X28" s="3210"/>
      <c r="Y28" s="3612"/>
      <c r="Z28" s="3212">
        <f t="shared" ref="Z28:Z46" si="15">Q28</f>
        <v>0</v>
      </c>
      <c r="AA28" s="3213">
        <f t="shared" si="3"/>
        <v>1</v>
      </c>
      <c r="AB28" s="3213">
        <f t="shared" si="4"/>
        <v>1</v>
      </c>
      <c r="AC28" s="3213">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12"/>
      <c r="Q29" s="3211">
        <f t="shared" si="11"/>
        <v>0</v>
      </c>
      <c r="R29" s="1573" t="s">
        <v>11</v>
      </c>
      <c r="S29" s="1574">
        <f t="shared" si="12"/>
        <v>100</v>
      </c>
      <c r="T29" s="1573" t="s">
        <v>11</v>
      </c>
      <c r="U29" s="1574">
        <f t="shared" si="13"/>
        <v>100</v>
      </c>
      <c r="V29" s="1573" t="s">
        <v>11</v>
      </c>
      <c r="W29" s="1574">
        <f t="shared" si="14"/>
        <v>100</v>
      </c>
      <c r="X29" s="3210"/>
      <c r="Y29" s="3612"/>
      <c r="Z29" s="3212">
        <f t="shared" si="15"/>
        <v>0</v>
      </c>
      <c r="AA29" s="3213">
        <f t="shared" si="3"/>
        <v>1</v>
      </c>
      <c r="AB29" s="3213">
        <f t="shared" si="4"/>
        <v>1</v>
      </c>
      <c r="AC29" s="3213">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12"/>
      <c r="Q30" s="3211">
        <f t="shared" si="11"/>
        <v>0</v>
      </c>
      <c r="R30" s="1573" t="s">
        <v>11</v>
      </c>
      <c r="S30" s="1574">
        <f t="shared" si="12"/>
        <v>100</v>
      </c>
      <c r="T30" s="1573" t="s">
        <v>11</v>
      </c>
      <c r="U30" s="1574">
        <f t="shared" si="13"/>
        <v>100</v>
      </c>
      <c r="V30" s="1573" t="s">
        <v>11</v>
      </c>
      <c r="W30" s="1574">
        <f t="shared" si="14"/>
        <v>100</v>
      </c>
      <c r="X30" s="3210"/>
      <c r="Y30" s="3612"/>
      <c r="Z30" s="3212">
        <f t="shared" si="15"/>
        <v>0</v>
      </c>
      <c r="AA30" s="3213">
        <f t="shared" si="3"/>
        <v>1</v>
      </c>
      <c r="AB30" s="3213">
        <f t="shared" si="4"/>
        <v>1</v>
      </c>
      <c r="AC30" s="3213">
        <f t="shared" si="5"/>
        <v>1</v>
      </c>
    </row>
    <row r="31" spans="1:29" ht="15" hidden="1" customHeight="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12"/>
      <c r="Q31" s="3211">
        <f t="shared" si="11"/>
        <v>0</v>
      </c>
      <c r="R31" s="1573" t="s">
        <v>11</v>
      </c>
      <c r="S31" s="1574">
        <f t="shared" si="12"/>
        <v>100</v>
      </c>
      <c r="T31" s="1573" t="s">
        <v>11</v>
      </c>
      <c r="U31" s="1574">
        <f t="shared" si="13"/>
        <v>100</v>
      </c>
      <c r="V31" s="1573" t="s">
        <v>11</v>
      </c>
      <c r="W31" s="1574">
        <f t="shared" si="14"/>
        <v>100</v>
      </c>
      <c r="X31" s="3210"/>
      <c r="Y31" s="3612"/>
      <c r="Z31" s="3212">
        <f t="shared" si="15"/>
        <v>0</v>
      </c>
      <c r="AA31" s="3213">
        <f t="shared" si="3"/>
        <v>1</v>
      </c>
      <c r="AB31" s="3213">
        <f t="shared" si="4"/>
        <v>1</v>
      </c>
      <c r="AC31" s="3213">
        <f t="shared" si="5"/>
        <v>1</v>
      </c>
    </row>
    <row r="32" spans="1:29" ht="15">
      <c r="A32" s="2932" t="s">
        <v>2754</v>
      </c>
      <c r="B32" s="172" t="s">
        <v>724</v>
      </c>
      <c r="C32" s="878" t="s">
        <v>3506</v>
      </c>
      <c r="D32" s="597">
        <v>100</v>
      </c>
      <c r="E32" s="879" t="s">
        <v>3528</v>
      </c>
      <c r="F32" s="575">
        <f>SUMIF(100:100,E32,101:101)-SUMIF(100:100,C32,101:101)+100</f>
        <v>85</v>
      </c>
      <c r="G32" s="878" t="s">
        <v>3506</v>
      </c>
      <c r="H32" s="597">
        <f>SUMIF(100:100,G32,101:101)-SUMIF(100:100,C32,101:101)+100</f>
        <v>100</v>
      </c>
      <c r="I32" s="879" t="s">
        <v>3528</v>
      </c>
      <c r="J32" s="540">
        <f>SUMIF(100:100,I32,101:101)-SUMIF(100:100,C32,101:101)+100</f>
        <v>85</v>
      </c>
      <c r="K32" s="864">
        <v>5</v>
      </c>
      <c r="L32" s="2143"/>
      <c r="M32" s="2135"/>
      <c r="N32" s="2135"/>
      <c r="O32" s="2142"/>
      <c r="P32" s="3613" t="s">
        <v>550</v>
      </c>
      <c r="Q32" s="3211" t="str">
        <f t="shared" si="11"/>
        <v>建筑类型</v>
      </c>
      <c r="R32" s="1573" t="s">
        <v>11</v>
      </c>
      <c r="S32" s="1574">
        <f t="shared" si="12"/>
        <v>85</v>
      </c>
      <c r="T32" s="1573" t="s">
        <v>11</v>
      </c>
      <c r="U32" s="1574">
        <f t="shared" si="13"/>
        <v>100</v>
      </c>
      <c r="V32" s="1573" t="s">
        <v>11</v>
      </c>
      <c r="W32" s="1574">
        <f t="shared" si="14"/>
        <v>85</v>
      </c>
      <c r="X32" s="3210"/>
      <c r="Y32" s="3614" t="s">
        <v>550</v>
      </c>
      <c r="Z32" s="3212" t="str">
        <f t="shared" si="15"/>
        <v>建筑类型</v>
      </c>
      <c r="AA32" s="3213">
        <f t="shared" si="3"/>
        <v>1.1764705882352942</v>
      </c>
      <c r="AB32" s="3213">
        <f t="shared" si="4"/>
        <v>1</v>
      </c>
      <c r="AC32" s="3213">
        <f t="shared" si="5"/>
        <v>1.1764705882352942</v>
      </c>
    </row>
    <row r="33" spans="1:29" s="1339" customFormat="1" ht="15">
      <c r="A33" s="603"/>
      <c r="B33" s="527" t="s">
        <v>725</v>
      </c>
      <c r="C33" s="533">
        <f>'数据-汇总表'!E3</f>
        <v>156303.04999999999</v>
      </c>
      <c r="D33" s="255">
        <v>100</v>
      </c>
      <c r="E33" s="534">
        <v>550000</v>
      </c>
      <c r="F33" s="863">
        <f>LOOKUP(E33,103:103,104:104)-LOOKUP(C33,103:103,104:104)+100</f>
        <v>100</v>
      </c>
      <c r="G33" s="533">
        <v>159200</v>
      </c>
      <c r="H33" s="255">
        <f>LOOKUP(G33,103:103,104:104)-LOOKUP(C33,103:103,104:104)+100</f>
        <v>100</v>
      </c>
      <c r="I33" s="534">
        <v>159200</v>
      </c>
      <c r="J33" s="255">
        <f>LOOKUP(I33,103:103,104:104)-LOOKUP(C33,103:103,104:104)+100</f>
        <v>100</v>
      </c>
      <c r="K33" s="865"/>
      <c r="L33" s="2141"/>
      <c r="M33" s="2172"/>
      <c r="N33" s="2172"/>
      <c r="O33" s="2144"/>
      <c r="P33" s="3614"/>
      <c r="Q33" s="1605" t="str">
        <f t="shared" si="11"/>
        <v>项目建筑规模</v>
      </c>
      <c r="R33" s="1577" t="s">
        <v>11</v>
      </c>
      <c r="S33" s="1578">
        <f t="shared" si="12"/>
        <v>100</v>
      </c>
      <c r="T33" s="1577" t="s">
        <v>11</v>
      </c>
      <c r="U33" s="1578">
        <f t="shared" si="13"/>
        <v>100</v>
      </c>
      <c r="V33" s="1577" t="s">
        <v>11</v>
      </c>
      <c r="W33" s="1578">
        <f t="shared" si="14"/>
        <v>100</v>
      </c>
      <c r="X33" s="1579"/>
      <c r="Y33" s="3614"/>
      <c r="Z33" s="1580" t="str">
        <f t="shared" si="15"/>
        <v>项目建筑规模</v>
      </c>
      <c r="AA33" s="3213">
        <f t="shared" si="3"/>
        <v>1</v>
      </c>
      <c r="AB33" s="3213">
        <f t="shared" si="4"/>
        <v>1</v>
      </c>
      <c r="AC33" s="3213">
        <f t="shared" si="5"/>
        <v>1</v>
      </c>
    </row>
    <row r="34" spans="1:29" ht="15">
      <c r="A34" s="594"/>
      <c r="B34" s="527" t="s">
        <v>726</v>
      </c>
      <c r="C34" s="881" t="s">
        <v>3025</v>
      </c>
      <c r="D34" s="540">
        <v>100</v>
      </c>
      <c r="E34" s="882" t="s">
        <v>3025</v>
      </c>
      <c r="F34" s="575">
        <f>SUMIF(105:105,E34,106:106)-SUMIF(105:105,C34,106:106)+100</f>
        <v>100</v>
      </c>
      <c r="G34" s="881" t="s">
        <v>3025</v>
      </c>
      <c r="H34" s="540">
        <f>SUMIF(105:105,G34,106:106)-SUMIF(105:105,C34,106:106)+100</f>
        <v>100</v>
      </c>
      <c r="I34" s="882" t="s">
        <v>3025</v>
      </c>
      <c r="J34" s="540">
        <f>SUMIF(105:105,I34,106:106)-SUMIF(105:105,C34,106:106)+100</f>
        <v>100</v>
      </c>
      <c r="K34" s="864">
        <v>2</v>
      </c>
      <c r="L34" s="2143"/>
      <c r="M34" s="2135"/>
      <c r="N34" s="2135"/>
      <c r="O34" s="2142"/>
      <c r="P34" s="3614"/>
      <c r="Q34" s="3211" t="str">
        <f t="shared" si="11"/>
        <v>建筑结构</v>
      </c>
      <c r="R34" s="1573" t="s">
        <v>11</v>
      </c>
      <c r="S34" s="1574">
        <f t="shared" si="12"/>
        <v>100</v>
      </c>
      <c r="T34" s="1573" t="s">
        <v>11</v>
      </c>
      <c r="U34" s="1574">
        <f t="shared" si="13"/>
        <v>100</v>
      </c>
      <c r="V34" s="1573" t="s">
        <v>11</v>
      </c>
      <c r="W34" s="1574">
        <f t="shared" si="14"/>
        <v>100</v>
      </c>
      <c r="X34" s="3210"/>
      <c r="Y34" s="3614"/>
      <c r="Z34" s="3212" t="str">
        <f t="shared" si="15"/>
        <v>建筑结构</v>
      </c>
      <c r="AA34" s="3213">
        <f t="shared" si="3"/>
        <v>1</v>
      </c>
      <c r="AB34" s="3213">
        <f t="shared" si="4"/>
        <v>1</v>
      </c>
      <c r="AC34" s="3213">
        <f t="shared" si="5"/>
        <v>1</v>
      </c>
    </row>
    <row r="35" spans="1:29" ht="15">
      <c r="A35" s="594"/>
      <c r="B35" s="527" t="s">
        <v>727</v>
      </c>
      <c r="C35" s="599" t="s">
        <v>3034</v>
      </c>
      <c r="D35" s="540">
        <v>100</v>
      </c>
      <c r="E35" s="874" t="s">
        <v>3034</v>
      </c>
      <c r="F35" s="575">
        <f>SUMIF(107:107,E35,108:108)-SUMIF(107:107,C35,108:108)+100</f>
        <v>100</v>
      </c>
      <c r="G35" s="599" t="s">
        <v>3034</v>
      </c>
      <c r="H35" s="540">
        <f>SUMIF(107:107,G35,108:108)-SUMIF(107:107,C35,108:108)+100</f>
        <v>100</v>
      </c>
      <c r="I35" s="874" t="s">
        <v>3034</v>
      </c>
      <c r="J35" s="540">
        <f>SUMIF(107:107,I35,108:108)-SUMIF(107:107,C35,108:108)+100</f>
        <v>100</v>
      </c>
      <c r="K35" s="864">
        <v>2</v>
      </c>
      <c r="L35" s="2143"/>
      <c r="M35" s="2135"/>
      <c r="N35" s="2135"/>
      <c r="O35" s="2142"/>
      <c r="P35" s="3614"/>
      <c r="Q35" s="3211" t="str">
        <f t="shared" si="11"/>
        <v>建筑品质</v>
      </c>
      <c r="R35" s="1573" t="s">
        <v>11</v>
      </c>
      <c r="S35" s="1574">
        <f t="shared" si="12"/>
        <v>100</v>
      </c>
      <c r="T35" s="1573" t="s">
        <v>11</v>
      </c>
      <c r="U35" s="1574">
        <f t="shared" si="13"/>
        <v>100</v>
      </c>
      <c r="V35" s="1573" t="s">
        <v>11</v>
      </c>
      <c r="W35" s="1574">
        <f t="shared" si="14"/>
        <v>100</v>
      </c>
      <c r="X35" s="3210"/>
      <c r="Y35" s="3614"/>
      <c r="Z35" s="3212" t="str">
        <f t="shared" si="15"/>
        <v>建筑品质</v>
      </c>
      <c r="AA35" s="3213">
        <f t="shared" si="3"/>
        <v>1</v>
      </c>
      <c r="AB35" s="3213">
        <f t="shared" si="4"/>
        <v>1</v>
      </c>
      <c r="AC35" s="3213">
        <f t="shared" si="5"/>
        <v>1</v>
      </c>
    </row>
    <row r="36" spans="1:29" ht="15">
      <c r="A36" s="594"/>
      <c r="B36" s="527" t="s">
        <v>728</v>
      </c>
      <c r="C36" s="599" t="s">
        <v>3036</v>
      </c>
      <c r="D36" s="540">
        <v>100</v>
      </c>
      <c r="E36" s="874" t="s">
        <v>3036</v>
      </c>
      <c r="F36" s="575">
        <f>SUMIF(109:109,E36,110:110)-SUMIF(109:109,C36,110:110)+100</f>
        <v>100</v>
      </c>
      <c r="G36" s="599" t="s">
        <v>3036</v>
      </c>
      <c r="H36" s="540">
        <f>SUMIF(109:109,G36,110:110)-SUMIF(109:109,C36,110:110)+100</f>
        <v>100</v>
      </c>
      <c r="I36" s="874" t="s">
        <v>3036</v>
      </c>
      <c r="J36" s="540">
        <f>SUMIF(109:109,I36,110:110)-SUMIF(109:109,C36,110:110)+100</f>
        <v>100</v>
      </c>
      <c r="K36" s="864">
        <v>2</v>
      </c>
      <c r="L36" s="2143"/>
      <c r="M36" s="2135"/>
      <c r="N36" s="2135"/>
      <c r="O36" s="2142"/>
      <c r="P36" s="3614"/>
      <c r="Q36" s="3211" t="str">
        <f t="shared" si="11"/>
        <v>公共部分装修</v>
      </c>
      <c r="R36" s="1573" t="s">
        <v>11</v>
      </c>
      <c r="S36" s="1574">
        <f t="shared" si="12"/>
        <v>100</v>
      </c>
      <c r="T36" s="1573" t="s">
        <v>11</v>
      </c>
      <c r="U36" s="1574">
        <f t="shared" si="13"/>
        <v>100</v>
      </c>
      <c r="V36" s="1573" t="s">
        <v>11</v>
      </c>
      <c r="W36" s="1574">
        <f t="shared" si="14"/>
        <v>100</v>
      </c>
      <c r="X36" s="3210"/>
      <c r="Y36" s="3614"/>
      <c r="Z36" s="3212" t="str">
        <f t="shared" si="15"/>
        <v>公共部分装修</v>
      </c>
      <c r="AA36" s="3213">
        <f t="shared" si="3"/>
        <v>1</v>
      </c>
      <c r="AB36" s="3213">
        <f t="shared" si="4"/>
        <v>1</v>
      </c>
      <c r="AC36" s="3213">
        <f t="shared" si="5"/>
        <v>1</v>
      </c>
    </row>
    <row r="37" spans="1:29" s="1220" customFormat="1" ht="15">
      <c r="A37" s="600"/>
      <c r="B37" s="527" t="s">
        <v>729</v>
      </c>
      <c r="C37" s="885">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614"/>
      <c r="Q37" s="3208" t="str">
        <f t="shared" si="11"/>
        <v>成新度</v>
      </c>
      <c r="R37" s="1568" t="s">
        <v>11</v>
      </c>
      <c r="S37" s="1569">
        <f t="shared" si="12"/>
        <v>100</v>
      </c>
      <c r="T37" s="1568" t="s">
        <v>11</v>
      </c>
      <c r="U37" s="1569">
        <f t="shared" si="13"/>
        <v>100</v>
      </c>
      <c r="V37" s="1568" t="s">
        <v>11</v>
      </c>
      <c r="W37" s="1569">
        <f t="shared" si="14"/>
        <v>100</v>
      </c>
      <c r="X37" s="1570"/>
      <c r="Y37" s="3614"/>
      <c r="Z37" s="3207" t="str">
        <f t="shared" si="15"/>
        <v>成新度</v>
      </c>
      <c r="AA37" s="1571">
        <f t="shared" si="3"/>
        <v>1</v>
      </c>
      <c r="AB37" s="1571">
        <f t="shared" si="4"/>
        <v>1</v>
      </c>
      <c r="AC37" s="1571">
        <f t="shared" si="5"/>
        <v>1</v>
      </c>
    </row>
    <row r="38" spans="1:29" ht="15">
      <c r="A38" s="594"/>
      <c r="B38" s="527" t="s">
        <v>730</v>
      </c>
      <c r="C38" s="599" t="s">
        <v>3038</v>
      </c>
      <c r="D38" s="540">
        <v>100</v>
      </c>
      <c r="E38" s="874" t="s">
        <v>3038</v>
      </c>
      <c r="F38" s="575">
        <f>SUMIF(114:114,E38,115:115)-SUMIF(114:114,C38,115:115)+100</f>
        <v>100</v>
      </c>
      <c r="G38" s="599" t="s">
        <v>3038</v>
      </c>
      <c r="H38" s="540">
        <f>SUMIF(114:114,G38,115:115)-SUMIF(114:114,C38,115:115)+100</f>
        <v>100</v>
      </c>
      <c r="I38" s="874" t="s">
        <v>3038</v>
      </c>
      <c r="J38" s="540">
        <f>SUMIF(114:114,I38,115:115)-SUMIF(114:114,C38,115:115)+100</f>
        <v>100</v>
      </c>
      <c r="K38" s="864">
        <v>2</v>
      </c>
      <c r="L38" s="2143"/>
      <c r="M38" s="2135"/>
      <c r="N38" s="2135"/>
      <c r="O38" s="2142"/>
      <c r="P38" s="3614" t="s">
        <v>550</v>
      </c>
      <c r="Q38" s="3211" t="str">
        <f t="shared" si="11"/>
        <v>物业管理</v>
      </c>
      <c r="R38" s="1573" t="s">
        <v>11</v>
      </c>
      <c r="S38" s="1574">
        <f t="shared" si="12"/>
        <v>100</v>
      </c>
      <c r="T38" s="1573" t="s">
        <v>11</v>
      </c>
      <c r="U38" s="1574">
        <f t="shared" si="13"/>
        <v>100</v>
      </c>
      <c r="V38" s="1573" t="s">
        <v>11</v>
      </c>
      <c r="W38" s="1574">
        <f t="shared" si="14"/>
        <v>100</v>
      </c>
      <c r="X38" s="3210"/>
      <c r="Y38" s="3614" t="s">
        <v>550</v>
      </c>
      <c r="Z38" s="3212" t="str">
        <f t="shared" si="15"/>
        <v>物业管理</v>
      </c>
      <c r="AA38" s="3213">
        <f t="shared" si="3"/>
        <v>1</v>
      </c>
      <c r="AB38" s="3213">
        <f t="shared" si="4"/>
        <v>1</v>
      </c>
      <c r="AC38" s="3213">
        <f t="shared" si="5"/>
        <v>1</v>
      </c>
    </row>
    <row r="39" spans="1:29" ht="15">
      <c r="A39" s="594"/>
      <c r="B39" s="1896" t="s">
        <v>2564</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2</v>
      </c>
      <c r="L39" s="2143"/>
      <c r="M39" s="2135"/>
      <c r="N39" s="2135"/>
      <c r="O39" s="2142"/>
      <c r="P39" s="3614"/>
      <c r="Q39" s="3211" t="str">
        <f t="shared" si="11"/>
        <v>市政基础设施</v>
      </c>
      <c r="R39" s="1573" t="s">
        <v>11</v>
      </c>
      <c r="S39" s="1574">
        <f t="shared" si="12"/>
        <v>100</v>
      </c>
      <c r="T39" s="1573" t="s">
        <v>11</v>
      </c>
      <c r="U39" s="1574">
        <f t="shared" si="13"/>
        <v>100</v>
      </c>
      <c r="V39" s="1573" t="s">
        <v>11</v>
      </c>
      <c r="W39" s="1574">
        <f t="shared" si="14"/>
        <v>100</v>
      </c>
      <c r="X39" s="3210"/>
      <c r="Y39" s="3614"/>
      <c r="Z39" s="3212" t="str">
        <f t="shared" si="15"/>
        <v>市政基础设施</v>
      </c>
      <c r="AA39" s="3213">
        <f t="shared" si="3"/>
        <v>1</v>
      </c>
      <c r="AB39" s="3213">
        <f t="shared" si="4"/>
        <v>1</v>
      </c>
      <c r="AC39" s="321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3</v>
      </c>
      <c r="L40" s="2143"/>
      <c r="M40" s="2135"/>
      <c r="N40" s="2135"/>
      <c r="O40" s="2142"/>
      <c r="P40" s="3614"/>
      <c r="Q40" s="3211" t="str">
        <f t="shared" si="11"/>
        <v>房型</v>
      </c>
      <c r="R40" s="1573" t="s">
        <v>11</v>
      </c>
      <c r="S40" s="1574">
        <f t="shared" si="12"/>
        <v>100</v>
      </c>
      <c r="T40" s="1573" t="s">
        <v>11</v>
      </c>
      <c r="U40" s="1574">
        <f t="shared" si="13"/>
        <v>100</v>
      </c>
      <c r="V40" s="1573" t="s">
        <v>11</v>
      </c>
      <c r="W40" s="1574">
        <f t="shared" si="14"/>
        <v>100</v>
      </c>
      <c r="X40" s="3210"/>
      <c r="Y40" s="3614"/>
      <c r="Z40" s="3212" t="str">
        <f t="shared" si="15"/>
        <v>房型</v>
      </c>
      <c r="AA40" s="3213">
        <f t="shared" si="3"/>
        <v>1</v>
      </c>
      <c r="AB40" s="3213">
        <f t="shared" si="4"/>
        <v>1</v>
      </c>
      <c r="AC40" s="3213">
        <f t="shared" si="5"/>
        <v>1</v>
      </c>
    </row>
    <row r="41" spans="1:29" s="1339" customFormat="1" ht="28.5">
      <c r="A41" s="603"/>
      <c r="B41" s="527" t="s">
        <v>732</v>
      </c>
      <c r="C41" s="533"/>
      <c r="D41" s="255">
        <v>100</v>
      </c>
      <c r="E41" s="534"/>
      <c r="F41" s="863">
        <f>SUMIF(120:120,E41,121:121)-SUMIF(120:120,C41,121:121)+100</f>
        <v>100</v>
      </c>
      <c r="G41" s="533"/>
      <c r="H41" s="255">
        <f>SUMIF(120:120,G41,121:121)-SUMIF(120:120,C41,121:121)+100</f>
        <v>100</v>
      </c>
      <c r="I41" s="534"/>
      <c r="J41" s="540">
        <f>SUMIF(120:120,I41,121:121)-SUMIF(120:120,C41,121:121)+100</f>
        <v>100</v>
      </c>
      <c r="K41" s="865"/>
      <c r="L41" s="2141"/>
      <c r="M41" s="2172"/>
      <c r="N41" s="2172"/>
      <c r="O41" s="2144"/>
      <c r="P41" s="3614"/>
      <c r="Q41" s="1605" t="str">
        <f t="shared" si="11"/>
        <v>单套/主力户型建筑面积</v>
      </c>
      <c r="R41" s="1577" t="s">
        <v>11</v>
      </c>
      <c r="S41" s="1578">
        <f t="shared" si="12"/>
        <v>100</v>
      </c>
      <c r="T41" s="1577" t="s">
        <v>11</v>
      </c>
      <c r="U41" s="1578">
        <f t="shared" si="13"/>
        <v>100</v>
      </c>
      <c r="V41" s="1577" t="s">
        <v>11</v>
      </c>
      <c r="W41" s="1578">
        <f t="shared" si="14"/>
        <v>100</v>
      </c>
      <c r="X41" s="1579"/>
      <c r="Y41" s="3614"/>
      <c r="Z41" s="1580" t="str">
        <f t="shared" si="15"/>
        <v>单套/主力户型建筑面积</v>
      </c>
      <c r="AA41" s="3213">
        <f t="shared" si="3"/>
        <v>1</v>
      </c>
      <c r="AB41" s="3213">
        <f t="shared" si="4"/>
        <v>1</v>
      </c>
      <c r="AC41" s="3213">
        <f t="shared" si="5"/>
        <v>1</v>
      </c>
    </row>
    <row r="42" spans="1:29" ht="15">
      <c r="A42" s="594"/>
      <c r="B42" s="527" t="s">
        <v>733</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3</v>
      </c>
      <c r="L42" s="2143"/>
      <c r="M42" s="2135"/>
      <c r="N42" s="2135"/>
      <c r="O42" s="2142"/>
      <c r="P42" s="3614"/>
      <c r="Q42" s="3211" t="str">
        <f t="shared" si="11"/>
        <v>内部装修</v>
      </c>
      <c r="R42" s="1573" t="s">
        <v>11</v>
      </c>
      <c r="S42" s="1574">
        <f t="shared" si="12"/>
        <v>100</v>
      </c>
      <c r="T42" s="1573" t="s">
        <v>11</v>
      </c>
      <c r="U42" s="1574">
        <f t="shared" si="13"/>
        <v>100</v>
      </c>
      <c r="V42" s="1573" t="s">
        <v>11</v>
      </c>
      <c r="W42" s="1574">
        <f t="shared" si="14"/>
        <v>100</v>
      </c>
      <c r="X42" s="3210"/>
      <c r="Y42" s="3614"/>
      <c r="Z42" s="3212" t="str">
        <f t="shared" si="15"/>
        <v>内部装修</v>
      </c>
      <c r="AA42" s="3213">
        <f t="shared" si="3"/>
        <v>1</v>
      </c>
      <c r="AB42" s="3213">
        <f t="shared" si="4"/>
        <v>1</v>
      </c>
      <c r="AC42" s="3213">
        <f t="shared" si="5"/>
        <v>1</v>
      </c>
    </row>
    <row r="43" spans="1:29" ht="27.75" thickBot="1">
      <c r="A43" s="594"/>
      <c r="B43" s="527" t="s">
        <v>734</v>
      </c>
      <c r="C43" s="3199" t="s">
        <v>3019</v>
      </c>
      <c r="D43" s="546">
        <v>100</v>
      </c>
      <c r="E43" s="874" t="s">
        <v>3019</v>
      </c>
      <c r="F43" s="575">
        <f>SUMIF(124:124,E43,125:125)-SUMIF(124:124,C43,125:125)+100</f>
        <v>100</v>
      </c>
      <c r="G43" s="3199" t="s">
        <v>3019</v>
      </c>
      <c r="H43" s="546">
        <f>SUMIF(124:124,G43,125:125)-SUMIF(124:124,C43,125:125)+100</f>
        <v>100</v>
      </c>
      <c r="I43" s="874" t="s">
        <v>3019</v>
      </c>
      <c r="J43" s="540">
        <f>SUMIF(124:124,I43,125:125)-SUMIF(124:124,C43,125:125)+100</f>
        <v>100</v>
      </c>
      <c r="K43" s="864">
        <v>2</v>
      </c>
      <c r="L43" s="2143"/>
      <c r="M43" s="2135"/>
      <c r="N43" s="2135"/>
      <c r="O43" s="2142"/>
      <c r="P43" s="3614"/>
      <c r="Q43" s="3211" t="str">
        <f t="shared" si="11"/>
        <v>内部装修维护情况</v>
      </c>
      <c r="R43" s="1573" t="s">
        <v>11</v>
      </c>
      <c r="S43" s="1574">
        <f t="shared" si="12"/>
        <v>100</v>
      </c>
      <c r="T43" s="1573" t="s">
        <v>11</v>
      </c>
      <c r="U43" s="1574">
        <f t="shared" si="13"/>
        <v>100</v>
      </c>
      <c r="V43" s="1573" t="s">
        <v>11</v>
      </c>
      <c r="W43" s="1574">
        <f t="shared" si="14"/>
        <v>100</v>
      </c>
      <c r="X43" s="3210"/>
      <c r="Y43" s="3614"/>
      <c r="Z43" s="3212" t="str">
        <f t="shared" si="15"/>
        <v>内部装修维护情况</v>
      </c>
      <c r="AA43" s="3213">
        <f t="shared" si="3"/>
        <v>1</v>
      </c>
      <c r="AB43" s="3213">
        <f t="shared" si="4"/>
        <v>1</v>
      </c>
      <c r="AC43" s="3213">
        <f t="shared" si="5"/>
        <v>1</v>
      </c>
    </row>
    <row r="44" spans="1:29" s="1220" customFormat="1" ht="15.75" hidden="1" thickBot="1">
      <c r="A44" s="600"/>
      <c r="B44" s="877"/>
      <c r="C44" s="3198"/>
      <c r="D44" s="875">
        <v>100</v>
      </c>
      <c r="E44" s="880"/>
      <c r="F44" s="863">
        <f>SUMIF(126:126,E44,127:127)-SUMIF(126:126,C44,127:127)+100</f>
        <v>100</v>
      </c>
      <c r="G44" s="3198"/>
      <c r="H44" s="875">
        <f>SUMIF(126:126,G44,127:127)-SUMIF(126:126,C44,127:127)+100</f>
        <v>100</v>
      </c>
      <c r="I44" s="880"/>
      <c r="J44" s="255">
        <f>SUMIF(126:126,I44,127:127)-SUMIF(126:126,C44,127:127)+100</f>
        <v>100</v>
      </c>
      <c r="K44" s="865"/>
      <c r="L44" s="2136"/>
      <c r="M44" s="2137"/>
      <c r="N44" s="2137"/>
      <c r="O44" s="2138"/>
      <c r="P44" s="3614"/>
      <c r="Q44" s="3208">
        <f t="shared" si="11"/>
        <v>0</v>
      </c>
      <c r="R44" s="1568" t="s">
        <v>11</v>
      </c>
      <c r="S44" s="1569">
        <f t="shared" si="12"/>
        <v>100</v>
      </c>
      <c r="T44" s="1568" t="s">
        <v>11</v>
      </c>
      <c r="U44" s="1569">
        <f t="shared" si="13"/>
        <v>100</v>
      </c>
      <c r="V44" s="1568" t="s">
        <v>11</v>
      </c>
      <c r="W44" s="1569">
        <f t="shared" si="14"/>
        <v>100</v>
      </c>
      <c r="X44" s="1570"/>
      <c r="Y44" s="3614"/>
      <c r="Z44" s="3207">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14"/>
      <c r="Q45" s="3211">
        <f t="shared" si="11"/>
        <v>0</v>
      </c>
      <c r="R45" s="1573" t="s">
        <v>11</v>
      </c>
      <c r="S45" s="1574">
        <f t="shared" si="12"/>
        <v>100</v>
      </c>
      <c r="T45" s="1573" t="s">
        <v>11</v>
      </c>
      <c r="U45" s="1574">
        <f t="shared" si="13"/>
        <v>100</v>
      </c>
      <c r="V45" s="1573" t="s">
        <v>11</v>
      </c>
      <c r="W45" s="1574">
        <f t="shared" si="14"/>
        <v>100</v>
      </c>
      <c r="X45" s="3210"/>
      <c r="Y45" s="3614"/>
      <c r="Z45" s="3212">
        <f t="shared" si="15"/>
        <v>0</v>
      </c>
      <c r="AA45" s="3213">
        <f t="shared" si="3"/>
        <v>1</v>
      </c>
      <c r="AB45" s="3213">
        <f t="shared" si="4"/>
        <v>1</v>
      </c>
      <c r="AC45" s="3213">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691"/>
      <c r="Q46" s="3211">
        <f t="shared" si="11"/>
        <v>0</v>
      </c>
      <c r="R46" s="1573" t="s">
        <v>10</v>
      </c>
      <c r="S46" s="1574">
        <f t="shared" si="12"/>
        <v>100</v>
      </c>
      <c r="T46" s="1573" t="s">
        <v>10</v>
      </c>
      <c r="U46" s="1574">
        <f t="shared" si="13"/>
        <v>100</v>
      </c>
      <c r="V46" s="1573" t="s">
        <v>10</v>
      </c>
      <c r="W46" s="1574">
        <f t="shared" si="14"/>
        <v>100</v>
      </c>
      <c r="X46" s="3210"/>
      <c r="Y46" s="3691"/>
      <c r="Z46" s="3212">
        <f t="shared" si="15"/>
        <v>0</v>
      </c>
      <c r="AA46" s="3213">
        <f t="shared" si="3"/>
        <v>1</v>
      </c>
      <c r="AB46" s="3213">
        <f t="shared" si="4"/>
        <v>1</v>
      </c>
      <c r="AC46" s="3213">
        <f t="shared" si="5"/>
        <v>1</v>
      </c>
    </row>
    <row r="47" spans="1:29" ht="15">
      <c r="A47" s="607" t="s">
        <v>735</v>
      </c>
      <c r="B47" s="887"/>
      <c r="C47" s="2652" t="s">
        <v>9</v>
      </c>
      <c r="D47" s="2653"/>
      <c r="E47" s="2654">
        <f>ROUND(13000*0.95,0)</f>
        <v>12350</v>
      </c>
      <c r="F47" s="2655"/>
      <c r="G47" s="2656">
        <f>ROUND(578*10000/400*0.95,0)</f>
        <v>13728</v>
      </c>
      <c r="H47" s="2657"/>
      <c r="I47" s="2654">
        <f>ROUND(310*10000/216*0.95,0)</f>
        <v>13634</v>
      </c>
      <c r="J47" s="2657"/>
      <c r="K47" s="1606"/>
      <c r="L47" s="2145"/>
      <c r="M47" s="2146"/>
      <c r="N47" s="2135"/>
      <c r="O47" s="2146"/>
      <c r="P47" s="3575" t="str">
        <f>A47</f>
        <v>成交单价（元/平方米）</v>
      </c>
      <c r="Q47" s="3575"/>
      <c r="R47" s="3690">
        <f>E47</f>
        <v>12350</v>
      </c>
      <c r="S47" s="3690"/>
      <c r="T47" s="3690">
        <f>G47</f>
        <v>13728</v>
      </c>
      <c r="U47" s="3690"/>
      <c r="V47" s="3690">
        <f>I47</f>
        <v>13634</v>
      </c>
      <c r="W47" s="3690"/>
      <c r="X47" s="1559"/>
      <c r="Y47" s="1581"/>
      <c r="Z47" s="1559"/>
      <c r="AA47" s="1559"/>
      <c r="AB47" s="1559"/>
      <c r="AC47" s="1559"/>
    </row>
    <row r="48" spans="1:29" ht="15.75" thickBot="1">
      <c r="A48" s="615" t="s">
        <v>2692</v>
      </c>
      <c r="B48" s="888"/>
      <c r="C48" s="2658">
        <f>R49</f>
        <v>16132</v>
      </c>
      <c r="D48" s="2659"/>
      <c r="E48" s="2660">
        <f>R48</f>
        <v>15767</v>
      </c>
      <c r="F48" s="2660"/>
      <c r="G48" s="2658">
        <f>T48</f>
        <v>15048</v>
      </c>
      <c r="H48" s="2659"/>
      <c r="I48" s="2660">
        <f>V48</f>
        <v>17582</v>
      </c>
      <c r="J48" s="2659"/>
      <c r="K48" s="1607"/>
      <c r="L48" s="2145"/>
      <c r="M48" s="2146"/>
      <c r="N48" s="2146"/>
      <c r="O48" s="2146"/>
      <c r="P48" s="3575" t="str">
        <f>A48</f>
        <v>比较价格（元/平方米）</v>
      </c>
      <c r="Q48" s="3575"/>
      <c r="R48" s="3690">
        <f>IF(F1="售价",ROUND(PRODUCT(R47,AA7:AA46),0),ROUND(PRODUCT(R47,AA7:AA46),1))</f>
        <v>15767</v>
      </c>
      <c r="S48" s="3690"/>
      <c r="T48" s="3690">
        <f>IF(F1="售价",ROUND(PRODUCT(T47,AB7:AB46),0),ROUND(PRODUCT(T47,AB7:AB46),1))</f>
        <v>15048</v>
      </c>
      <c r="U48" s="3690"/>
      <c r="V48" s="3690">
        <f>IF(F1="售价",ROUND(PRODUCT(V47,AC7:AC46),0),ROUND(PRODUCT(V47,AC7:AC46),1))</f>
        <v>17582</v>
      </c>
      <c r="W48" s="3690"/>
      <c r="X48" s="1559"/>
      <c r="Y48" s="1559"/>
      <c r="Z48" s="1559"/>
      <c r="AA48" s="1559"/>
      <c r="AB48" s="1559"/>
      <c r="AC48" s="1559"/>
    </row>
    <row r="49" spans="1:29" ht="15.75" thickBot="1">
      <c r="A49" s="621" t="s">
        <v>2926</v>
      </c>
      <c r="B49" s="622"/>
      <c r="C49" s="2661">
        <f>R49</f>
        <v>16132</v>
      </c>
      <c r="D49" s="2661"/>
      <c r="E49" s="2661"/>
      <c r="F49" s="2661"/>
      <c r="G49" s="2661"/>
      <c r="H49" s="2661"/>
      <c r="I49" s="2661"/>
      <c r="J49" s="2661"/>
      <c r="K49" s="1608"/>
      <c r="L49" s="2145"/>
      <c r="M49" s="2146"/>
      <c r="N49" s="2146"/>
      <c r="O49" s="2146"/>
      <c r="P49" s="3572" t="str">
        <f>A49</f>
        <v>估价对象XX用房的比较价格（楼面单价，元/平方米）</v>
      </c>
      <c r="Q49" s="3573"/>
      <c r="R49" s="3689">
        <f>IF(F1="售价",ROUND(AVERAGE(R48:V48),0),ROUND(AVERAGE(R48:V48),1))</f>
        <v>16132</v>
      </c>
      <c r="S49" s="3689"/>
      <c r="T49" s="3689"/>
      <c r="U49" s="3689"/>
      <c r="V49" s="3689"/>
      <c r="W49" s="36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0.2766801619433199</v>
      </c>
      <c r="F52" s="627" t="str">
        <f>IF(OR(E52&gt;=0.3,E52&lt;=-0.3),"超过30%","")</f>
        <v/>
      </c>
      <c r="G52" s="626">
        <f>IF(G47&lt;G48,G48/G47-1,G47/G48-1)</f>
        <v>9.6153846153846256E-2</v>
      </c>
      <c r="H52" s="627" t="str">
        <f>IF(OR(G52&gt;=0.3,G52&lt;=-0.3),"超过30%","")</f>
        <v/>
      </c>
      <c r="I52" s="626">
        <f>IF(I47&lt;I48,I48/I47-1,I47/I48-1)</f>
        <v>0.28957019216664226</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4.7780435938330701E-2</v>
      </c>
      <c r="F53" s="627" t="str">
        <f>IF(OR(E53&gt;=0.2,E53&lt;=-0.2),"超过20%","")</f>
        <v/>
      </c>
      <c r="G53" s="626">
        <f>IF(G48&lt;I48,I48/G48-1,G48/I48-1)</f>
        <v>0.16839447102604987</v>
      </c>
      <c r="H53" s="627" t="str">
        <f>IF(OR(G53&gt;=0.2,G53&lt;=-0.2),"超过20%","")</f>
        <v/>
      </c>
      <c r="I53" s="626">
        <f>IF(I48&lt;E48,E48/I48-1,I48/E48-1)</f>
        <v>0.11511384537324787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0.111578947368421</v>
      </c>
      <c r="F54" s="627" t="str">
        <f>IF(OR(E54&gt;=0.3,E54&lt;=-0.3),"超过30%","")</f>
        <v/>
      </c>
      <c r="G54" s="626">
        <f>IF(G47&lt;I47,I47/G47-1,G47/I47-1)</f>
        <v>6.8945283849199956E-3</v>
      </c>
      <c r="H54" s="627" t="str">
        <f>IF(OR(G54&gt;=0.3,G54&lt;=-0.3),"超过30%","")</f>
        <v/>
      </c>
      <c r="I54" s="626">
        <f>IF(I47&lt;E47,E47/I47-1,I47/E47-1)</f>
        <v>0.10396761133603238</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f>C59-C60</f>
        <v>99.5</v>
      </c>
      <c r="E59" s="650">
        <f t="shared" ref="E59:G59" si="17">D59-D60</f>
        <v>99.5</v>
      </c>
      <c r="F59" s="650">
        <f t="shared" si="17"/>
        <v>99.5</v>
      </c>
      <c r="G59" s="650">
        <f t="shared" si="17"/>
        <v>99.5</v>
      </c>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v>0.5</v>
      </c>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8.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29.25" thickTop="1">
      <c r="A67" s="669"/>
      <c r="B67" s="681" t="s">
        <v>538</v>
      </c>
      <c r="C67" s="682" t="str">
        <f>C68&amp;"（含）"&amp;"-"&amp;D68</f>
        <v>1（含）-2</v>
      </c>
      <c r="D67" s="682" t="str">
        <f t="shared" ref="D67:L67" si="19">D68&amp;"（含）"&amp;"-"&amp;E68</f>
        <v>2（含）-3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67"/>
      <c r="O69" s="2167"/>
      <c r="P69" s="2166"/>
      <c r="Q69" s="2159"/>
      <c r="R69" s="2146"/>
      <c r="S69" s="2146"/>
      <c r="T69" s="2146"/>
      <c r="U69" s="2146"/>
      <c r="V69" s="2146"/>
      <c r="W69" s="2146"/>
      <c r="X69" s="2146"/>
      <c r="Y69" s="2146"/>
      <c r="Z69" s="2146"/>
      <c r="AA69" s="2146"/>
      <c r="AB69" s="2146"/>
      <c r="AC69" s="2146"/>
    </row>
    <row r="70" spans="1:29" s="1339" customFormat="1" ht="16.5" hidden="1" thickTop="1" thickBot="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6.5" hidden="1" thickTop="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6.5" hidden="1" thickTop="1" thickBot="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6.5" hidden="1" thickTop="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6.5" hidden="1" thickTop="1" thickBot="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6.5" hidden="1" thickTop="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2547</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6.5" hidden="1" thickTop="1" thickBot="1">
      <c r="A86" s="709"/>
      <c r="B86" s="1897" t="s">
        <v>2258</v>
      </c>
      <c r="C86" s="3194"/>
      <c r="D86" s="3194"/>
      <c r="E86" s="3194"/>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6.5" hidden="1" thickTop="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6.5" hidden="1" thickTop="1" thickBot="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6.5" hidden="1" thickTop="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f>B27</f>
        <v>0</v>
      </c>
      <c r="C90" s="3194" t="s">
        <v>3045</v>
      </c>
      <c r="D90" s="3194" t="s">
        <v>3046</v>
      </c>
      <c r="E90" s="3194" t="s">
        <v>3047</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101</v>
      </c>
      <c r="E91" s="692">
        <v>102</v>
      </c>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6.5" hidden="1" thickTop="1" thickBot="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6.5" hidden="1" thickTop="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6.5" hidden="1" thickTop="1" thickBot="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6.5" hidden="1" thickTop="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6.5" hidden="1" thickTop="1" thickBot="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6.5" hidden="1" thickTop="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6.5" hidden="1" thickTop="1" thickBot="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6.5" hidden="1" thickTop="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551</v>
      </c>
      <c r="B100" s="665" t="s">
        <v>746</v>
      </c>
      <c r="C100" s="3193" t="s">
        <v>3525</v>
      </c>
      <c r="D100" s="3193" t="s">
        <v>3526</v>
      </c>
      <c r="E100" s="3193" t="s">
        <v>3527</v>
      </c>
      <c r="F100" s="3193" t="s">
        <v>3529</v>
      </c>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0(含)-</v>
      </c>
      <c r="D102" s="708" t="str">
        <f t="shared" ref="D102:L102" si="24">D103&amp;"(含)"&amp;"-"&amp;E103</f>
        <v>(含)-</v>
      </c>
      <c r="E102" s="708" t="str">
        <f t="shared" si="24"/>
        <v>(含)-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4" t="s">
        <v>3033</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96" t="s">
        <v>3035</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4" t="s">
        <v>3037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9" customFormat="1" ht="29.2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4" t="s">
        <v>3039</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3040</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196" t="s">
        <v>3042</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97</v>
      </c>
      <c r="E119" s="679">
        <f t="shared" si="29"/>
        <v>94</v>
      </c>
      <c r="F119" s="679">
        <f t="shared" si="29"/>
        <v>91</v>
      </c>
      <c r="G119" s="679">
        <f t="shared" si="29"/>
        <v>88</v>
      </c>
      <c r="H119" s="679">
        <f t="shared" si="29"/>
        <v>85</v>
      </c>
      <c r="I119" s="679">
        <f t="shared" si="29"/>
        <v>82</v>
      </c>
      <c r="J119" s="679">
        <f t="shared" si="29"/>
        <v>79</v>
      </c>
      <c r="K119" s="679">
        <f t="shared" si="29"/>
        <v>76</v>
      </c>
      <c r="L119" s="679">
        <f t="shared" si="29"/>
        <v>73</v>
      </c>
      <c r="M119" s="679">
        <f t="shared" si="29"/>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94" t="s">
        <v>3044</v>
      </c>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19" zoomScale="80" zoomScaleNormal="80" zoomScalePageLayoutView="80" workbookViewId="0">
      <selection activeCell="F50" sqref="F50"/>
    </sheetView>
  </sheetViews>
  <sheetFormatPr defaultColWidth="8.875" defaultRowHeight="15"/>
  <cols>
    <col min="1" max="1" width="9" style="2061" customWidth="1"/>
    <col min="2" max="2" width="20.625" style="2100" customWidth="1"/>
    <col min="3" max="3" width="11.875" style="2100" customWidth="1"/>
    <col min="4" max="4" width="40.5" style="2061" customWidth="1"/>
    <col min="5" max="5" width="15.625" style="2061" customWidth="1"/>
    <col min="6" max="6" width="10.625" style="2061" customWidth="1"/>
    <col min="7" max="7" width="4.875" style="2061" customWidth="1"/>
    <col min="8" max="8" width="8.5" style="2061" customWidth="1"/>
    <col min="9" max="9" width="21.125" style="2061" customWidth="1"/>
    <col min="10" max="10" width="12.1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625" style="2098" customWidth="1"/>
    <col min="18" max="18" width="23.5" style="2060" customWidth="1"/>
    <col min="19" max="19" width="1.5" style="2060" customWidth="1"/>
    <col min="20" max="33" width="8.875" style="2060"/>
    <col min="34" max="16384" width="8.875" style="2061"/>
  </cols>
  <sheetData>
    <row r="1" spans="1:33" s="2055" customFormat="1" ht="21">
      <c r="A1" s="832" t="s">
        <v>1725</v>
      </c>
      <c r="B1" s="738"/>
      <c r="C1" s="773" t="s">
        <v>3515</v>
      </c>
      <c r="D1" s="3156" t="s">
        <v>3069</v>
      </c>
      <c r="E1" s="2412" t="s">
        <v>2374</v>
      </c>
      <c r="F1" s="2413">
        <f ca="1">J53</f>
        <v>48.01</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2652</v>
      </c>
      <c r="C2" s="2058"/>
      <c r="D2" s="2056"/>
      <c r="E2" s="2057"/>
      <c r="F2" s="2057"/>
      <c r="G2" s="1590"/>
      <c r="H2" s="2058"/>
      <c r="I2" s="2058"/>
      <c r="J2" s="2058"/>
      <c r="K2" s="2059"/>
      <c r="L2" s="2058"/>
      <c r="M2" s="2058"/>
    </row>
    <row r="3" spans="1:33" ht="18" customHeight="1" thickBot="1">
      <c r="A3" s="833" t="s">
        <v>1727</v>
      </c>
      <c r="B3" s="834">
        <f ca="1">IF(ISERROR(B2*10000/F43),0,ROUND(B2*10000/F43,0))</f>
        <v>1596</v>
      </c>
      <c r="C3" s="2058"/>
      <c r="D3" s="2056"/>
      <c r="E3" s="2057"/>
      <c r="F3" s="2057"/>
      <c r="G3" s="1590"/>
      <c r="H3" s="776" t="s">
        <v>695</v>
      </c>
      <c r="I3" s="1363"/>
      <c r="J3" s="1363"/>
      <c r="K3" s="1591"/>
      <c r="L3" s="1363"/>
      <c r="M3" s="1363"/>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218</v>
      </c>
      <c r="D5" s="2521" t="s">
        <v>2461</v>
      </c>
      <c r="E5" s="2515"/>
      <c r="F5" s="2516"/>
      <c r="G5" s="1592"/>
      <c r="H5" s="781">
        <v>1</v>
      </c>
      <c r="I5" s="782" t="s">
        <v>2458</v>
      </c>
      <c r="J5" s="55">
        <f ca="1">J6+J10+J12</f>
        <v>0</v>
      </c>
      <c r="K5" s="2521" t="s">
        <v>2461</v>
      </c>
      <c r="L5" s="2515"/>
      <c r="M5" s="2516"/>
    </row>
    <row r="6" spans="1:33" ht="18" customHeight="1">
      <c r="A6" s="1831" t="s">
        <v>1824</v>
      </c>
      <c r="B6" s="3651" t="s">
        <v>2463</v>
      </c>
      <c r="C6" s="783">
        <f ca="1">ROUND(F6*F8*F7*(1-F9)/10000,0)</f>
        <v>218</v>
      </c>
      <c r="D6" s="2522" t="s">
        <v>2462</v>
      </c>
      <c r="E6" s="784" t="s">
        <v>1738</v>
      </c>
      <c r="F6" s="785">
        <f ca="1">INDIRECT("'数据-取费表'!u"&amp;$G$1)</f>
        <v>0.4</v>
      </c>
      <c r="G6" s="1592"/>
      <c r="H6" s="2529" t="s">
        <v>2468</v>
      </c>
      <c r="I6" s="3651" t="s">
        <v>2463</v>
      </c>
      <c r="J6" s="783">
        <f ca="1">ROUND(M6*M8*M7*(1-M9)/10000,0)</f>
        <v>0</v>
      </c>
      <c r="K6" s="341" t="s">
        <v>1737</v>
      </c>
      <c r="L6" s="784" t="s">
        <v>1738</v>
      </c>
      <c r="M6" s="785">
        <f ca="1">INDIRECT("'数据-取费表'!z"&amp;$G$1)</f>
        <v>0</v>
      </c>
    </row>
    <row r="7" spans="1:33" ht="18" customHeight="1">
      <c r="A7" s="2525"/>
      <c r="B7" s="3652"/>
      <c r="C7" s="788"/>
      <c r="D7" s="789"/>
      <c r="E7" s="784" t="s">
        <v>1739</v>
      </c>
      <c r="F7" s="785">
        <f ca="1">IF(INDIRECT("'数据-取费表'!ah"&amp;$G$1)="",INDIRECT("'数据-取费表'!k"&amp;$G$1),INDIRECT("'数据-取费表'!ah"&amp;$G$1))</f>
        <v>16614.109999999997</v>
      </c>
      <c r="G7" s="1592"/>
      <c r="H7" s="2514"/>
      <c r="I7" s="3652"/>
      <c r="J7" s="788"/>
      <c r="K7" s="789"/>
      <c r="L7" s="784" t="s">
        <v>1739</v>
      </c>
      <c r="M7" s="785">
        <f ca="1">F7</f>
        <v>16614.109999999997</v>
      </c>
    </row>
    <row r="8" spans="1:33" ht="18" customHeight="1">
      <c r="A8" s="2518"/>
      <c r="B8" s="3653"/>
      <c r="C8" s="788"/>
      <c r="D8" s="789"/>
      <c r="E8" s="784" t="s">
        <v>1740</v>
      </c>
      <c r="F8" s="785">
        <f ca="1">INDIRECT("'数据-取费表'!ai"&amp;$G$1)</f>
        <v>365</v>
      </c>
      <c r="G8" s="1592"/>
      <c r="H8" s="2514"/>
      <c r="I8" s="3653"/>
      <c r="J8" s="788"/>
      <c r="K8" s="789"/>
      <c r="L8" s="784" t="s">
        <v>1740</v>
      </c>
      <c r="M8" s="785">
        <f ca="1">INDIRECT("'数据-取费表'!ai"&amp;$G$1)</f>
        <v>365</v>
      </c>
    </row>
    <row r="9" spans="1:33" ht="18" customHeight="1">
      <c r="A9" s="786"/>
      <c r="B9" s="3654"/>
      <c r="C9" s="788"/>
      <c r="D9" s="789"/>
      <c r="E9" s="784" t="s">
        <v>1741</v>
      </c>
      <c r="F9" s="794">
        <f ca="1">INDIRECT("'数据-取费表'!w"&amp;$G$1)</f>
        <v>0.1</v>
      </c>
      <c r="G9" s="1592"/>
      <c r="H9" s="2530"/>
      <c r="I9" s="3653"/>
      <c r="J9" s="788"/>
      <c r="K9" s="789"/>
      <c r="L9" s="795" t="s">
        <v>1741</v>
      </c>
      <c r="M9" s="796">
        <f ca="1">INDIRECT("'数据-取费表'!ab"&amp;$G$1)</f>
        <v>0</v>
      </c>
    </row>
    <row r="10" spans="1:33" ht="18" customHeight="1">
      <c r="A10" s="1831" t="s">
        <v>2466</v>
      </c>
      <c r="B10" s="2519" t="s">
        <v>2459</v>
      </c>
      <c r="C10" s="799">
        <f ca="1">ROUND(IF(F10="押一",C6/12*F11,IF(F10="押二",C6/12*2*F11,IF(F10="押三",C6/12*3*F11,C11*F11))),0)</f>
        <v>0</v>
      </c>
      <c r="D10" s="2526" t="s">
        <v>2968</v>
      </c>
      <c r="E10" s="2523" t="s">
        <v>2464</v>
      </c>
      <c r="F10" s="2646"/>
      <c r="G10" s="1592"/>
      <c r="H10" s="2586" t="s">
        <v>2469</v>
      </c>
      <c r="I10" s="2591" t="s">
        <v>2459</v>
      </c>
      <c r="J10" s="783">
        <f ca="1">ROUND(IF(M10="押一",J6/12*M11,IF(M10="押二",J6/12*2*M11,IF(M10="押三",J6/12*3*M11,J11*M11))),0)</f>
        <v>0</v>
      </c>
      <c r="K10" s="2526" t="s">
        <v>2968</v>
      </c>
      <c r="L10" s="2523" t="s">
        <v>2464</v>
      </c>
      <c r="M10" s="2646"/>
    </row>
    <row r="11" spans="1:33" ht="18" customHeight="1">
      <c r="A11" s="790"/>
      <c r="B11" s="2520" t="s">
        <v>2573</v>
      </c>
      <c r="C11" s="2524"/>
      <c r="D11" s="789"/>
      <c r="E11" s="2523" t="s">
        <v>2465</v>
      </c>
      <c r="F11" s="796">
        <f ca="1">'数据-取费表'!B39</f>
        <v>1.4999999999999999E-2</v>
      </c>
      <c r="G11" s="1592"/>
      <c r="H11" s="2587"/>
      <c r="I11" s="2520" t="s">
        <v>2573</v>
      </c>
      <c r="J11" s="2524"/>
      <c r="K11" s="2588"/>
      <c r="L11" s="2523" t="s">
        <v>2465</v>
      </c>
      <c r="M11" s="2517">
        <f ca="1">'数据-取费表'!B39</f>
        <v>1.4999999999999999E-2</v>
      </c>
    </row>
    <row r="12" spans="1:33" ht="18" customHeight="1" thickBot="1">
      <c r="A12" s="2562" t="s">
        <v>2467</v>
      </c>
      <c r="B12" s="2563" t="s">
        <v>2460</v>
      </c>
      <c r="C12" s="2564"/>
      <c r="D12" s="2565"/>
      <c r="E12" s="2566"/>
      <c r="F12" s="2567"/>
      <c r="G12" s="1592"/>
      <c r="H12" s="2576" t="s">
        <v>2470</v>
      </c>
      <c r="I12" s="2589" t="s">
        <v>2460</v>
      </c>
      <c r="J12" s="2590"/>
      <c r="K12" s="2565"/>
      <c r="L12" s="2566"/>
      <c r="M12" s="2579"/>
    </row>
    <row r="13" spans="1:33" ht="18" customHeight="1" thickTop="1">
      <c r="A13" s="1830">
        <v>2</v>
      </c>
      <c r="B13" s="1828" t="s">
        <v>1742</v>
      </c>
      <c r="C13" s="792">
        <f ca="1">ROUND(C29*F13,0)</f>
        <v>5180</v>
      </c>
      <c r="D13" s="1835" t="s">
        <v>2298</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645</v>
      </c>
      <c r="C14" s="804">
        <f ca="1">INDIRECT("'数据-取费表'!m"&amp;$G$1)+INDIRECT("'数据-取费表'!t"&amp;$G$1)</f>
        <v>3903</v>
      </c>
      <c r="D14" s="1980" t="s">
        <v>1745</v>
      </c>
      <c r="E14" s="1981"/>
      <c r="F14" s="805"/>
      <c r="G14" s="1592"/>
      <c r="H14" s="1649" t="s">
        <v>1830</v>
      </c>
      <c r="I14" s="2232" t="s">
        <v>2825</v>
      </c>
      <c r="J14" s="53">
        <f ca="1">C29</f>
        <v>5180</v>
      </c>
      <c r="K14" s="26"/>
      <c r="L14" s="801"/>
      <c r="M14" s="802"/>
    </row>
    <row r="15" spans="1:33" s="2065" customFormat="1" ht="18" customHeight="1" thickBot="1">
      <c r="A15" s="1648" t="s">
        <v>1885</v>
      </c>
      <c r="B15" s="784" t="s">
        <v>647</v>
      </c>
      <c r="C15" s="53">
        <f ca="1">ROUND(C14*F15,0)</f>
        <v>117</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518</v>
      </c>
      <c r="K16" s="1822" t="s">
        <v>1750</v>
      </c>
      <c r="L16" s="2511"/>
      <c r="M16" s="2516"/>
    </row>
    <row r="17" spans="1:33" s="2065" customFormat="1" ht="18" customHeight="1">
      <c r="A17" s="1648" t="s">
        <v>1887</v>
      </c>
      <c r="B17" s="784" t="s">
        <v>653</v>
      </c>
      <c r="C17" s="53">
        <f ca="1">ROUND(F17*(F43+INDIRECT("'数据-取费表'!S"&amp;$G$1))/10000,0)</f>
        <v>357</v>
      </c>
      <c r="D17" s="784" t="s">
        <v>1751</v>
      </c>
      <c r="E17" s="784" t="s">
        <v>1752</v>
      </c>
      <c r="F17" s="56">
        <f>'数据-取费表'!B35</f>
        <v>200</v>
      </c>
      <c r="G17" s="1593"/>
      <c r="H17" s="1649" t="s">
        <v>1830</v>
      </c>
      <c r="I17" s="784" t="s">
        <v>656</v>
      </c>
      <c r="J17" s="53">
        <f ca="1">ROUND(IF(项目基本情况!B11="自然人",J5*M17,J18+J19+J20),0)</f>
        <v>440</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59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4436</v>
      </c>
      <c r="D19" s="261" t="s">
        <v>1757</v>
      </c>
      <c r="E19" s="1983"/>
      <c r="F19" s="56"/>
      <c r="G19" s="1592"/>
      <c r="H19" s="1648" t="s">
        <v>1885</v>
      </c>
      <c r="I19" s="784" t="s">
        <v>1758</v>
      </c>
      <c r="J19" s="53">
        <f ca="1">IF(K19="按租金收入计税",ROUND(J5*M19,1),ROUND(C29*F33*0.7,1))</f>
        <v>435.1</v>
      </c>
      <c r="K19" s="811" t="s">
        <v>665</v>
      </c>
      <c r="L19" s="784" t="s">
        <v>1747</v>
      </c>
      <c r="M19" s="809">
        <f>IF(K19="按租金收入计税",'数据-取费表'!B51,'数据-取费表'!B50)</f>
        <v>1.2E-2</v>
      </c>
    </row>
    <row r="20" spans="1:33" s="2065" customFormat="1" ht="18" customHeight="1">
      <c r="A20" s="1649" t="s">
        <v>1889</v>
      </c>
      <c r="B20" s="784" t="s">
        <v>666</v>
      </c>
      <c r="C20" s="53">
        <f ca="1">ROUND(C19*F20,0)</f>
        <v>89</v>
      </c>
      <c r="D20" s="812" t="s">
        <v>1759</v>
      </c>
      <c r="E20" s="784" t="s">
        <v>1747</v>
      </c>
      <c r="F20" s="809">
        <f>'数据-取费表'!B37</f>
        <v>0.02</v>
      </c>
      <c r="G20" s="1593"/>
      <c r="H20" s="1651" t="s">
        <v>1880</v>
      </c>
      <c r="I20" s="341" t="s">
        <v>1760</v>
      </c>
      <c r="J20" s="54">
        <f ca="1">ROUND(M20*M21/10000,0)</f>
        <v>5</v>
      </c>
      <c r="K20" s="814" t="s">
        <v>1761</v>
      </c>
      <c r="L20" s="784" t="s">
        <v>1762</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2299</v>
      </c>
      <c r="E21" s="784" t="s">
        <v>1765</v>
      </c>
      <c r="F21" s="809">
        <f>'数据-取费表'!B38</f>
        <v>1.4999999999999999E-2</v>
      </c>
      <c r="G21" s="1593"/>
      <c r="H21" s="2531"/>
      <c r="I21" s="793"/>
      <c r="J21" s="69"/>
      <c r="K21" s="816"/>
      <c r="L21" s="784" t="s">
        <v>1766</v>
      </c>
      <c r="M21" s="785">
        <f ca="1">INDIRECT("'数据-取费表'!r"&amp;$G$1)</f>
        <v>7694.2</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78</v>
      </c>
      <c r="K22" s="2509"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160</v>
      </c>
      <c r="D23" s="2596" t="str">
        <f>IF(F23&lt;=1,"(建造成本+管理费用)×利率×(建设周期÷2)","(建造成本+管理费用)×((1+利率)^(建设周期÷2)-1)")</f>
        <v>(建造成本+管理费用)×((1+利率)^(建设周期÷2)-1)</v>
      </c>
      <c r="E23" s="784" t="s">
        <v>1770</v>
      </c>
      <c r="F23" s="640">
        <f>'数据-取费表'!B20</f>
        <v>1.5</v>
      </c>
      <c r="G23" s="1593"/>
      <c r="H23" s="1649" t="s">
        <v>1890</v>
      </c>
      <c r="I23" s="784" t="s">
        <v>679</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销售费用×((1+利率)^(建设周期÷2)-1)</v>
      </c>
      <c r="E24" s="784" t="s">
        <v>1773</v>
      </c>
      <c r="F24" s="819">
        <f ca="1">'数据-取费表'!B40</f>
        <v>4.7500000000000001E-2</v>
      </c>
      <c r="G24" s="1593"/>
      <c r="H24" s="2576" t="s">
        <v>1891</v>
      </c>
      <c r="I24" s="2571" t="s">
        <v>666</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35" t="s">
        <v>2821</v>
      </c>
      <c r="J25" s="792">
        <f ca="1">J5-J16</f>
        <v>-518</v>
      </c>
      <c r="K25" s="2573" t="s">
        <v>1777</v>
      </c>
      <c r="L25" s="2574"/>
      <c r="M25" s="2575"/>
    </row>
    <row r="26" spans="1:33" ht="18" customHeight="1">
      <c r="A26" s="1648" t="s">
        <v>1831</v>
      </c>
      <c r="B26" s="784" t="s">
        <v>2438</v>
      </c>
      <c r="C26" s="53">
        <f ca="1">ROUND((C19+C20)*F26,0)</f>
        <v>136</v>
      </c>
      <c r="D26" s="812" t="s">
        <v>1778</v>
      </c>
      <c r="E26" s="795" t="s">
        <v>1779</v>
      </c>
      <c r="F26" s="794">
        <f ca="1">INDIRECT("'数据-取费表'!q"&amp;$G$1)</f>
        <v>0.03</v>
      </c>
      <c r="G26" s="1592"/>
      <c r="H26" s="2527" t="s">
        <v>1780</v>
      </c>
      <c r="I26" s="2233" t="s">
        <v>2826</v>
      </c>
      <c r="J26" s="783">
        <f ca="1">IF(J5&lt;&gt;0,ROUND(J25*(1-((1+M28)/(1+M26))^M27)/(M26-M28),0),0)</f>
        <v>0</v>
      </c>
      <c r="K26" s="814" t="s">
        <v>1781</v>
      </c>
      <c r="L26" s="784" t="s">
        <v>2419</v>
      </c>
      <c r="M26" s="794">
        <f ca="1">INDIRECT("'数据-取费表'!I"&amp;$G$1)</f>
        <v>0.05</v>
      </c>
    </row>
    <row r="27" spans="1:33" ht="18" customHeight="1">
      <c r="A27" s="1648" t="s">
        <v>1832</v>
      </c>
      <c r="B27" s="784" t="s">
        <v>686</v>
      </c>
      <c r="C27" s="53">
        <f ca="1">ROUND(F21*F26,4)</f>
        <v>5.0000000000000001E-4</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2300</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2301</v>
      </c>
      <c r="C29" s="2569">
        <f ca="1">ROUND((C19+C20+C23+C26)/(1-F21-C24-C27-C28),0)</f>
        <v>5180</v>
      </c>
      <c r="D29" s="2570"/>
      <c r="E29" s="2571"/>
      <c r="F29" s="2572"/>
      <c r="G29" s="1593"/>
      <c r="H29" s="823" t="s">
        <v>1787</v>
      </c>
      <c r="I29" s="824" t="s">
        <v>1788</v>
      </c>
      <c r="J29" s="825">
        <f ca="1">ROUND(J26/(1+F40)^F41,0)</f>
        <v>0</v>
      </c>
      <c r="K29" s="826" t="s">
        <v>1789</v>
      </c>
      <c r="L29" s="827"/>
      <c r="M29" s="828">
        <f ca="1">INDIRECT("'数据-取费表'!k"&amp;$G$1)</f>
        <v>16614.109999999997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130</v>
      </c>
      <c r="D30" s="1822" t="s">
        <v>1791</v>
      </c>
      <c r="E30" s="2511"/>
      <c r="F30" s="2516"/>
      <c r="G30" s="2063"/>
      <c r="H30" s="2066"/>
      <c r="I30" s="2067"/>
      <c r="J30" s="2068"/>
      <c r="K30" s="2069"/>
      <c r="L30" s="2070"/>
      <c r="M30" s="2071"/>
    </row>
    <row r="31" spans="1:33" ht="18" customHeight="1">
      <c r="A31" s="1649" t="s">
        <v>1830</v>
      </c>
      <c r="B31" s="784" t="s">
        <v>656</v>
      </c>
      <c r="C31" s="53">
        <f ca="1">ROUND(IF(项目基本情况!B11="自然人",C5*F31,C32+C33+C34),1)</f>
        <v>42.4</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11.6</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26.2</v>
      </c>
      <c r="D33" s="811" t="s">
        <v>3026</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4.5999999999999996</v>
      </c>
      <c r="D34" s="814" t="s">
        <v>1799</v>
      </c>
      <c r="E34" s="784" t="s">
        <v>1800</v>
      </c>
      <c r="F34" s="640">
        <f>'数据-取费表'!B52</f>
        <v>6</v>
      </c>
      <c r="G34" s="2063"/>
      <c r="H34" s="2066"/>
      <c r="I34" s="835" t="s">
        <v>1813</v>
      </c>
      <c r="J34" s="836"/>
      <c r="K34" s="2081"/>
      <c r="L34" s="2080"/>
      <c r="M34" s="2080"/>
    </row>
    <row r="35" spans="1:18" ht="18" customHeight="1">
      <c r="A35" s="815"/>
      <c r="B35" s="793"/>
      <c r="C35" s="69"/>
      <c r="D35" s="816"/>
      <c r="E35" s="784" t="s">
        <v>1801</v>
      </c>
      <c r="F35" s="785">
        <f ca="1">INDIRECT("'数据-取费表'!r"&amp;$G$1)</f>
        <v>7694.2</v>
      </c>
      <c r="G35" s="2063"/>
      <c r="H35" s="2066"/>
      <c r="I35" s="837" t="s">
        <v>1814</v>
      </c>
      <c r="J35" s="838">
        <f ca="1">ROUND(C13*J36,0)</f>
        <v>440</v>
      </c>
      <c r="K35" s="2079"/>
      <c r="L35" s="2078"/>
      <c r="M35" s="2078"/>
    </row>
    <row r="36" spans="1:18" ht="18" customHeight="1">
      <c r="A36" s="1649" t="s">
        <v>1889</v>
      </c>
      <c r="B36" s="784" t="s">
        <v>1802</v>
      </c>
      <c r="C36" s="53">
        <f ca="1">ROUND(C29*F36,1)</f>
        <v>77.7</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679</v>
      </c>
      <c r="C37" s="53">
        <f ca="1">ROUND(C13*F37,1)</f>
        <v>7.8</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666</v>
      </c>
      <c r="C38" s="2569">
        <f ca="1">ROUND(C5*F38,1)</f>
        <v>2.2000000000000002</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2821</v>
      </c>
      <c r="C39" s="792">
        <f ca="1">C5-C30</f>
        <v>88</v>
      </c>
      <c r="D39" s="2573" t="s">
        <v>1806</v>
      </c>
      <c r="E39" s="2574"/>
      <c r="F39" s="2575"/>
      <c r="G39" s="2063"/>
      <c r="H39" s="2078"/>
      <c r="I39" s="837" t="s">
        <v>1818</v>
      </c>
      <c r="J39" s="845">
        <f ca="1">ROUND(J35/C39,3)</f>
        <v>5</v>
      </c>
      <c r="K39" s="2084"/>
      <c r="L39" s="2078"/>
      <c r="M39" s="2078"/>
    </row>
    <row r="40" spans="1:18" ht="18" customHeight="1">
      <c r="A40" s="781" t="s">
        <v>1895</v>
      </c>
      <c r="B40" s="2233" t="s">
        <v>2302</v>
      </c>
      <c r="C40" s="783">
        <f ca="1">ROUND(C39*(1-((1+F42)/(1+F40))^F41)/(F40-F42),0)</f>
        <v>2652</v>
      </c>
      <c r="D40" s="814" t="s">
        <v>1807</v>
      </c>
      <c r="E40" s="784" t="s">
        <v>2419</v>
      </c>
      <c r="F40" s="794">
        <f ca="1">INDIRECT("'数据-取费表'!I"&amp;$G$1)</f>
        <v>0.05</v>
      </c>
      <c r="G40" s="2063"/>
      <c r="H40" s="2063"/>
      <c r="I40" s="837" t="s">
        <v>1819</v>
      </c>
      <c r="J40" s="845">
        <f ca="1">1-J39</f>
        <v>-4</v>
      </c>
      <c r="K40" s="2084"/>
      <c r="L40" s="2063"/>
      <c r="M40" s="2063"/>
    </row>
    <row r="41" spans="1:18" ht="18" customHeight="1">
      <c r="A41" s="786"/>
      <c r="B41" s="787"/>
      <c r="C41" s="788"/>
      <c r="D41" s="821" t="s">
        <v>1808</v>
      </c>
      <c r="E41" s="784" t="s">
        <v>2958</v>
      </c>
      <c r="F41" s="822">
        <f ca="1">IF(INDIRECT("'数据-取费表'!af"&amp;$G$1)=0,INDIRECT("'数据-取费表'!ae"&amp;$G$1),INDIRECT("'数据-取费表'!af"&amp;$G$1))</f>
        <v>48.01</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1.9530000000000001</v>
      </c>
      <c r="K42" s="2083"/>
      <c r="L42" s="1989"/>
      <c r="M42" s="1989"/>
    </row>
    <row r="43" spans="1:18" ht="18" customHeight="1" thickBot="1">
      <c r="A43" s="823" t="s">
        <v>1787</v>
      </c>
      <c r="B43" s="824" t="s">
        <v>1810</v>
      </c>
      <c r="C43" s="825">
        <f ca="1">ROUND(C40*10000/F43,0)</f>
        <v>1596</v>
      </c>
      <c r="D43" s="826" t="s">
        <v>1811</v>
      </c>
      <c r="E43" s="827" t="s">
        <v>1812</v>
      </c>
      <c r="F43" s="828">
        <f ca="1">INDIRECT("'数据-取费表'!k"&amp;$G$1)</f>
        <v>16614.109999999997</v>
      </c>
      <c r="G43" s="2063"/>
      <c r="H43" s="1989"/>
      <c r="I43" s="847" t="s">
        <v>1822</v>
      </c>
      <c r="J43" s="848">
        <f ca="1">1-J42</f>
        <v>-0.95300000000000007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-4279</v>
      </c>
      <c r="D46" s="2086"/>
      <c r="E46" s="2086"/>
      <c r="F46" s="2086"/>
      <c r="I46" s="2379" t="s">
        <v>2342</v>
      </c>
      <c r="J46" s="2380"/>
      <c r="K46" s="2381"/>
      <c r="L46" s="2382">
        <f>IF(OR(M47="住宅",D1="土地（套用方法）"),0,IF(L48&gt;J51,L60,J60))</f>
        <v>0</v>
      </c>
      <c r="O46" s="2419" t="s">
        <v>2410</v>
      </c>
      <c r="P46" s="1592"/>
      <c r="Q46" s="1604"/>
      <c r="R46" s="1592"/>
    </row>
    <row r="47" spans="1:18" s="2060" customFormat="1" ht="18" customHeight="1" thickBot="1">
      <c r="A47" s="2373">
        <v>1</v>
      </c>
      <c r="B47" s="2374" t="s">
        <v>635</v>
      </c>
      <c r="C47" s="2599">
        <f ca="1">C48+C52+C54</f>
        <v>0</v>
      </c>
      <c r="D47" s="2086"/>
      <c r="E47" s="2086"/>
      <c r="F47" s="2086"/>
      <c r="I47" s="2383" t="s">
        <v>2343</v>
      </c>
      <c r="J47" s="2388" t="s">
        <v>3025</v>
      </c>
      <c r="K47" s="2389" t="s">
        <v>2349</v>
      </c>
      <c r="L47" s="2390">
        <f ca="1">INDIRECT("'数据-取费表'!d"&amp;$G$1)</f>
        <v>50</v>
      </c>
      <c r="M47" s="1604" t="str">
        <f>IF(ISNUMBER(FIND("住宅",C1)),"住宅","非住宅")</f>
        <v>非住宅</v>
      </c>
      <c r="O47" s="2420" t="s">
        <v>2375</v>
      </c>
      <c r="P47" s="2421" t="s">
        <v>2376</v>
      </c>
      <c r="Q47" s="2422" t="s">
        <v>2377</v>
      </c>
      <c r="R47" s="2421" t="s">
        <v>2378</v>
      </c>
    </row>
    <row r="48" spans="1:18" s="2060" customFormat="1" ht="18" customHeight="1" thickBot="1">
      <c r="A48" s="2667" t="s">
        <v>2537</v>
      </c>
      <c r="B48" s="2668" t="s">
        <v>2538</v>
      </c>
      <c r="C48" s="2375">
        <f ca="1">ROUND(F48*F50*F49*(1-F51)/10000,0)</f>
        <v>0</v>
      </c>
      <c r="D48" s="2376" t="s">
        <v>636</v>
      </c>
      <c r="E48" s="2377" t="s">
        <v>2297</v>
      </c>
      <c r="F48" s="2378"/>
      <c r="G48" s="2091"/>
      <c r="I48" s="2384" t="s">
        <v>2344</v>
      </c>
      <c r="J48" s="2391" t="s">
        <v>2350</v>
      </c>
      <c r="K48" s="2392" t="s">
        <v>2351</v>
      </c>
      <c r="L48" s="2393">
        <f ca="1">INDIRECT("'数据-取费表'!f"&amp;$G$1)</f>
        <v>49.51</v>
      </c>
      <c r="O48" s="2423" t="s">
        <v>2379</v>
      </c>
      <c r="P48" s="2424" t="s">
        <v>2405</v>
      </c>
      <c r="Q48" s="2425">
        <f ca="1">C40+J29</f>
        <v>2652</v>
      </c>
      <c r="R48" s="2424" t="s">
        <v>2380</v>
      </c>
    </row>
    <row r="49" spans="1:18" s="2060" customFormat="1" ht="18" customHeight="1" thickBot="1">
      <c r="A49" s="786"/>
      <c r="B49" s="787"/>
      <c r="C49" s="788"/>
      <c r="D49" s="789"/>
      <c r="E49" s="784" t="s">
        <v>1739</v>
      </c>
      <c r="F49" s="785">
        <f ca="1">F7</f>
        <v>16614.109999999997</v>
      </c>
      <c r="G49" s="2091"/>
      <c r="H49" s="2094"/>
      <c r="I49" s="2384" t="s">
        <v>2345</v>
      </c>
      <c r="J49" s="2394"/>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1740</v>
      </c>
      <c r="F50" s="785">
        <f ca="1">F8</f>
        <v>365</v>
      </c>
      <c r="G50" s="2096"/>
      <c r="H50" s="2094"/>
      <c r="I50" s="2384" t="s">
        <v>2346</v>
      </c>
      <c r="J50" s="2397">
        <f>SUMPRODUCT((I63:I65=J47)*(J62:L62=J48)*(J63:L65))</f>
        <v>60</v>
      </c>
      <c r="K50" s="2395" t="s">
        <v>2353</v>
      </c>
      <c r="L50" s="2396"/>
      <c r="O50" s="2426" t="s">
        <v>2383</v>
      </c>
      <c r="P50" s="2424" t="s">
        <v>2407</v>
      </c>
      <c r="Q50" s="2425">
        <f ca="1">C29</f>
        <v>5180</v>
      </c>
      <c r="R50" s="2424" t="s">
        <v>2380</v>
      </c>
    </row>
    <row r="51" spans="1:18" s="2060" customFormat="1" ht="18" customHeight="1" thickBot="1">
      <c r="A51" s="786"/>
      <c r="B51" s="787"/>
      <c r="C51" s="788"/>
      <c r="D51" s="789"/>
      <c r="E51" s="784" t="s">
        <v>640</v>
      </c>
      <c r="F51" s="2372"/>
      <c r="H51" s="2094"/>
      <c r="I51" s="2385" t="s">
        <v>2347</v>
      </c>
      <c r="J51" s="2398">
        <f>IF(J49="",J50,J49+J50-YEAR('数据-取费表'!B2))</f>
        <v>60</v>
      </c>
      <c r="K51" s="2384" t="s">
        <v>2354</v>
      </c>
      <c r="L51" s="2399">
        <f ca="1">ROUND(-PV(INDIRECT("'数据-取费表'!h"&amp;$G$1),L48,(C39-C13*J36),0),0)</f>
        <v>-6943</v>
      </c>
      <c r="O51" s="2426" t="s">
        <v>2384</v>
      </c>
      <c r="P51" s="2424" t="s">
        <v>2385</v>
      </c>
      <c r="Q51" s="2427" t="e">
        <f ca="1">J58</f>
        <v>#VALUE!</v>
      </c>
      <c r="R51" s="2428"/>
    </row>
    <row r="52" spans="1:18" s="2060" customFormat="1" ht="18" customHeight="1" thickBot="1">
      <c r="A52" s="781" t="s">
        <v>2536</v>
      </c>
      <c r="B52" s="2519" t="s">
        <v>2459</v>
      </c>
      <c r="C52" s="799">
        <f ca="1">ROUND(IF(F52="押一",C48/12*F11,IF(F52="押二",C48/12*2*F11,IF(F52="押三",C48/12*3*F11,C53*F11))),0)</f>
        <v>0</v>
      </c>
      <c r="D52" s="2526" t="s">
        <v>2969</v>
      </c>
      <c r="E52" s="2523" t="s">
        <v>2464</v>
      </c>
      <c r="F52" s="2646"/>
      <c r="I52" s="2386" t="s">
        <v>2421</v>
      </c>
      <c r="J52" s="2400"/>
      <c r="K52" s="2386" t="s">
        <v>2420</v>
      </c>
      <c r="L52" s="2400"/>
      <c r="O52" s="2426" t="s">
        <v>2386</v>
      </c>
      <c r="P52" s="2424" t="s">
        <v>2387</v>
      </c>
      <c r="Q52" s="2427">
        <f>J52</f>
        <v>0</v>
      </c>
      <c r="R52" s="2428"/>
    </row>
    <row r="53" spans="1:18" s="2060" customFormat="1" ht="39.75" customHeight="1" thickBot="1">
      <c r="A53" s="786"/>
      <c r="B53" s="2520" t="s">
        <v>2573</v>
      </c>
      <c r="C53" s="2524"/>
      <c r="D53" s="2526"/>
      <c r="E53" s="2523"/>
      <c r="F53" s="800"/>
      <c r="I53" s="2387" t="s">
        <v>2348</v>
      </c>
      <c r="J53" s="2401">
        <f ca="1">IF(M47="住宅",J51,IF(D1="——",MIN(J51,L48),IF(D1="土地（套用方法）",MIN(J51,L48-'数据-取费表'!B20))))</f>
        <v>48.01</v>
      </c>
      <c r="K53" s="3706" t="s">
        <v>2960</v>
      </c>
      <c r="L53" s="3707"/>
      <c r="O53" s="2426" t="s">
        <v>2388</v>
      </c>
      <c r="P53" s="2424" t="s">
        <v>2389</v>
      </c>
      <c r="Q53" s="2425">
        <f ca="1">J53</f>
        <v>48.01</v>
      </c>
      <c r="R53" s="2424" t="s">
        <v>2390</v>
      </c>
    </row>
    <row r="54" spans="1:18" s="2060" customFormat="1" ht="18" customHeight="1" thickBot="1">
      <c r="A54" s="2562" t="s">
        <v>2467</v>
      </c>
      <c r="B54" s="2563" t="s">
        <v>2460</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2652</v>
      </c>
      <c r="R54" s="2428" t="s">
        <v>2392</v>
      </c>
    </row>
    <row r="55" spans="1:18" s="2060" customFormat="1" ht="18" customHeight="1" thickTop="1" thickBot="1">
      <c r="A55" s="797">
        <v>2</v>
      </c>
      <c r="B55" s="798" t="s">
        <v>644</v>
      </c>
      <c r="C55" s="799">
        <f ca="1">C13</f>
        <v>5180</v>
      </c>
      <c r="D55" s="795"/>
      <c r="E55" s="795"/>
      <c r="F55" s="800"/>
      <c r="I55" s="3127" t="s">
        <v>2355</v>
      </c>
      <c r="J55" s="3126" t="e">
        <f ca="1">ROUND(IF(J47="钢混",J57/J50,1-(1-2%)*(J50-J57)/J50),3)</f>
        <v>#VALUE!</v>
      </c>
      <c r="K55" s="2402" t="s">
        <v>2356</v>
      </c>
      <c r="L55" s="2403"/>
      <c r="O55" s="2429" t="s">
        <v>2411</v>
      </c>
      <c r="P55" s="1592"/>
      <c r="Q55" s="1604"/>
      <c r="R55" s="1592"/>
    </row>
    <row r="56" spans="1:18" s="2060" customFormat="1" ht="42.75" customHeight="1" thickBot="1">
      <c r="A56" s="1650"/>
      <c r="B56" s="2232" t="s">
        <v>2303</v>
      </c>
      <c r="C56" s="53">
        <f ca="1">C29</f>
        <v>5180</v>
      </c>
      <c r="D56" s="2664"/>
      <c r="E56" s="784"/>
      <c r="F56" s="809"/>
      <c r="I56" s="2404" t="s">
        <v>2357</v>
      </c>
      <c r="J56" s="3150" t="s">
        <v>1678</v>
      </c>
      <c r="K56" s="2384" t="s">
        <v>2362</v>
      </c>
      <c r="L56" s="2393" t="str">
        <f ca="1">IF(L48&lt;J51,"——",L48-J51)</f>
        <v>——</v>
      </c>
      <c r="O56" s="2420" t="s">
        <v>2375</v>
      </c>
      <c r="P56" s="2421" t="s">
        <v>2376</v>
      </c>
      <c r="Q56" s="2422" t="s">
        <v>2377</v>
      </c>
      <c r="R56" s="2421" t="s">
        <v>2378</v>
      </c>
    </row>
    <row r="57" spans="1:18" s="2060" customFormat="1" ht="28.5" customHeight="1" thickBot="1">
      <c r="A57" s="797" t="s">
        <v>1748</v>
      </c>
      <c r="B57" s="798" t="s">
        <v>651</v>
      </c>
      <c r="C57" s="799">
        <f ca="1">ROUND(C58+C63+C64+C65,0)</f>
        <v>90</v>
      </c>
      <c r="D57" s="26" t="s">
        <v>1750</v>
      </c>
      <c r="E57" s="2665"/>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2652</v>
      </c>
      <c r="R57" s="2424" t="s">
        <v>2380</v>
      </c>
    </row>
    <row r="58" spans="1:18" s="2060" customFormat="1" ht="28.5" customHeight="1" thickBot="1">
      <c r="A58" s="1649" t="s">
        <v>1824</v>
      </c>
      <c r="B58" s="784" t="s">
        <v>656</v>
      </c>
      <c r="C58" s="53">
        <f ca="1">ROUND(IF(项目基本情况!B11="自然人",C47*F58,C59+C60+C61),1)</f>
        <v>4.5999999999999996</v>
      </c>
      <c r="D58" s="2663" t="s">
        <v>657</v>
      </c>
      <c r="E58" s="2664" t="s">
        <v>690</v>
      </c>
      <c r="F58" s="810" t="str">
        <f ca="1">IF(项目基本情况!B11="企业","",IF(INDIRECT("'数据-取费表'!c"&amp;$G$1)="住宅",5%,IF(F48*F49*F50/12/(1+'数据-取费表'!C42)&gt;20000,12%,7%)))</f>
        <v/>
      </c>
      <c r="I58" s="2405" t="s">
        <v>2359</v>
      </c>
      <c r="J58" s="3128"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8" t="s">
        <v>1831</v>
      </c>
      <c r="B59" s="784" t="s">
        <v>660</v>
      </c>
      <c r="C59" s="53">
        <f ca="1">ROUND(C47*F59/1.05,1)</f>
        <v>0</v>
      </c>
      <c r="D59" s="2664" t="s">
        <v>1756</v>
      </c>
      <c r="E59" s="784" t="s">
        <v>1747</v>
      </c>
      <c r="F59" s="809">
        <f t="shared" ref="F59:F65" si="0">F32</f>
        <v>5.6000000000000001E-2</v>
      </c>
      <c r="I59" s="2405" t="s">
        <v>2360</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1" t="s">
        <v>1833</v>
      </c>
      <c r="B61" s="341" t="s">
        <v>668</v>
      </c>
      <c r="C61" s="54">
        <f ca="1">ROUND(F61*F62/10000,1)</f>
        <v>4.5999999999999996</v>
      </c>
      <c r="D61" s="814" t="s">
        <v>669</v>
      </c>
      <c r="E61" s="784" t="s">
        <v>670</v>
      </c>
      <c r="F61" s="640">
        <f t="shared" si="0"/>
        <v>6</v>
      </c>
      <c r="K61" s="2087"/>
      <c r="O61" s="2426" t="s">
        <v>2386</v>
      </c>
      <c r="P61" s="2424" t="s">
        <v>2394</v>
      </c>
      <c r="Q61" s="2425" t="e">
        <f ca="1">L58</f>
        <v>#DIV/0!</v>
      </c>
      <c r="R61" s="2428" t="s">
        <v>2395</v>
      </c>
    </row>
    <row r="62" spans="1:18" s="2060" customFormat="1" ht="15.75" thickBot="1">
      <c r="A62" s="815"/>
      <c r="B62" s="793"/>
      <c r="C62" s="69"/>
      <c r="D62" s="816"/>
      <c r="E62" s="784" t="s">
        <v>674</v>
      </c>
      <c r="F62" s="785">
        <f t="shared" ca="1" si="0"/>
        <v>7694.2</v>
      </c>
      <c r="I62" s="2410" t="s">
        <v>2367</v>
      </c>
      <c r="J62" s="2411" t="s">
        <v>2368</v>
      </c>
      <c r="K62" s="2411" t="s">
        <v>2369</v>
      </c>
      <c r="L62" s="2411" t="s">
        <v>2350</v>
      </c>
      <c r="M62" s="3129" t="s">
        <v>2935</v>
      </c>
      <c r="O62" s="2426" t="s">
        <v>2388</v>
      </c>
      <c r="P62" s="2424" t="str">
        <f>K59</f>
        <v>建设期及建筑物耐用年限下的土地年期修正系数Kn</v>
      </c>
      <c r="Q62" s="2425" t="e">
        <f ca="1">L59</f>
        <v>#DIV/0!</v>
      </c>
      <c r="R62" s="2428" t="s">
        <v>2397</v>
      </c>
    </row>
    <row r="63" spans="1:18" s="2060" customFormat="1" ht="15.75" thickBot="1">
      <c r="A63" s="1649" t="s">
        <v>1889</v>
      </c>
      <c r="B63" s="784" t="s">
        <v>676</v>
      </c>
      <c r="C63" s="53">
        <f ca="1">ROUND(C56*F63,1)</f>
        <v>77.7</v>
      </c>
      <c r="D63" s="2664" t="s">
        <v>1803</v>
      </c>
      <c r="E63" s="784" t="s">
        <v>1747</v>
      </c>
      <c r="F63" s="817">
        <f t="shared" ca="1" si="0"/>
        <v>1.4999999999999999E-2</v>
      </c>
      <c r="I63" s="2410" t="s">
        <v>2370</v>
      </c>
      <c r="J63" s="2411">
        <v>70</v>
      </c>
      <c r="K63" s="2411">
        <v>50</v>
      </c>
      <c r="L63" s="2411">
        <v>80</v>
      </c>
      <c r="M63" s="3130">
        <v>0.02</v>
      </c>
      <c r="O63" s="2423" t="s">
        <v>2391</v>
      </c>
      <c r="P63" s="2424" t="s">
        <v>2408</v>
      </c>
      <c r="Q63" s="2425">
        <f ca="1">Q57+Q58</f>
        <v>2652</v>
      </c>
      <c r="R63" s="2428" t="s">
        <v>2392</v>
      </c>
    </row>
    <row r="64" spans="1:18" s="2060" customFormat="1" ht="16.5" thickBot="1">
      <c r="A64" s="1649" t="s">
        <v>1890</v>
      </c>
      <c r="B64" s="784" t="s">
        <v>679</v>
      </c>
      <c r="C64" s="53">
        <f ca="1">ROUND(C55*F64,1)</f>
        <v>7.8</v>
      </c>
      <c r="D64" s="2664" t="s">
        <v>680</v>
      </c>
      <c r="E64" s="784" t="s">
        <v>1747</v>
      </c>
      <c r="F64" s="818">
        <f t="shared" ca="1" si="0"/>
        <v>1.5E-3</v>
      </c>
      <c r="I64" s="2410" t="s">
        <v>2371</v>
      </c>
      <c r="J64" s="2411">
        <v>50</v>
      </c>
      <c r="K64" s="2411">
        <v>35</v>
      </c>
      <c r="L64" s="2411">
        <v>60</v>
      </c>
      <c r="M64" s="3131">
        <v>0</v>
      </c>
      <c r="O64" s="2429" t="s">
        <v>2415</v>
      </c>
      <c r="P64" s="1592"/>
      <c r="Q64" s="1604"/>
      <c r="R64" s="1592"/>
    </row>
    <row r="65" spans="1:18" s="2060" customFormat="1" ht="15.75" thickBot="1">
      <c r="A65" s="1649" t="s">
        <v>1891</v>
      </c>
      <c r="B65" s="784" t="s">
        <v>666</v>
      </c>
      <c r="C65" s="53">
        <f ca="1">ROUND(C47*F65,1)</f>
        <v>0</v>
      </c>
      <c r="D65" s="2664" t="s">
        <v>683</v>
      </c>
      <c r="E65" s="784" t="s">
        <v>1747</v>
      </c>
      <c r="F65" s="794">
        <f t="shared" ca="1" si="0"/>
        <v>0.01</v>
      </c>
      <c r="I65" s="2410" t="s">
        <v>2372</v>
      </c>
      <c r="J65" s="2411">
        <v>40</v>
      </c>
      <c r="K65" s="2411">
        <v>30</v>
      </c>
      <c r="L65" s="2411">
        <v>50</v>
      </c>
      <c r="M65" s="3130">
        <v>0.02</v>
      </c>
      <c r="O65" s="2420" t="s">
        <v>2375</v>
      </c>
      <c r="P65" s="2421" t="s">
        <v>2376</v>
      </c>
      <c r="Q65" s="2422" t="s">
        <v>2377</v>
      </c>
      <c r="R65" s="2421" t="s">
        <v>2378</v>
      </c>
    </row>
    <row r="66" spans="1:18" s="2060" customFormat="1" ht="24.75" thickBot="1">
      <c r="A66" s="797" t="s">
        <v>1776</v>
      </c>
      <c r="B66" s="3036" t="s">
        <v>2821</v>
      </c>
      <c r="C66" s="799">
        <f ca="1">C47-C57</f>
        <v>-90</v>
      </c>
      <c r="D66" s="2663" t="s">
        <v>700</v>
      </c>
      <c r="E66" s="2662"/>
      <c r="F66" s="820"/>
      <c r="K66" s="2087"/>
      <c r="O66" s="2423" t="s">
        <v>2379</v>
      </c>
      <c r="P66" s="2424" t="s">
        <v>2409</v>
      </c>
      <c r="Q66" s="2425">
        <f ca="1">C40+J29</f>
        <v>2652</v>
      </c>
      <c r="R66" s="2424" t="s">
        <v>2380</v>
      </c>
    </row>
    <row r="67" spans="1:18" s="2060" customFormat="1" ht="20.25" thickBot="1">
      <c r="A67" s="781" t="s">
        <v>1780</v>
      </c>
      <c r="B67" s="2233" t="s">
        <v>2302</v>
      </c>
      <c r="C67" s="783">
        <f ca="1">ROUND(C66*(1-((1+F69)/(1+F67))^F68)/(F67-F69),0)</f>
        <v>-1627</v>
      </c>
      <c r="D67" s="814" t="s">
        <v>704</v>
      </c>
      <c r="E67" s="784" t="s">
        <v>705</v>
      </c>
      <c r="F67" s="794">
        <f ca="1">F40</f>
        <v>0.05</v>
      </c>
      <c r="K67" s="2087"/>
      <c r="O67" s="2423" t="s">
        <v>2381</v>
      </c>
      <c r="P67" s="2424" t="s">
        <v>2412</v>
      </c>
      <c r="Q67" s="2425">
        <f ca="1">L60</f>
        <v>0</v>
      </c>
      <c r="R67" s="2428" t="s">
        <v>2414</v>
      </c>
    </row>
    <row r="68" spans="1:18" ht="21.75" thickBot="1">
      <c r="A68" s="786"/>
      <c r="B68" s="787"/>
      <c r="C68" s="788"/>
      <c r="D68" s="821" t="s">
        <v>1808</v>
      </c>
      <c r="E68" s="784" t="s">
        <v>1784</v>
      </c>
      <c r="F68" s="822">
        <f ca="1">F41</f>
        <v>48.01</v>
      </c>
      <c r="O68" s="2426" t="s">
        <v>2383</v>
      </c>
      <c r="P68" s="2424" t="s">
        <v>2413</v>
      </c>
      <c r="Q68" s="2430">
        <f ca="1">L51</f>
        <v>-6943</v>
      </c>
      <c r="R68" s="2431" t="s">
        <v>2416</v>
      </c>
    </row>
    <row r="69" spans="1:18" ht="20.25" thickBot="1">
      <c r="A69" s="790"/>
      <c r="B69" s="791"/>
      <c r="C69" s="792"/>
      <c r="D69" s="816"/>
      <c r="E69" s="784" t="s">
        <v>710</v>
      </c>
      <c r="F69" s="2372"/>
      <c r="O69" s="2426" t="s">
        <v>2384</v>
      </c>
      <c r="P69" s="2432" t="s">
        <v>2398</v>
      </c>
      <c r="Q69" s="2425">
        <f ca="1">ROUND(Q70-Q71*Q72,0)</f>
        <v>-352</v>
      </c>
      <c r="R69" s="2428"/>
    </row>
    <row r="70" spans="1:18" ht="15.75" thickBot="1">
      <c r="A70" s="823" t="s">
        <v>1787</v>
      </c>
      <c r="B70" s="824" t="s">
        <v>1810</v>
      </c>
      <c r="C70" s="825">
        <f ca="1">ROUND(C67*10000/F70,0)</f>
        <v>-979</v>
      </c>
      <c r="D70" s="826" t="s">
        <v>1811</v>
      </c>
      <c r="E70" s="827" t="s">
        <v>1812</v>
      </c>
      <c r="F70" s="828">
        <f ca="1">F43</f>
        <v>16614.109999999997</v>
      </c>
      <c r="O70" s="2426" t="s">
        <v>2399</v>
      </c>
      <c r="P70" s="2432" t="s">
        <v>2400</v>
      </c>
      <c r="Q70" s="2425">
        <f ca="1">C39</f>
        <v>88</v>
      </c>
      <c r="R70" s="2424" t="s">
        <v>2380</v>
      </c>
    </row>
    <row r="71" spans="1:18" ht="15.75" thickBot="1">
      <c r="O71" s="2426" t="s">
        <v>2401</v>
      </c>
      <c r="P71" s="2432" t="s">
        <v>2402</v>
      </c>
      <c r="Q71" s="2425">
        <f ca="1">C13</f>
        <v>5180</v>
      </c>
      <c r="R71" s="2424" t="s">
        <v>2380</v>
      </c>
    </row>
    <row r="72" spans="1:18" ht="15.75" thickBot="1">
      <c r="O72" s="2426" t="s">
        <v>2403</v>
      </c>
      <c r="P72" s="2432" t="s">
        <v>2404</v>
      </c>
      <c r="Q72" s="2427">
        <f ca="1">J36</f>
        <v>8.5000000000000006E-2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2652</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3" sqref="E23"/>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346" t="s">
        <v>2039</v>
      </c>
      <c r="B1" s="3346"/>
      <c r="C1" s="3346"/>
      <c r="D1" s="3346"/>
      <c r="E1" s="3346"/>
      <c r="F1" s="3346"/>
      <c r="G1" s="3346"/>
      <c r="H1" s="3346"/>
      <c r="I1" s="3346"/>
      <c r="J1" s="3346"/>
      <c r="K1" s="3346"/>
      <c r="L1" s="3346"/>
      <c r="M1" s="3346"/>
      <c r="N1" s="3346"/>
      <c r="O1" s="3346"/>
      <c r="P1" s="3346"/>
      <c r="Q1" s="3346"/>
      <c r="R1" s="3346"/>
    </row>
    <row r="2" spans="1:18">
      <c r="A2" s="1808" t="s">
        <v>2041</v>
      </c>
      <c r="B2" s="1808"/>
      <c r="C2" s="1808"/>
      <c r="D2" s="1808"/>
      <c r="E2" s="1808"/>
      <c r="F2" s="1808"/>
      <c r="G2" s="1808"/>
      <c r="H2" s="1808"/>
      <c r="I2" s="1809"/>
      <c r="J2" s="1809"/>
      <c r="K2" s="1810" t="str">
        <f>"估价期日："&amp;TEXT(项目基本情况!D3,"yyyy年m月d日;;")</f>
        <v>估价期日：2018年5月16日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347" t="s">
        <v>2030</v>
      </c>
      <c r="B3" s="3347" t="s">
        <v>2730</v>
      </c>
      <c r="C3" s="3348" t="s">
        <v>2031</v>
      </c>
      <c r="D3" s="3347" t="s">
        <v>2734</v>
      </c>
      <c r="E3" s="3350" t="s">
        <v>2032</v>
      </c>
      <c r="F3" s="3350"/>
      <c r="G3" s="3350"/>
      <c r="H3" s="3350" t="s">
        <v>2033</v>
      </c>
      <c r="I3" s="3350"/>
      <c r="J3" s="3350"/>
      <c r="K3" s="3348" t="s">
        <v>2034</v>
      </c>
      <c r="L3" s="3348" t="s">
        <v>2035</v>
      </c>
      <c r="M3" s="3347" t="s">
        <v>2731</v>
      </c>
      <c r="N3" s="3349" t="str">
        <f>"（分摊）"&amp;项目基本情况!B16&amp;"国有建设用地使用权面积/㎡"</f>
        <v>（分摊）出让国有建设用地使用权面积/㎡</v>
      </c>
      <c r="O3" s="3347" t="s">
        <v>2064</v>
      </c>
      <c r="P3" s="3348" t="s">
        <v>2044</v>
      </c>
      <c r="Q3" s="3348" t="s">
        <v>2065</v>
      </c>
      <c r="R3" s="3348" t="s">
        <v>2036</v>
      </c>
    </row>
    <row r="4" spans="1:18" ht="36.75" customHeight="1">
      <c r="A4" s="3347"/>
      <c r="B4" s="3347"/>
      <c r="C4" s="3348"/>
      <c r="D4" s="3347"/>
      <c r="E4" s="2674" t="s">
        <v>2043</v>
      </c>
      <c r="F4" s="2674" t="s">
        <v>2743</v>
      </c>
      <c r="G4" s="2674" t="s">
        <v>2037</v>
      </c>
      <c r="H4" s="2674" t="s">
        <v>2038</v>
      </c>
      <c r="I4" s="2674" t="s">
        <v>2744</v>
      </c>
      <c r="J4" s="2674" t="s">
        <v>2037</v>
      </c>
      <c r="K4" s="3348"/>
      <c r="L4" s="3348"/>
      <c r="M4" s="3347"/>
      <c r="N4" s="3349"/>
      <c r="O4" s="3347"/>
      <c r="P4" s="3348"/>
      <c r="Q4" s="3348"/>
      <c r="R4" s="3348"/>
    </row>
    <row r="5" spans="1:18" ht="135" customHeight="1">
      <c r="A5" s="1944" t="s">
        <v>2654</v>
      </c>
      <c r="B5" s="2892" t="s">
        <v>2652</v>
      </c>
      <c r="C5" s="2673">
        <v>22</v>
      </c>
      <c r="D5" s="2672" t="s">
        <v>2653</v>
      </c>
      <c r="E5" s="1811" t="str">
        <f>项目基本情况!B12</f>
        <v>城镇住宅用地，其他商服用地</v>
      </c>
      <c r="F5" s="2672">
        <v>258</v>
      </c>
      <c r="G5" s="1811" t="str">
        <f>项目基本情况!B13</f>
        <v>住宅、商业</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67358.31</v>
      </c>
      <c r="O5" s="1811">
        <f>项目基本情况!C21</f>
        <v>156303.04999999999</v>
      </c>
      <c r="P5" s="1811">
        <f ca="1">结果表!E42</f>
        <v>6028</v>
      </c>
      <c r="Q5" s="1811">
        <f ca="1">结果表!D42</f>
        <v>2598</v>
      </c>
      <c r="R5" s="1812">
        <f ca="1">结果表!C42</f>
        <v>40606</v>
      </c>
    </row>
    <row r="6" spans="1:18">
      <c r="A6" s="3343" t="str">
        <f>IF(项目基本情况!B9="市场价格","——","抵押价格")</f>
        <v>抵押价格</v>
      </c>
      <c r="B6" s="3344"/>
      <c r="C6" s="3344"/>
      <c r="D6" s="3344"/>
      <c r="E6" s="3344"/>
      <c r="F6" s="3344"/>
      <c r="G6" s="3344"/>
      <c r="H6" s="3344"/>
      <c r="I6" s="3344"/>
      <c r="J6" s="3344"/>
      <c r="K6" s="3344"/>
      <c r="L6" s="3344"/>
      <c r="M6" s="3344"/>
      <c r="N6" s="3344"/>
      <c r="O6" s="3344"/>
      <c r="P6" s="3344"/>
      <c r="Q6" s="3345"/>
      <c r="R6" s="1813">
        <f ca="1">结果表!O39</f>
        <v>40606</v>
      </c>
    </row>
    <row r="7" spans="1:18">
      <c r="A7" s="3343" t="str">
        <f>IF(项目基本情况!B9="市场价格","——",IF(项目基本情况!E8="已注销及未注销","抵押担保权已注销时的抵押价格","——"))</f>
        <v>——</v>
      </c>
      <c r="B7" s="3344"/>
      <c r="C7" s="3344"/>
      <c r="D7" s="3344"/>
      <c r="E7" s="3344"/>
      <c r="F7" s="3344"/>
      <c r="G7" s="3344"/>
      <c r="H7" s="3344"/>
      <c r="I7" s="3344"/>
      <c r="J7" s="3344"/>
      <c r="K7" s="3344"/>
      <c r="L7" s="3344"/>
      <c r="M7" s="3344"/>
      <c r="N7" s="3344"/>
      <c r="O7" s="3344"/>
      <c r="P7" s="3344"/>
      <c r="Q7" s="3345"/>
      <c r="R7" s="1813" t="str">
        <f>结果表!O40</f>
        <v>——</v>
      </c>
    </row>
    <row r="8" spans="1:18">
      <c r="A8" s="3343" t="str">
        <f>IF(项目基本情况!B9="市场价格","——",项目基本情况!E9)</f>
        <v>——</v>
      </c>
      <c r="B8" s="3344"/>
      <c r="C8" s="3344"/>
      <c r="D8" s="3344"/>
      <c r="E8" s="3344"/>
      <c r="F8" s="3344"/>
      <c r="G8" s="3344"/>
      <c r="H8" s="3344"/>
      <c r="I8" s="3344"/>
      <c r="J8" s="3344"/>
      <c r="K8" s="3344"/>
      <c r="L8" s="3344"/>
      <c r="M8" s="3344"/>
      <c r="N8" s="3344"/>
      <c r="O8" s="3344"/>
      <c r="P8" s="3344"/>
      <c r="Q8" s="334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8.875" defaultRowHeight="14.25"/>
  <cols>
    <col min="1" max="1" width="15.625" style="1803" customWidth="1"/>
    <col min="2" max="3" width="21.375" style="1803" customWidth="1"/>
    <col min="4" max="4" width="19.875" style="1803" customWidth="1"/>
    <col min="5" max="16384" width="8.875" style="1803"/>
  </cols>
  <sheetData>
    <row r="1" spans="1:4">
      <c r="A1" s="3352" t="s">
        <v>2066</v>
      </c>
      <c r="B1" s="3352"/>
      <c r="C1" s="3352"/>
      <c r="D1" s="3352"/>
    </row>
    <row r="2" spans="1:4" ht="47.25" customHeight="1">
      <c r="A2" s="3353" t="str">
        <f>"1.权利限制："&amp;项目基本情况!L24&amp;"未设定租赁等其他他项权利。"</f>
        <v>1.权利限制：根据估价对象《不动产权证书》原件、，截至估价期日，估价对象抵押权未见登记。未设定租赁等其他他项权利。</v>
      </c>
      <c r="B2" s="3353"/>
      <c r="C2" s="3353"/>
      <c r="D2" s="3353"/>
    </row>
    <row r="3" spans="1:4" ht="48" customHeight="1">
      <c r="A3" s="335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52"/>
      <c r="C3" s="3352"/>
      <c r="D3" s="3352"/>
    </row>
    <row r="4" spans="1:4" ht="36.75" customHeight="1">
      <c r="A4" s="3352" t="str">
        <f>"3.估价规划限制条件：详见"&amp;项目基本情况!E21&amp;"。"</f>
        <v>3.估价规划限制条件：详见《建设工程规划许可证》[]、《出让合同》[]。</v>
      </c>
      <c r="B4" s="3352"/>
      <c r="C4" s="3352"/>
      <c r="D4" s="3352"/>
    </row>
    <row r="5" spans="1:4">
      <c r="A5" s="3351" t="s">
        <v>2067</v>
      </c>
      <c r="B5" s="3351"/>
      <c r="C5" s="3351"/>
      <c r="D5" s="3351"/>
    </row>
    <row r="6" spans="1:4">
      <c r="A6" s="3352" t="s">
        <v>2045</v>
      </c>
      <c r="B6" s="3352"/>
      <c r="C6" s="3352"/>
      <c r="D6" s="3352"/>
    </row>
    <row r="7" spans="1:4" ht="33" customHeight="1">
      <c r="A7" s="3352" t="s">
        <v>2575</v>
      </c>
      <c r="B7" s="3352"/>
      <c r="C7" s="3352"/>
      <c r="D7" s="3352"/>
    </row>
    <row r="8" spans="1:4" ht="32.25" customHeight="1">
      <c r="A8" s="33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2"/>
      <c r="C8" s="3352"/>
      <c r="D8" s="3352"/>
    </row>
    <row r="9" spans="1:4" ht="33.75" customHeight="1">
      <c r="A9" s="33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2"/>
      <c r="C9" s="3352"/>
      <c r="D9" s="3352"/>
    </row>
    <row r="10" spans="1:4">
      <c r="A10" s="3352" t="str">
        <f>IF(项目基本情况!B8="抵押","4.估价师所知悉的法定优先受偿款情况为：","——")</f>
        <v>4.估价师所知悉的法定优先受偿款情况为：</v>
      </c>
      <c r="B10" s="3352"/>
      <c r="C10" s="3352"/>
      <c r="D10" s="3352"/>
    </row>
    <row r="11" spans="1:4" ht="37.5" customHeight="1">
      <c r="A11" s="3354" t="str">
        <f>IF(项目基本情况!B8="抵押","（1）"&amp;CONCATENATE(项目基本情况!L24,项目基本情况!L25,项目基本情况!L26),"——")</f>
        <v>（1）根据估价对象《不动产权证书》原件、，截至估价期日，估价对象抵押权未见登记。</v>
      </c>
      <c r="B11" s="3354"/>
      <c r="C11" s="3354"/>
      <c r="D11" s="3354"/>
    </row>
    <row r="12" spans="1:4" ht="168" customHeight="1">
      <c r="A12" s="3351" t="s">
        <v>2069</v>
      </c>
      <c r="B12" s="3351"/>
      <c r="C12" s="3351"/>
      <c r="D12" s="3351"/>
    </row>
    <row r="13" spans="1:4">
      <c r="A13" s="3355" t="s">
        <v>2745</v>
      </c>
      <c r="B13" s="3355"/>
      <c r="C13" s="3355"/>
      <c r="D13" s="3355"/>
    </row>
    <row r="14" spans="1:4">
      <c r="A14" s="3354" t="str">
        <f>IF(项目基本情况!B8="抵押","综上，"&amp;结果表!K47,"——")</f>
        <v>综上，本次评估不存在估价师知悉的法定优先受偿款</v>
      </c>
      <c r="B14" s="3354"/>
      <c r="C14" s="3354"/>
      <c r="D14" s="3354"/>
    </row>
    <row r="15" spans="1:4" ht="58.5" customHeight="1">
      <c r="A15" s="33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2"/>
      <c r="C15" s="3352"/>
      <c r="D15" s="3352"/>
    </row>
    <row r="16" spans="1:4" ht="70.5" customHeight="1">
      <c r="A16" s="33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2"/>
      <c r="C16" s="3352"/>
      <c r="D16" s="3352"/>
    </row>
    <row r="17" spans="1:4">
      <c r="A17" s="3352" t="s">
        <v>2701</v>
      </c>
      <c r="B17" s="3352"/>
      <c r="C17" s="3352"/>
      <c r="D17" s="3352"/>
    </row>
    <row r="18" spans="1:4">
      <c r="A18" s="3352" t="s">
        <v>2693</v>
      </c>
      <c r="B18" s="3352"/>
      <c r="C18" s="3352"/>
      <c r="D18" s="3352"/>
    </row>
    <row r="19" spans="1:4">
      <c r="A19" s="2893" t="s">
        <v>2694</v>
      </c>
      <c r="B19" s="2893" t="s">
        <v>2695</v>
      </c>
      <c r="C19" s="2893" t="s">
        <v>2696</v>
      </c>
      <c r="D19" s="2893" t="s">
        <v>2697</v>
      </c>
    </row>
    <row r="20" spans="1:4">
      <c r="A20" s="2893" t="str">
        <f>项目基本情况!B4</f>
        <v>王鹏</v>
      </c>
      <c r="B20" s="2893">
        <f ca="1">项目基本情况!C4</f>
        <v>2002110030</v>
      </c>
      <c r="C20" s="2895"/>
      <c r="D20" s="1801" t="s">
        <v>2702</v>
      </c>
    </row>
    <row r="21" spans="1:4">
      <c r="A21" s="2893" t="str">
        <f>项目基本情况!D4</f>
        <v>郑燚</v>
      </c>
      <c r="B21" s="2893">
        <f>项目基本情况!E4</f>
        <v>2014110011</v>
      </c>
      <c r="C21" s="2895"/>
      <c r="D21" s="1801" t="s">
        <v>2703</v>
      </c>
    </row>
    <row r="23" spans="1:4">
      <c r="A23" s="3352" t="s">
        <v>2698</v>
      </c>
      <c r="B23" s="3352"/>
      <c r="C23" s="3352"/>
      <c r="D23" s="3352"/>
    </row>
    <row r="24" spans="1:4">
      <c r="A24" s="2893" t="s">
        <v>2694</v>
      </c>
      <c r="B24" s="2893" t="s">
        <v>2699</v>
      </c>
      <c r="C24" s="2893" t="s">
        <v>2696</v>
      </c>
      <c r="D24" s="2893" t="s">
        <v>2697</v>
      </c>
    </row>
    <row r="25" spans="1:4">
      <c r="A25" s="2896" t="s">
        <v>2700</v>
      </c>
      <c r="B25" s="2893" t="s">
        <v>951</v>
      </c>
      <c r="C25" s="2895"/>
      <c r="D25" s="1801" t="s">
        <v>2703</v>
      </c>
    </row>
    <row r="29" spans="1:4">
      <c r="D29" s="2894" t="s">
        <v>2040</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363" t="s">
        <v>53</v>
      </c>
      <c r="B15" s="3364" t="s">
        <v>845</v>
      </c>
      <c r="C15" s="3360"/>
    </row>
    <row r="16" spans="1:7" ht="14.25">
      <c r="A16" s="3363"/>
      <c r="B16" s="3361" t="s">
        <v>54</v>
      </c>
      <c r="C16" s="1172" t="s">
        <v>53</v>
      </c>
    </row>
    <row r="17" spans="1:3" ht="14.25">
      <c r="A17" s="3363"/>
      <c r="B17" s="3361"/>
      <c r="C17" s="1172" t="s">
        <v>55</v>
      </c>
    </row>
    <row r="18" spans="1:3" ht="14.25">
      <c r="A18" s="3363"/>
      <c r="B18" s="3361"/>
      <c r="C18" s="1172" t="s">
        <v>56</v>
      </c>
    </row>
    <row r="19" spans="1:3" ht="14.25">
      <c r="A19" s="3363"/>
      <c r="B19" s="3359" t="s">
        <v>57</v>
      </c>
      <c r="C19" s="3360"/>
    </row>
    <row r="20" spans="1:3" ht="14.25">
      <c r="A20" s="1173" t="s">
        <v>58</v>
      </c>
      <c r="B20" s="1174"/>
      <c r="C20" s="1175"/>
    </row>
    <row r="21" spans="1:3" ht="14.25">
      <c r="A21" s="3362" t="s">
        <v>59</v>
      </c>
      <c r="B21" s="3359" t="s">
        <v>60</v>
      </c>
      <c r="C21" s="3360"/>
    </row>
    <row r="22" spans="1:3" ht="14.25">
      <c r="A22" s="3362"/>
      <c r="B22" s="3359" t="s">
        <v>61</v>
      </c>
      <c r="C22" s="3360"/>
    </row>
    <row r="23" spans="1:3" ht="14.25">
      <c r="A23" s="3362"/>
      <c r="B23" s="3359" t="s">
        <v>62</v>
      </c>
      <c r="C23" s="3360"/>
    </row>
    <row r="24" spans="1:3" ht="14.25">
      <c r="A24" s="3362"/>
      <c r="B24" s="3365" t="s">
        <v>63</v>
      </c>
      <c r="C24" s="1176" t="s">
        <v>836</v>
      </c>
    </row>
    <row r="25" spans="1:3" ht="14.25">
      <c r="A25" s="3362"/>
      <c r="B25" s="3366"/>
      <c r="C25" s="1176" t="s">
        <v>837</v>
      </c>
    </row>
    <row r="26" spans="1:3" ht="14.25">
      <c r="A26" s="3362"/>
      <c r="B26" s="3366"/>
      <c r="C26" s="1176" t="s">
        <v>838</v>
      </c>
    </row>
    <row r="27" spans="1:3" ht="14.25">
      <c r="A27" s="3362"/>
      <c r="B27" s="3366"/>
      <c r="C27" s="1176" t="s">
        <v>839</v>
      </c>
    </row>
    <row r="28" spans="1:3" ht="14.25">
      <c r="A28" s="3362"/>
      <c r="B28" s="3366"/>
      <c r="C28" s="1176" t="s">
        <v>840</v>
      </c>
    </row>
    <row r="29" spans="1:3" ht="14.25">
      <c r="A29" s="3362"/>
      <c r="B29" s="3366"/>
      <c r="C29" s="1176" t="s">
        <v>841</v>
      </c>
    </row>
    <row r="30" spans="1:3" ht="14.25">
      <c r="A30" s="3362"/>
      <c r="B30" s="3366"/>
      <c r="C30" s="1176" t="s">
        <v>842</v>
      </c>
    </row>
    <row r="31" spans="1:3" ht="14.25">
      <c r="A31" s="3362"/>
      <c r="B31" s="3366"/>
      <c r="C31" s="1176" t="s">
        <v>843</v>
      </c>
    </row>
    <row r="32" spans="1:3" ht="14.25">
      <c r="A32" s="3362"/>
      <c r="B32" s="3366"/>
      <c r="C32" s="1176" t="s">
        <v>1646</v>
      </c>
    </row>
    <row r="33" spans="1:3" ht="14.25">
      <c r="A33" s="3362"/>
      <c r="B33" s="3356" t="s">
        <v>1652</v>
      </c>
      <c r="C33" s="1176" t="s">
        <v>1647</v>
      </c>
    </row>
    <row r="34" spans="1:3" ht="14.25">
      <c r="A34" s="3362"/>
      <c r="B34" s="3357"/>
      <c r="C34" s="1181" t="s">
        <v>1648</v>
      </c>
    </row>
    <row r="35" spans="1:3" ht="14.25">
      <c r="A35" s="3362"/>
      <c r="B35" s="3357"/>
      <c r="C35" s="1182" t="s">
        <v>1649</v>
      </c>
    </row>
    <row r="36" spans="1:3" ht="14.25">
      <c r="A36" s="3362"/>
      <c r="B36" s="3357"/>
      <c r="C36" s="1182" t="s">
        <v>1650</v>
      </c>
    </row>
    <row r="37" spans="1:3" ht="14.25">
      <c r="A37" s="3362"/>
      <c r="B37" s="335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625" style="2342" customWidth="1"/>
    <col min="2" max="5" width="22.625" style="2342"/>
    <col min="6" max="6" width="25.625" style="2342" customWidth="1"/>
    <col min="7" max="16384" width="22.625" style="2342"/>
  </cols>
  <sheetData>
    <row r="2" spans="1:6" ht="20.25" customHeight="1">
      <c r="A2" s="2339" t="s">
        <v>1907</v>
      </c>
      <c r="B2" s="1657">
        <f ca="1">TODAY()</f>
        <v>43242</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2574</v>
      </c>
      <c r="B15" s="2344">
        <v>1120070085</v>
      </c>
      <c r="C15" s="3031">
        <v>43814</v>
      </c>
      <c r="D15" s="2344" t="s">
        <v>2574</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2054</v>
      </c>
      <c r="B24" s="2346" t="s">
        <v>2054</v>
      </c>
      <c r="C24" s="3031"/>
      <c r="D24" s="3033" t="s">
        <v>2054</v>
      </c>
      <c r="E24" s="2346" t="s">
        <v>2054</v>
      </c>
      <c r="F24" s="2347"/>
    </row>
    <row r="25" spans="1:7" ht="20.25" customHeight="1">
      <c r="A25" s="3367" t="s">
        <v>1928</v>
      </c>
      <c r="B25" s="3367"/>
      <c r="C25" s="3367"/>
      <c r="D25" s="3367"/>
      <c r="E25" s="3367"/>
      <c r="F25" s="3367"/>
      <c r="G25" s="3367"/>
    </row>
    <row r="26" spans="1:7" ht="20.25" customHeight="1">
      <c r="A26" s="3368" t="s">
        <v>1929</v>
      </c>
      <c r="B26" s="3368"/>
      <c r="C26" s="3368"/>
      <c r="D26" s="3368" t="s">
        <v>1930</v>
      </c>
      <c r="E26" s="3368"/>
      <c r="F26" s="3368"/>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31" sqref="A31"/>
    </sheetView>
  </sheetViews>
  <sheetFormatPr defaultColWidth="8.875"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125" style="1163" customWidth="1"/>
    <col min="26" max="16384" width="8.875" style="1163"/>
  </cols>
  <sheetData>
    <row r="1" spans="1:23" s="1184"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2545</v>
      </c>
      <c r="R1" s="2607" t="s">
        <v>2539</v>
      </c>
      <c r="S1" s="6" t="s">
        <v>146</v>
      </c>
      <c r="T1" s="7" t="s">
        <v>147</v>
      </c>
      <c r="U1" s="6" t="s">
        <v>148</v>
      </c>
      <c r="V1" s="6" t="s">
        <v>149</v>
      </c>
      <c r="W1" s="1004"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2540</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875</v>
      </c>
    </row>
    <row r="4" spans="1:23">
      <c r="A4" s="8" t="s">
        <v>87</v>
      </c>
      <c r="B4" s="8" t="s">
        <v>152</v>
      </c>
      <c r="C4" s="1551"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2542</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2544</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41" t="s">
        <v>2949</v>
      </c>
      <c r="C18" s="1554"/>
    </row>
    <row r="19" spans="1:3">
      <c r="A19" s="8" t="s">
        <v>120</v>
      </c>
      <c r="B19" s="3141" t="s">
        <v>2957</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3141" t="s">
        <v>2978</v>
      </c>
      <c r="B28" s="8" t="s">
        <v>1641</v>
      </c>
      <c r="C28" s="1554"/>
    </row>
    <row r="29" spans="1:3">
      <c r="A29" s="3141" t="s">
        <v>2980</v>
      </c>
      <c r="B29" s="8" t="s">
        <v>1641</v>
      </c>
      <c r="C29" s="1554"/>
    </row>
    <row r="30" spans="1:3">
      <c r="A30" s="3141" t="s">
        <v>2982</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安阳建业城市建设有限公司拟使用河南省安阳市文峰区光明路与富泉街交叉口东北角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369"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16日，在规划利用条件下、设定土地开发程度为红线外“七通”、宗地内场地平整，设定用途为住宅、商业，剩余土地使用年限为的出让国有建设用地使用权价格。</v>
      </c>
      <c r="D53" s="1768"/>
      <c r="E53" s="1768"/>
    </row>
    <row r="54" spans="1:5">
      <c r="A54" s="3369"/>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69"/>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69"/>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69"/>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全期规划指标表 </vt:lpstr>
      <vt:lpstr>当期规划指标表 </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Sheet1</vt:lpstr>
      <vt:lpstr>剩余法-待开发</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不动产比较法-住宅（多层）</vt:lpstr>
      <vt:lpstr>不动产比较法-住宅（独栋）</vt:lpstr>
      <vt:lpstr>不动产收益法</vt:lpstr>
      <vt:lpstr>Sheet5</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'不动产比较法-住宅（独栋）'!住宅朝向</vt:lpstr>
      <vt:lpstr>'不动产比较法-住宅（多层）'!住宅朝向</vt:lpstr>
      <vt:lpstr>住宅朝向</vt:lpstr>
      <vt:lpstr>'不动产比较法-住宅（独栋）'!住宅房型</vt:lpstr>
      <vt:lpstr>'不动产比较法-住宅（多层）'!住宅房型</vt:lpstr>
      <vt:lpstr>住宅房型</vt:lpstr>
      <vt:lpstr>'不动产比较法-住宅（独栋）'!住宅公共部分装修</vt:lpstr>
      <vt:lpstr>'不动产比较法-住宅（多层）'!住宅公共部分装修</vt:lpstr>
      <vt:lpstr>住宅公共部分装修</vt:lpstr>
      <vt:lpstr>'不动产比较法-住宅（独栋）'!住宅基础设施水平</vt:lpstr>
      <vt:lpstr>'不动产比较法-住宅（多层）'!住宅基础设施水平</vt:lpstr>
      <vt:lpstr>住宅基础设施水平</vt:lpstr>
      <vt:lpstr>'不动产比较法-住宅（独栋）'!住宅建筑结构</vt:lpstr>
      <vt:lpstr>'不动产比较法-住宅（多层）'!住宅建筑结构</vt:lpstr>
      <vt:lpstr>住宅建筑结构</vt:lpstr>
      <vt:lpstr>'不动产比较法-住宅（独栋）'!住宅建筑类型</vt:lpstr>
      <vt:lpstr>'不动产比较法-住宅（多层）'!住宅建筑类型</vt:lpstr>
      <vt:lpstr>住宅建筑类型</vt:lpstr>
      <vt:lpstr>'不动产比较法-住宅（独栋）'!住宅建筑品质</vt:lpstr>
      <vt:lpstr>'不动产比较法-住宅（多层）'!住宅建筑品质</vt:lpstr>
      <vt:lpstr>住宅建筑品质</vt:lpstr>
      <vt:lpstr>'不动产比较法-住宅（独栋）'!住宅交易情况</vt:lpstr>
      <vt:lpstr>'不动产比较法-住宅（多层）'!住宅交易情况</vt:lpstr>
      <vt:lpstr>住宅交易情况</vt:lpstr>
      <vt:lpstr>'不动产比较法-住宅（独栋）'!住宅楼层</vt:lpstr>
      <vt:lpstr>'不动产比较法-住宅（多层）'!住宅楼层</vt:lpstr>
      <vt:lpstr>住宅楼层</vt:lpstr>
      <vt:lpstr>'不动产比较法-住宅（独栋）'!住宅内部装修</vt:lpstr>
      <vt:lpstr>'不动产比较法-住宅（多层）'!住宅内部装修</vt:lpstr>
      <vt:lpstr>住宅内部装修</vt:lpstr>
      <vt:lpstr>'不动产比较法-住宅（独栋）'!住宅物业管理</vt:lpstr>
      <vt:lpstr>'不动产比较法-住宅（多层）'!住宅物业管理</vt:lpstr>
      <vt:lpstr>住宅物业管理</vt:lpstr>
      <vt:lpstr>'不动产比较法-住宅（独栋）'!住宅用途</vt:lpstr>
      <vt:lpstr>'不动产比较法-住宅（多层）'!住宅用途</vt:lpstr>
      <vt:lpstr>住宅用途</vt:lpstr>
      <vt:lpstr>'不动产比较法-住宅（独栋）'!住宅主力户型面积</vt:lpstr>
      <vt:lpstr>'不动产比较法-住宅（多层）'!住宅主力户型面积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2018-05-22T03:14:38Z</dcterms:modified>
</cp:coreProperties>
</file>