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<sst xmlns="http://schemas.openxmlformats.org/spreadsheetml/2006/main" count="6956" uniqueCount="2477">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</sst>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4" formatCode="_ &quot;￥&quot;* #,##0.00_ ;_ &quot;￥&quot;* \-#,##0.00_ ;_ &quot;￥&quot;* &quot;-&quot;??_ ;_ @_ "/>
    <numFmt numFmtId="176" formatCode="0.00_ "/>
    <numFmt numFmtId="42" formatCode="_ &quot;￥&quot;* #,##0_ ;_ &quot;￥&quot;* \-#,##0_ ;_ &quot;￥&quot;* &quot;-&quot;_ ;_ @_ "/>
    <numFmt numFmtId="43" formatCode="_ * #,##0.00_ ;_ * \-#,##0.00_ ;_ * &quot;-&quot;??_ ;_ @_ "/>
    <numFmt numFmtId="177" formatCode="yyyy/m/d;@"/>
    <numFmt numFmtId="178" formatCode="0_ "/>
    <numFmt numFmtId="179" formatCode="0;_쐀"/>
    <numFmt numFmtId="180" formatCode="0_);[Red]\(0\)"/>
    <numFmt numFmtId="181" formatCode="0.0%"/>
    <numFmt numFmtId="182" formatCode="0.0_ "/>
    <numFmt numFmtId="183" formatCode="0.000_ "/>
    <numFmt numFmtId="184" formatCode="0.0000_ "/>
    <numFmt numFmtId="185" formatCode="0.0_);[Red]\(0.0\)"/>
    <numFmt numFmtId="186" formatCode="yyyy&quot;年&quot;m&quot;月&quot;d&quot;日&quot;;@"/>
    <numFmt numFmtId="187" formatCode="0_ ;[Red]\-0\ "/>
    <numFmt numFmtId="188" formatCode="0.00_);[Red]\(0.00\)"/>
    <numFmt numFmtId="189" formatCode="0.000_);[Red]\(0.000\)"/>
    <numFmt numFmtId="190" formatCode="yyyy&quot;年&quot;m&quot;月&quot;;@"/>
    <numFmt numFmtId="191" formatCode="[DBNum2][$-804]General"/>
    <numFmt numFmtId="192" formatCode="0.000%"/>
    <numFmt numFmtId="193" formatCode="0.0000%"/>
    <numFmt numFmtId="194" formatCode="[$-F800]dddd\,\ mmmm\ dd\,\ yyyy"/>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b/>
      <sz val="9"/>
      <name val="宋体"/>
      <charset val="134"/>
    </font>
    <font>
      <sz val="9"/>
      <name val="宋体"/>
      <charset val="134"/>
    </font>
    <font>
      <sz val="11"/>
      <name val="楷体_GB2312"/>
      <charset val="134"/>
    </font>
    <font>
      <sz val="14"/>
      <name val="楷体_GB2312"/>
      <charset val="134"/>
    </font>
    <font>
      <sz val="11"/>
      <name val="宋体"/>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4" borderId="0" applyNumberFormat="0" applyBorder="0" applyAlignment="0" applyProtection="0">
      <alignment vertical="center"/>
    </xf>
    <xf numFmtId="0" fontId="152" fillId="22"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9" borderId="0" applyNumberFormat="0" applyBorder="0" applyAlignment="0" applyProtection="0">
      <alignment vertical="center"/>
    </xf>
    <xf numFmtId="0" fontId="157" fillId="27" borderId="0" applyNumberFormat="0" applyBorder="0" applyAlignment="0" applyProtection="0">
      <alignment vertical="center"/>
    </xf>
    <xf numFmtId="43" fontId="0" fillId="0" borderId="0" applyFont="0" applyFill="0" applyBorder="0" applyAlignment="0" applyProtection="0">
      <alignment vertical="center"/>
    </xf>
    <xf numFmtId="0" fontId="156" fillId="29"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30" borderId="182" applyNumberFormat="0" applyFont="0" applyAlignment="0" applyProtection="0">
      <alignment vertical="center"/>
    </xf>
    <xf numFmtId="0" fontId="156" fillId="31" borderId="0" applyNumberFormat="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1" fillId="0" borderId="178" applyNumberFormat="0" applyFill="0" applyAlignment="0" applyProtection="0">
      <alignment vertical="center"/>
    </xf>
    <xf numFmtId="0" fontId="0" fillId="0" borderId="0"/>
    <xf numFmtId="0" fontId="165" fillId="0" borderId="178" applyNumberFormat="0" applyFill="0" applyAlignment="0" applyProtection="0">
      <alignment vertical="center"/>
    </xf>
    <xf numFmtId="0" fontId="156" fillId="26" borderId="0" applyNumberFormat="0" applyBorder="0" applyAlignment="0" applyProtection="0">
      <alignment vertical="center"/>
    </xf>
    <xf numFmtId="0" fontId="163" fillId="0" borderId="184" applyNumberFormat="0" applyFill="0" applyAlignment="0" applyProtection="0">
      <alignment vertical="center"/>
    </xf>
    <xf numFmtId="0" fontId="156" fillId="37" borderId="0" applyNumberFormat="0" applyBorder="0" applyAlignment="0" applyProtection="0">
      <alignment vertical="center"/>
    </xf>
    <xf numFmtId="0" fontId="155" fillId="25" borderId="181" applyNumberFormat="0" applyAlignment="0" applyProtection="0">
      <alignment vertical="center"/>
    </xf>
    <xf numFmtId="0" fontId="166" fillId="25" borderId="179" applyNumberFormat="0" applyAlignment="0" applyProtection="0">
      <alignment vertical="center"/>
    </xf>
    <xf numFmtId="0" fontId="154" fillId="23" borderId="180" applyNumberFormat="0" applyAlignment="0" applyProtection="0">
      <alignment vertical="center"/>
    </xf>
    <xf numFmtId="0" fontId="153" fillId="36" borderId="0" applyNumberFormat="0" applyBorder="0" applyAlignment="0" applyProtection="0">
      <alignment vertical="center"/>
    </xf>
    <xf numFmtId="0" fontId="156" fillId="32" borderId="0" applyNumberFormat="0" applyBorder="0" applyAlignment="0" applyProtection="0">
      <alignment vertical="center"/>
    </xf>
    <xf numFmtId="0" fontId="167" fillId="0" borderId="185" applyNumberFormat="0" applyFill="0" applyAlignment="0" applyProtection="0">
      <alignment vertical="center"/>
    </xf>
    <xf numFmtId="0" fontId="161" fillId="0" borderId="183" applyNumberFormat="0" applyFill="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168" fillId="39" borderId="0" applyNumberFormat="0" applyBorder="0" applyAlignment="0" applyProtection="0">
      <alignment vertical="center"/>
    </xf>
    <xf numFmtId="0" fontId="119" fillId="0" borderId="0">
      <alignment vertical="center"/>
    </xf>
    <xf numFmtId="0" fontId="153" fillId="41" borderId="0" applyNumberFormat="0" applyBorder="0" applyAlignment="0" applyProtection="0">
      <alignment vertical="center"/>
    </xf>
    <xf numFmtId="0" fontId="156" fillId="35" borderId="0" applyNumberFormat="0" applyBorder="0" applyAlignment="0" applyProtection="0">
      <alignment vertical="center"/>
    </xf>
    <xf numFmtId="0" fontId="153" fillId="38" borderId="0" applyNumberFormat="0" applyBorder="0" applyAlignment="0" applyProtection="0">
      <alignment vertical="center"/>
    </xf>
    <xf numFmtId="0" fontId="153" fillId="42" borderId="0" applyNumberFormat="0" applyBorder="0" applyAlignment="0" applyProtection="0">
      <alignment vertical="center"/>
    </xf>
    <xf numFmtId="0" fontId="153" fillId="28" borderId="0" applyNumberFormat="0" applyBorder="0" applyAlignment="0" applyProtection="0">
      <alignment vertical="center"/>
    </xf>
    <xf numFmtId="0" fontId="153" fillId="34" borderId="0" applyNumberFormat="0" applyBorder="0" applyAlignment="0" applyProtection="0">
      <alignment vertical="center"/>
    </xf>
    <xf numFmtId="0" fontId="156" fillId="44" borderId="0" applyNumberFormat="0" applyBorder="0" applyAlignment="0" applyProtection="0">
      <alignment vertical="center"/>
    </xf>
    <xf numFmtId="0" fontId="0" fillId="0" borderId="0">
      <alignment vertical="center"/>
    </xf>
    <xf numFmtId="0" fontId="156" fillId="33" borderId="0" applyNumberFormat="0" applyBorder="0" applyAlignment="0" applyProtection="0">
      <alignment vertical="center"/>
    </xf>
    <xf numFmtId="0" fontId="153" fillId="46" borderId="0" applyNumberFormat="0" applyBorder="0" applyAlignment="0" applyProtection="0">
      <alignment vertical="center"/>
    </xf>
    <xf numFmtId="0" fontId="153" fillId="43" borderId="0" applyNumberFormat="0" applyBorder="0" applyAlignment="0" applyProtection="0">
      <alignment vertical="center"/>
    </xf>
    <xf numFmtId="0" fontId="156" fillId="48" borderId="0" applyNumberFormat="0" applyBorder="0" applyAlignment="0" applyProtection="0">
      <alignment vertical="center"/>
    </xf>
    <xf numFmtId="0" fontId="0" fillId="0" borderId="0">
      <alignment vertical="center"/>
    </xf>
    <xf numFmtId="0" fontId="153" fillId="14" borderId="0" applyNumberFormat="0" applyBorder="0" applyAlignment="0" applyProtection="0">
      <alignment vertical="center"/>
    </xf>
    <xf numFmtId="0" fontId="156" fillId="45" borderId="0" applyNumberFormat="0" applyBorder="0" applyAlignment="0" applyProtection="0">
      <alignment vertical="center"/>
    </xf>
    <xf numFmtId="0" fontId="156" fillId="49" borderId="0" applyNumberFormat="0" applyBorder="0" applyAlignment="0" applyProtection="0">
      <alignment vertical="center"/>
    </xf>
    <xf numFmtId="0" fontId="153" fillId="47" borderId="0" applyNumberFormat="0" applyBorder="0" applyAlignment="0" applyProtection="0">
      <alignment vertical="center"/>
    </xf>
    <xf numFmtId="0" fontId="156" fillId="4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6"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6"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6"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6"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0" fontId="48" fillId="2" borderId="95"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9" xfId="59" applyNumberFormat="1" applyFont="1" applyFill="1" applyBorder="1" applyAlignment="1">
      <alignment horizontal="left" vertical="center"/>
    </xf>
    <xf numFmtId="181"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0"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0"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0"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0"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3"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8" fontId="48"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6"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7"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6"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6"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8" fontId="97" fillId="2" borderId="7" xfId="57" applyNumberFormat="1" applyFont="1" applyFill="1" applyBorder="1" applyAlignment="1" applyProtection="1">
      <alignment horizontal="center" vertical="center"/>
    </xf>
    <xf numFmtId="176"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6"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6"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4"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1" fontId="49" fillId="2" borderId="93" xfId="0" applyNumberFormat="1" applyFont="1" applyFill="1" applyBorder="1" applyAlignment="1" applyProtection="1">
      <alignment horizontal="left" vertical="center" shrinkToFit="1"/>
    </xf>
    <xf numFmtId="191" fontId="49" fillId="16" borderId="0"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wrapText="1"/>
    </xf>
    <xf numFmtId="191" fontId="49" fillId="16" borderId="0" xfId="0" applyNumberFormat="1"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4"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6" fontId="49" fillId="0" borderId="0" xfId="0" applyNumberFormat="1" applyFont="1" applyAlignment="1" applyProtection="1">
      <alignment horizontal="left" vertical="center"/>
      <protection locked="0"/>
    </xf>
    <xf numFmtId="176" fontId="49" fillId="2" borderId="0" xfId="0" applyNumberFormat="1" applyFont="1" applyFill="1" applyAlignment="1" applyProtection="1">
      <alignment horizontal="left" vertical="center"/>
      <protection locked="0"/>
    </xf>
    <xf numFmtId="176"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6"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6" fontId="42" fillId="2"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6"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6"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6"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2" fillId="2" borderId="6" xfId="0" applyNumberFormat="1" applyFont="1" applyFill="1" applyBorder="1" applyAlignment="1" applyProtection="1">
      <alignment horizontal="left" vertical="center" wrapText="1"/>
      <protection locked="0"/>
    </xf>
    <xf numFmtId="176"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6"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4" fontId="127" fillId="0" borderId="7" xfId="60" applyNumberFormat="1"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6"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6"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6"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6"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6" fontId="92" fillId="0" borderId="0" xfId="0" applyNumberFormat="1" applyFont="1" applyAlignment="1">
      <alignment horizontal="left" vertical="center"/>
    </xf>
    <xf numFmtId="186"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9653703</v>
      </c>
    </row>
    <row r="20" spans="1:2">
      <c r="A20" s="3581" t="s">
        <v>20</v>
      </c>
      <c r="B20" s="3585" t="str">
        <f>'预评函-2（1）'!C7</f>
        <v>总价（元）</v>
      </c>
    </row>
    <row r="21" spans="1:2">
      <c r="A21" s="3581" t="s">
        <v>21</v>
      </c>
      <c r="B21" s="3585">
        <f ca="1">'预评函-2（1）'!D9</f>
        <v>78250</v>
      </c>
    </row>
    <row r="22" spans="1:2">
      <c r="A22" s="3581" t="s">
        <v>22</v>
      </c>
      <c r="B22" s="3585" t="str">
        <f ca="1">'预评函-2（1）'!D8</f>
        <v>玖佰陆拾伍万叁仟柒佰零叁元整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9653703</v>
      </c>
    </row>
    <row r="30" spans="1:2">
      <c r="A30" s="3581" t="s">
        <v>30</v>
      </c>
      <c r="B30" s="3585" t="str">
        <f ca="1">'预评函-2（1）'!D16</f>
        <v>玖佰陆拾伍万叁仟柒佰零叁元整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8302184</v>
      </c>
    </row>
    <row r="38" spans="1:2">
      <c r="A38" s="3581" t="s">
        <v>38</v>
      </c>
      <c r="B38" s="3585">
        <f ca="1">'预评函-2（2）'!E4</f>
        <v>67295</v>
      </c>
    </row>
    <row r="39" spans="1:2">
      <c r="A39" s="3581" t="s">
        <v>39</v>
      </c>
      <c r="B39" s="3585" t="str">
        <f ca="1">'预评函-2（2）'!D5</f>
        <v>捌佰叁拾万贰仟壹佰捌拾肆元整</v>
      </c>
    </row>
    <row r="40" spans="1:2">
      <c r="A40" s="3581" t="s">
        <v>40</v>
      </c>
      <c r="B40" s="3585">
        <f ca="1">'预评函-2（2）'!F4</f>
        <v>1351518</v>
      </c>
    </row>
    <row r="41" spans="1:2">
      <c r="A41" s="3581" t="s">
        <v>41</v>
      </c>
      <c r="B41" s="3585">
        <f ca="1">'预评函-2（2）'!G4</f>
        <v>10955</v>
      </c>
    </row>
    <row r="42" s="3572" customFormat="1" ht="15.75" spans="1:2">
      <c r="A42" s="3583" t="s">
        <v>42</v>
      </c>
      <c r="B42" s="3587" t="str">
        <f ca="1">'预评函-2（2）'!F5</f>
        <v>壹佰叁拾伍万壹仟伍佰壹拾捌元整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78250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B31" sqref="B31"/>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f>收益法!J54</f>
        <v>46</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tabSelected="1" view="pageBreakPreview" zoomScale="80" zoomScaleNormal="100" workbookViewId="0">
      <selection activeCell="D28" sqref="D28"/>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965.3751</v>
      </c>
      <c r="C5" s="3034">
        <f ca="1">ROUND(B5*10000/$B$1,0)</f>
        <v>78250</v>
      </c>
      <c r="D5" s="3034" t="e">
        <f ca="1">ROUND(B5*10000/$B$2,0)</f>
        <v>#DIV/0!</v>
      </c>
      <c r="E5" s="3035"/>
      <c r="F5" s="3036"/>
      <c r="G5" s="3036"/>
    </row>
    <row r="6" ht="16.5" spans="1:7">
      <c r="A6" s="3034" t="s">
        <v>587</v>
      </c>
      <c r="B6" s="3034">
        <f ca="1">SUM(G14:G23)</f>
        <v>965.1826</v>
      </c>
      <c r="C6" s="3034">
        <f ca="1" t="shared" ref="C6:C8" si="0">ROUND(B6*10000/$B$1,0)</f>
        <v>78235</v>
      </c>
      <c r="D6" s="3034" t="e">
        <f ca="1"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ROUND(E14*B14/10000,4)-结果表!D30/10000</f>
        <v>965.3751</v>
      </c>
      <c r="E14" s="3042">
        <f ca="1">结果表!G20</f>
        <v>78266</v>
      </c>
      <c r="F14" s="3042" t="e">
        <f ca="1">ROUND(D14*10000/C14,0)</f>
        <v>#DIV/0!</v>
      </c>
      <c r="G14" s="3042">
        <f ca="1">D14-结果表!D30/10000</f>
        <v>965.1826</v>
      </c>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4:4">
      <c r="D27" s="3033">
        <f ca="1">ROUND(E14*B14/10000,4)</f>
        <v>965.5676</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B1" workbookViewId="0">
      <selection activeCell="D30" sqref="D30"/>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3266080</v>
      </c>
      <c r="D19" s="2599">
        <f ca="1">SUMIF(INDIRECT("'"&amp;D4&amp;"'"&amp;"!A:A"),结果表!B19,INDIRECT("'"&amp;D4&amp;"'"&amp;"!B:B"))</f>
        <v>11253071</v>
      </c>
      <c r="E19" s="2596" t="s">
        <v>637</v>
      </c>
      <c r="F19" s="2597" t="s">
        <v>636</v>
      </c>
      <c r="G19" s="2600">
        <f ca="1">ROUND(C19*$C$18+D19*$D$18,0)</f>
        <v>9655673</v>
      </c>
      <c r="H19" s="2601" t="str">
        <f>'数据-取费表'!B3</f>
        <v>元</v>
      </c>
      <c r="I19" s="2975"/>
      <c r="J19" s="2976"/>
    </row>
    <row r="20" ht="15" spans="1:10">
      <c r="A20" s="2602"/>
      <c r="B20" s="1311" t="s">
        <v>638</v>
      </c>
      <c r="C20" s="1218">
        <f ca="1">SUMIF(INDIRECT("'"&amp;C4&amp;"'"&amp;"!A:A"),结果表!B20,INDIRECT("'"&amp;C4&amp;"'"&amp;"!B:B"))</f>
        <v>26474</v>
      </c>
      <c r="D20" s="2360">
        <f ca="1">SUMIF(INDIRECT("'"&amp;D4&amp;"'"&amp;"!A:A"),结果表!B20,INDIRECT("'"&amp;D4&amp;"'"&amp;"!B:B"))</f>
        <v>91214</v>
      </c>
      <c r="E20" s="2602"/>
      <c r="F20" s="1311" t="s">
        <v>638</v>
      </c>
      <c r="G20" s="1242">
        <f ca="1">ROUND(C20*$C$18+D20*$D$18,0)</f>
        <v>78266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2.4454364253172</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1925</v>
      </c>
      <c r="D24" s="2613"/>
      <c r="E24" s="2230"/>
      <c r="F24" s="2230"/>
      <c r="G24" s="2230"/>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78250.4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67295.4</v>
      </c>
      <c r="D34" s="2958">
        <f ca="1">IF(D33="自定义",ROUND(C34/C32,3),1-D35)</f>
        <v>0.86</v>
      </c>
      <c r="E34" s="2959" t="s">
        <v>654</v>
      </c>
      <c r="F34" s="2960">
        <v>2000</v>
      </c>
      <c r="G34" s="2230"/>
      <c r="H34" s="2230"/>
      <c r="I34" s="2230"/>
      <c r="J34" s="2714"/>
    </row>
    <row r="35" ht="15.75" spans="1:10">
      <c r="A35" s="2639"/>
      <c r="B35" s="2961" t="s">
        <v>655</v>
      </c>
      <c r="C35" s="2962">
        <f ca="1">IF(D33="自定义",F35,ROUND(C32*D35,0))</f>
        <v>10955</v>
      </c>
      <c r="D35" s="2963">
        <f ca="1">IF(D33="自定义",ROUND(C35/C32,3),IF(D33="成本法成本比率",成本法!C56,IF(D33="收益法收益比率",收益法!J38,收益法!J41)))</f>
        <v>0.14</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9653703</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514864</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9653703</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514864</v>
      </c>
      <c r="E52" s="2133" t="s">
        <v>700</v>
      </c>
      <c r="F52" s="2694">
        <f>'数据-取费表'!E29</f>
        <v>0.056</v>
      </c>
      <c r="G52" s="2695"/>
      <c r="H52" s="2230"/>
      <c r="I52" s="2735"/>
      <c r="J52" s="2734"/>
      <c r="K52" s="2982">
        <v>1</v>
      </c>
      <c r="L52" s="2982" t="s">
        <v>701</v>
      </c>
      <c r="M52" s="2982"/>
      <c r="N52" s="2986">
        <f ca="1">D48</f>
        <v>514864</v>
      </c>
      <c r="O52" s="2982" t="str">
        <f>E48</f>
        <v>销售额×税（费）率</v>
      </c>
      <c r="P52" s="2987">
        <f>F48</f>
        <v>0.056</v>
      </c>
      <c r="Q52" s="2575"/>
    </row>
    <row r="53" ht="12" customHeight="1" spans="1:17">
      <c r="A53" s="2693" t="s">
        <v>702</v>
      </c>
      <c r="B53" s="2111" t="s">
        <v>703</v>
      </c>
      <c r="C53" s="2696"/>
      <c r="D53" s="2128">
        <f ca="1">ROUND(D45*'数据-取费表'!E29/(1+'数据-取费表'!F30),0)</f>
        <v>514864</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514864</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514864</v>
      </c>
      <c r="P57" s="2998"/>
      <c r="Q57" s="2761" t="e">
        <f ca="1">O57/N49</f>
        <v>#VALUE!</v>
      </c>
    </row>
    <row r="58" ht="24.75" spans="1:17">
      <c r="A58" s="2693" t="s">
        <v>698</v>
      </c>
      <c r="B58" s="2111" t="s">
        <v>717</v>
      </c>
      <c r="C58" s="2112"/>
      <c r="D58" s="2192">
        <f ca="1">IF(H58="转让取得",C81,C97)</f>
        <v>5463996</v>
      </c>
      <c r="E58" s="2133" t="s">
        <v>713</v>
      </c>
      <c r="F58" s="2078" t="s">
        <v>121</v>
      </c>
      <c r="G58" s="2695"/>
      <c r="H58" s="2699" t="s">
        <v>718</v>
      </c>
      <c r="I58" s="2700"/>
      <c r="J58" s="2734"/>
      <c r="K58" s="2982"/>
      <c r="L58" s="2982"/>
      <c r="M58" s="2995" t="s">
        <v>719</v>
      </c>
      <c r="N58" s="2999"/>
      <c r="O58" s="3000" t="str">
        <f ca="1">IF(H19="元",NUMBERSTRING(INT(O57),2)&amp;"元整",NUMBERSTRING(INT(O57*10000),2)&amp;"元整")</f>
        <v>伍拾壹万肆仟捌佰陆拾肆元整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9194003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9653703</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9194003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514864</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9194003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55164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55164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9138839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165.66672104996</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5463996</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9194003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55164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55164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9138839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165.66672104996</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5463996</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3266080</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26474</v>
      </c>
      <c r="D102" s="2838">
        <f ca="1">D20</f>
        <v>91214</v>
      </c>
      <c r="E102" s="2579"/>
      <c r="F102" s="2786" t="s">
        <v>804</v>
      </c>
      <c r="G102" s="2296"/>
      <c r="H102" s="2839" t="str">
        <f>C106</f>
        <v>总价（元）</v>
      </c>
      <c r="I102" s="2856">
        <f ca="1">H121</f>
        <v>9653703</v>
      </c>
      <c r="J102" s="2896"/>
    </row>
    <row r="103" ht="13.5" spans="1:10">
      <c r="A103" s="551" t="s">
        <v>805</v>
      </c>
      <c r="B103" s="519" t="str">
        <f>B101</f>
        <v>总价（元）</v>
      </c>
      <c r="C103" s="2843">
        <f ca="1">H121</f>
        <v>9653703</v>
      </c>
      <c r="D103" s="2840"/>
      <c r="E103" s="2579"/>
      <c r="F103" s="2786"/>
      <c r="G103" s="2296"/>
      <c r="H103" s="2839" t="s">
        <v>803</v>
      </c>
      <c r="I103" s="2769">
        <f ca="1">I121</f>
        <v>78250</v>
      </c>
      <c r="J103" s="2713"/>
    </row>
    <row r="104" ht="14.25" spans="1:10">
      <c r="A104" s="567"/>
      <c r="B104" s="2848" t="s">
        <v>803</v>
      </c>
      <c r="C104" s="2849">
        <f ca="1">I121</f>
        <v>78250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9653703</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78250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9653703</v>
      </c>
      <c r="J110" s="2896"/>
    </row>
    <row r="111" ht="13.5" spans="1:10">
      <c r="A111" s="2851" t="s">
        <v>810</v>
      </c>
      <c r="B111" s="2852"/>
      <c r="C111" s="2847" t="str">
        <f>C108</f>
        <v>总额（元）</v>
      </c>
      <c r="D111" s="2769">
        <f>C38</f>
        <v>0</v>
      </c>
      <c r="E111" s="2579"/>
      <c r="F111" s="2860"/>
      <c r="G111" s="2677"/>
      <c r="H111" s="2839" t="s">
        <v>803</v>
      </c>
      <c r="I111" s="2903">
        <f ca="1">D113</f>
        <v>78250</v>
      </c>
      <c r="J111" s="2904"/>
    </row>
    <row r="112" ht="26.25" customHeight="1" spans="1:10">
      <c r="A112" s="2786" t="str">
        <f>IF(项目基本情况!F5="已注销","——","3.房地产抵押价值")</f>
        <v>3.房地产抵押价值</v>
      </c>
      <c r="B112" s="2296"/>
      <c r="C112" s="2839" t="str">
        <f>B101</f>
        <v>总价（元）</v>
      </c>
      <c r="D112" s="2856">
        <f ca="1">IF(A112="——","——",D106-D108)</f>
        <v>9653703</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78250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8302184</v>
      </c>
      <c r="E121" s="2133">
        <f ca="1">ROUND(IF(B32="楼面单价",C34,IF(H19="元",D121/B121,D121*10000/B121)),0)</f>
        <v>67295</v>
      </c>
      <c r="F121" s="2133">
        <f ca="1">ROUND(IF(B32="总价",C35,IF('数据-取费表'!B3="万元",G121*B121/10000,G121*B121)),0)</f>
        <v>1351518</v>
      </c>
      <c r="G121" s="2133">
        <f ca="1">ROUND(IF(B32="楼面单价",C35,IF(H19="元",F121/B121,F121*10000/B121)),0)</f>
        <v>10955</v>
      </c>
      <c r="H121" s="2133">
        <f ca="1">ROUND(IF(B32="总价",C32,IF('数据-取费表'!B3="万元",I121*B121/10000,I121*B121)),0)</f>
        <v>9653703</v>
      </c>
      <c r="I121" s="2769">
        <f ca="1">ROUND(IF(B32="楼面单价",C32,IF(H19="元",H121/B121,H121*10000/B121)),0)</f>
        <v>78250</v>
      </c>
      <c r="J121" s="2713"/>
    </row>
    <row r="122" ht="13.5" spans="1:10">
      <c r="A122" s="2693" t="s">
        <v>818</v>
      </c>
      <c r="B122" s="2133"/>
      <c r="C122" s="2133"/>
      <c r="D122" s="2873" t="str">
        <f ca="1">IF(H19="元",NUMBERSTRING(INT(D121),2)&amp;"元整",NUMBERSTRING(INT(D121*10000),2)&amp;"元整")</f>
        <v>捌佰叁拾万贰仟壹佰捌拾肆元整</v>
      </c>
      <c r="E122" s="2874"/>
      <c r="F122" s="2873" t="str">
        <f ca="1">IF(H19="元",NUMBERSTRING(INT(F121),2)&amp;"元整",NUMBERSTRING(INT(F121*10000),2)&amp;"元整")</f>
        <v>壹佰叁拾伍万壹仟伍佰壹拾捌元整</v>
      </c>
      <c r="G122" s="2874"/>
      <c r="H122" s="2873" t="str">
        <f ca="1">IF(H19="元",NUMBERSTRING(INT(H121),2)&amp;"元整",NUMBERSTRING(INT(H121*10000),2)&amp;"元整")</f>
        <v>玖佰陆拾伍万叁仟柒佰零叁元整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9653703</v>
      </c>
      <c r="E125" s="2830"/>
      <c r="F125" s="2830"/>
      <c r="G125" s="2830"/>
      <c r="H125" s="2830"/>
      <c r="I125" s="2895"/>
      <c r="J125" s="2896"/>
    </row>
    <row r="126" ht="13.5" spans="1:10">
      <c r="A126" s="2693" t="s">
        <v>818</v>
      </c>
      <c r="B126" s="2133"/>
      <c r="C126" s="2133"/>
      <c r="D126" s="2876">
        <f ca="1">I111</f>
        <v>78250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O13" workbookViewId="0">
      <selection activeCell="R17" sqref="R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D48">
      <formula1>"简单平均,加权平均"</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D16" workbookViewId="0">
      <selection activeCell="E35" sqref="E35"/>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3266080</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26474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3266080</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46</v>
      </c>
      <c r="H41" s="2152"/>
      <c r="I41" s="2236" t="s">
        <v>961</v>
      </c>
      <c r="J41" s="2233">
        <f ca="1">ROUND(C13/C40,3)</f>
        <v>0.14</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0.86</v>
      </c>
      <c r="K42" s="2230"/>
      <c r="L42" s="2152"/>
      <c r="M42" s="2152"/>
      <c r="Q42" s="2048"/>
    </row>
    <row r="43" s="2044" customFormat="1" ht="18" customHeight="1" spans="1:18">
      <c r="A43" s="2127" t="s">
        <v>1230</v>
      </c>
      <c r="B43" s="2154" t="s">
        <v>1246</v>
      </c>
      <c r="C43" s="2155">
        <f ca="1">ROUND(C40/F43,0)</f>
        <v>26474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3266080</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-3384428</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3266080</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58952712</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3266080</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58952712</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3266080</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3266080</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58952712</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-118348</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46</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-959</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3266080</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9653703</v>
      </c>
      <c r="E7" s="3498"/>
    </row>
    <row r="8" ht="28.5" spans="1:5">
      <c r="A8" s="3498"/>
      <c r="B8" s="3507"/>
      <c r="C8" s="3509" t="s">
        <v>90</v>
      </c>
      <c r="D8" s="3510" t="str">
        <f ca="1">IF('数据-取费表'!B3="万元",NUMBERSTRING(INT(D7*10000),2)&amp;"元整",NUMBERSTRING(INT(D7),2)&amp;"元整")</f>
        <v>玖佰陆拾伍万叁仟柒佰零叁元整</v>
      </c>
      <c r="E8" s="3498"/>
    </row>
    <row r="9" ht="14.25" spans="1:5">
      <c r="A9" s="3498"/>
      <c r="B9" s="3507"/>
      <c r="C9" s="3511" t="s">
        <v>91</v>
      </c>
      <c r="D9" s="3506">
        <f ca="1">IF('数据-取费表'!E3="否",结果表!I103,'结果表 (1修多)'!I105)</f>
        <v>78250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9653703</v>
      </c>
      <c r="E15" s="3498"/>
    </row>
    <row r="16" ht="28.5" spans="1:5">
      <c r="A16" s="3498"/>
      <c r="B16" s="3505"/>
      <c r="C16" s="3509" t="s">
        <v>90</v>
      </c>
      <c r="D16" s="3506" t="str">
        <f ca="1">IF('数据-取费表'!B3="万元",NUMBERSTRING(INT(D15*10000),2)&amp;"元整",NUMBERSTRING(INT(D15),2)&amp;"元整")</f>
        <v>玖佰陆拾伍万叁仟柒佰零叁元整</v>
      </c>
      <c r="E16" s="3498"/>
    </row>
    <row r="17" ht="14.25" spans="1:5">
      <c r="A17" s="3498"/>
      <c r="B17" s="3505"/>
      <c r="C17" s="3511" t="s">
        <v>91</v>
      </c>
      <c r="D17" s="3506">
        <f ca="1">IF('数据-取费表'!E3="否",结果表!I111,'结果表 (1修多)'!I113)</f>
        <v>78250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9653703</v>
      </c>
      <c r="E28" s="3498"/>
    </row>
    <row r="29" ht="28.5" spans="1:5">
      <c r="A29" s="3498"/>
      <c r="B29" s="3530"/>
      <c r="C29" s="3531" t="s">
        <v>90</v>
      </c>
      <c r="D29" s="3532" t="str">
        <f ca="1">IF('数据-取费表'!B3="万元",NUMBERSTRING(INT(D28*10000),2)&amp;"元整",NUMBERSTRING(INT(D28),2)&amp;"元整")</f>
        <v>玖佰陆拾伍万叁仟柒佰零叁元整</v>
      </c>
      <c r="E29" s="3498"/>
    </row>
    <row r="30" ht="14.25" spans="1:5">
      <c r="A30" s="3498"/>
      <c r="B30" s="3533"/>
      <c r="C30" s="3511" t="s">
        <v>99</v>
      </c>
      <c r="D30" s="3534">
        <f ca="1">IF('数据-取费表'!E3="否",结果表!I103,'结果表 (1修多)'!I105)</f>
        <v>78250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9653703</v>
      </c>
      <c r="E36" s="3498"/>
    </row>
    <row r="37" ht="28.5" spans="1:5">
      <c r="A37" s="3498"/>
      <c r="B37" s="3536"/>
      <c r="C37" s="3531" t="s">
        <v>90</v>
      </c>
      <c r="D37" s="3537" t="str">
        <f ca="1">IF('数据-取费表'!B3="万元",NUMBERSTRING(INT(D36*10000),2)&amp;"元整",NUMBERSTRING(INT(D36),2)&amp;"元整")</f>
        <v>玖佰陆拾伍万叁仟柒佰零叁元整</v>
      </c>
      <c r="E37" s="3498"/>
    </row>
    <row r="38" ht="14.25" spans="1:5">
      <c r="A38" s="3498"/>
      <c r="B38" s="3536"/>
      <c r="C38" s="3511" t="s">
        <v>99</v>
      </c>
      <c r="D38" s="3534">
        <f ca="1">IF('数据-取费表'!E3="否",结果表!D113,'结果表 (1修多)'!D117)</f>
        <v>78250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8302184</v>
      </c>
      <c r="E4" s="3487">
        <f ca="1">IF('数据-取费表'!E3="否",结果表!E121,'结果表 (1修多)'!E125)</f>
        <v>67295</v>
      </c>
      <c r="F4" s="3487">
        <f ca="1">IF('数据-取费表'!E3="否",结果表!F121,'结果表 (1修多)'!F125)</f>
        <v>1351518</v>
      </c>
      <c r="G4" s="3487">
        <f ca="1">IF('数据-取费表'!E3="否",结果表!G121,'结果表 (1修多)'!G125)</f>
        <v>10955</v>
      </c>
      <c r="H4" s="3487">
        <f ca="1">IF('数据-取费表'!E3="否",结果表!H121,'结果表 (1修多)'!H125)</f>
        <v>9653703</v>
      </c>
      <c r="I4" s="3487">
        <f ca="1">IF('数据-取费表'!E3="否",结果表!I121,'结果表 (1修多)'!I125)</f>
        <v>78250</v>
      </c>
    </row>
    <row r="5" ht="15" spans="1:9">
      <c r="A5" s="3487" t="s">
        <v>109</v>
      </c>
      <c r="B5" s="3487"/>
      <c r="C5" s="3487"/>
      <c r="D5" s="3488" t="str">
        <f ca="1">IF('数据-取费表'!E3="否",结果表!D122,'结果表 (1修多)'!D126)</f>
        <v>捌佰叁拾万贰仟壹佰捌拾肆元整</v>
      </c>
      <c r="E5" s="3488"/>
      <c r="F5" s="3488" t="str">
        <f ca="1">IF('数据-取费表'!E3="否",结果表!F122,'结果表 (1修多)'!F126)</f>
        <v>壹佰叁拾伍万壹仟伍佰壹拾捌元整</v>
      </c>
      <c r="G5" s="3488"/>
      <c r="H5" s="3488" t="str">
        <f ca="1">IF('数据-取费表'!E3="否",结果表!H122,'结果表 (1修多)'!H126)</f>
        <v>玖佰陆拾伍万叁仟柒佰零叁元整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9653703</v>
      </c>
      <c r="E8" s="3489"/>
      <c r="F8" s="3489"/>
      <c r="G8" s="3489"/>
      <c r="H8" s="3489"/>
      <c r="I8" s="3489"/>
    </row>
    <row r="9" ht="15" spans="1:9">
      <c r="A9" s="3487" t="s">
        <v>109</v>
      </c>
      <c r="B9" s="3487"/>
      <c r="C9" s="3487"/>
      <c r="D9" s="3488">
        <f ca="1">IF('数据-取费表'!E3="否",结果表!D126,'结果表 (1修多)'!D130)</f>
        <v>78250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F11" sqref="F11"/>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44582</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2022-01-21T06:40:33Z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