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<sst xmlns="http://schemas.openxmlformats.org/spreadsheetml/2006/main" count="6956" uniqueCount="2477">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</sst>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 numFmtId="177" formatCode="0.000_);[Red]\(0.000\)"/>
    <numFmt numFmtId="178" formatCode="0_ "/>
    <numFmt numFmtId="179" formatCode="0.00_ "/>
    <numFmt numFmtId="180" formatCode="0_);[Red]\(0\)"/>
    <numFmt numFmtId="181" formatCode="0.0%"/>
    <numFmt numFmtId="182" formatCode="0.0_ "/>
    <numFmt numFmtId="183" formatCode="0.000_ "/>
    <numFmt numFmtId="184" formatCode="0.0000_ "/>
    <numFmt numFmtId="185" formatCode="0.0_);[Red]\(0.0\)"/>
    <numFmt numFmtId="186" formatCode="[DBNum1][$-804]yyyy&quot;年&quot;m&quot;月&quot;d&quot;日&quot;;@"/>
    <numFmt numFmtId="187" formatCode="yyyy&quot;年&quot;m&quot;月&quot;d&quot;日&quot;;@"/>
    <numFmt numFmtId="188" formatCode="0.00_);[Red]\(0.00\)"/>
    <numFmt numFmtId="189" formatCode="yyyy&quot;年&quot;m&quot;月&quot;;@"/>
    <numFmt numFmtId="190" formatCode="0.000%"/>
    <numFmt numFmtId="191" formatCode="0_ ;[Red]\-0\ "/>
    <numFmt numFmtId="192" formatCode="0.0000%"/>
    <numFmt numFmtId="193" formatCode="[$-F800]dddd\,\ mmmm\ dd\,\ yyyy"/>
    <numFmt numFmtId="194" formatCode="0;_쐀"/>
    <numFmt numFmtId="195" formatCode="[DBNum2][$-804]General"/>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000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1"/>
      <name val="楷体_GB2312"/>
      <charset val="134"/>
    </font>
    <font>
      <b/>
      <sz val="9"/>
      <name val="宋体"/>
      <charset val="134"/>
    </font>
    <font>
      <b/>
      <sz val="10"/>
      <name val="宋体"/>
      <charset val="134"/>
    </font>
    <font>
      <sz val="10"/>
      <name val="宋体"/>
      <charset val="134"/>
    </font>
    <font>
      <sz val="11"/>
      <name val="宋体"/>
      <charset val="0"/>
      <scheme val="minor"/>
    </font>
    <font>
      <sz val="14"/>
      <name val="楷体_GB2312"/>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2" fillId="23" borderId="0" applyNumberFormat="0" applyBorder="0" applyAlignment="0" applyProtection="0">
      <alignment vertical="center"/>
    </xf>
    <xf numFmtId="0" fontId="154"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2" fillId="9" borderId="0" applyNumberFormat="0" applyBorder="0" applyAlignment="0" applyProtection="0">
      <alignment vertical="center"/>
    </xf>
    <xf numFmtId="0" fontId="150" fillId="21" borderId="0" applyNumberFormat="0" applyBorder="0" applyAlignment="0" applyProtection="0">
      <alignment vertical="center"/>
    </xf>
    <xf numFmtId="43" fontId="0" fillId="0" borderId="0" applyFont="0" applyFill="0" applyBorder="0" applyAlignment="0" applyProtection="0">
      <alignment vertical="center"/>
    </xf>
    <xf numFmtId="0" fontId="151"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7" borderId="179" applyNumberFormat="0" applyFont="0" applyAlignment="0" applyProtection="0">
      <alignment vertical="center"/>
    </xf>
    <xf numFmtId="0" fontId="151" fillId="29"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2" fillId="0" borderId="182" applyNumberFormat="0" applyFill="0" applyAlignment="0" applyProtection="0">
      <alignment vertical="center"/>
    </xf>
    <xf numFmtId="0" fontId="0" fillId="0" borderId="0"/>
    <xf numFmtId="0" fontId="164" fillId="0" borderId="182" applyNumberFormat="0" applyFill="0" applyAlignment="0" applyProtection="0">
      <alignment vertical="center"/>
    </xf>
    <xf numFmtId="0" fontId="151" fillId="33" borderId="0" applyNumberFormat="0" applyBorder="0" applyAlignment="0" applyProtection="0">
      <alignment vertical="center"/>
    </xf>
    <xf numFmtId="0" fontId="158" fillId="0" borderId="184" applyNumberFormat="0" applyFill="0" applyAlignment="0" applyProtection="0">
      <alignment vertical="center"/>
    </xf>
    <xf numFmtId="0" fontId="151" fillId="34" borderId="0" applyNumberFormat="0" applyBorder="0" applyAlignment="0" applyProtection="0">
      <alignment vertical="center"/>
    </xf>
    <xf numFmtId="0" fontId="160" fillId="30" borderId="181" applyNumberFormat="0" applyAlignment="0" applyProtection="0">
      <alignment vertical="center"/>
    </xf>
    <xf numFmtId="0" fontId="165" fillId="30" borderId="178" applyNumberFormat="0" applyAlignment="0" applyProtection="0">
      <alignment vertical="center"/>
    </xf>
    <xf numFmtId="0" fontId="166" fillId="36" borderId="185" applyNumberFormat="0" applyAlignment="0" applyProtection="0">
      <alignment vertical="center"/>
    </xf>
    <xf numFmtId="0" fontId="152" fillId="37" borderId="0" applyNumberFormat="0" applyBorder="0" applyAlignment="0" applyProtection="0">
      <alignment vertical="center"/>
    </xf>
    <xf numFmtId="0" fontId="151" fillId="39" borderId="0" applyNumberFormat="0" applyBorder="0" applyAlignment="0" applyProtection="0">
      <alignment vertical="center"/>
    </xf>
    <xf numFmtId="0" fontId="157" fillId="0" borderId="180" applyNumberFormat="0" applyFill="0" applyAlignment="0" applyProtection="0">
      <alignment vertical="center"/>
    </xf>
    <xf numFmtId="0" fontId="163" fillId="0" borderId="183" applyNumberFormat="0" applyFill="0" applyAlignment="0" applyProtection="0">
      <alignment vertical="center"/>
    </xf>
    <xf numFmtId="0" fontId="167" fillId="40" borderId="0" applyNumberFormat="0" applyBorder="0" applyAlignment="0" applyProtection="0">
      <alignment vertical="center"/>
    </xf>
    <xf numFmtId="0" fontId="0" fillId="0" borderId="0">
      <alignment vertical="center"/>
    </xf>
    <xf numFmtId="0" fontId="168" fillId="41" borderId="0" applyNumberFormat="0" applyBorder="0" applyAlignment="0" applyProtection="0">
      <alignment vertical="center"/>
    </xf>
    <xf numFmtId="0" fontId="119" fillId="0" borderId="0">
      <alignment vertical="center"/>
    </xf>
    <xf numFmtId="0" fontId="152" fillId="43" borderId="0" applyNumberFormat="0" applyBorder="0" applyAlignment="0" applyProtection="0">
      <alignment vertical="center"/>
    </xf>
    <xf numFmtId="0" fontId="151" fillId="44" borderId="0" applyNumberFormat="0" applyBorder="0" applyAlignment="0" applyProtection="0">
      <alignment vertical="center"/>
    </xf>
    <xf numFmtId="0" fontId="152" fillId="28" borderId="0" applyNumberFormat="0" applyBorder="0" applyAlignment="0" applyProtection="0">
      <alignment vertical="center"/>
    </xf>
    <xf numFmtId="0" fontId="152" fillId="31" borderId="0" applyNumberFormat="0" applyBorder="0" applyAlignment="0" applyProtection="0">
      <alignment vertical="center"/>
    </xf>
    <xf numFmtId="0" fontId="152" fillId="45" borderId="0" applyNumberFormat="0" applyBorder="0" applyAlignment="0" applyProtection="0">
      <alignment vertical="center"/>
    </xf>
    <xf numFmtId="0" fontId="152" fillId="32" borderId="0" applyNumberFormat="0" applyBorder="0" applyAlignment="0" applyProtection="0">
      <alignment vertical="center"/>
    </xf>
    <xf numFmtId="0" fontId="151" fillId="22" borderId="0" applyNumberFormat="0" applyBorder="0" applyAlignment="0" applyProtection="0">
      <alignment vertical="center"/>
    </xf>
    <xf numFmtId="0" fontId="0" fillId="0" borderId="0">
      <alignment vertical="center"/>
    </xf>
    <xf numFmtId="0" fontId="151" fillId="46" borderId="0" applyNumberFormat="0" applyBorder="0" applyAlignment="0" applyProtection="0">
      <alignment vertical="center"/>
    </xf>
    <xf numFmtId="0" fontId="152" fillId="48" borderId="0" applyNumberFormat="0" applyBorder="0" applyAlignment="0" applyProtection="0">
      <alignment vertical="center"/>
    </xf>
    <xf numFmtId="0" fontId="152" fillId="42" borderId="0" applyNumberFormat="0" applyBorder="0" applyAlignment="0" applyProtection="0">
      <alignment vertical="center"/>
    </xf>
    <xf numFmtId="0" fontId="151" fillId="35" borderId="0" applyNumberFormat="0" applyBorder="0" applyAlignment="0" applyProtection="0">
      <alignment vertical="center"/>
    </xf>
    <xf numFmtId="0" fontId="0" fillId="0" borderId="0">
      <alignment vertical="center"/>
    </xf>
    <xf numFmtId="0" fontId="152" fillId="14" borderId="0" applyNumberFormat="0" applyBorder="0" applyAlignment="0" applyProtection="0">
      <alignment vertical="center"/>
    </xf>
    <xf numFmtId="0" fontId="151" fillId="47" borderId="0" applyNumberFormat="0" applyBorder="0" applyAlignment="0" applyProtection="0">
      <alignment vertical="center"/>
    </xf>
    <xf numFmtId="0" fontId="151" fillId="25" borderId="0" applyNumberFormat="0" applyBorder="0" applyAlignment="0" applyProtection="0">
      <alignment vertical="center"/>
    </xf>
    <xf numFmtId="0" fontId="152" fillId="49"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0" fontId="17" fillId="5" borderId="0" xfId="20" applyNumberFormat="1" applyFont="1" applyFill="1" applyBorder="1" applyAlignment="1">
      <alignment horizontal="left" vertical="center"/>
    </xf>
    <xf numFmtId="180"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180"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8"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8"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8"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0" fontId="48" fillId="2" borderId="95"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9" xfId="59" applyNumberFormat="1" applyFont="1" applyFill="1" applyBorder="1" applyAlignment="1">
      <alignment horizontal="left" vertical="center"/>
    </xf>
    <xf numFmtId="181"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0"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0"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0"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0"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1"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3"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8" fontId="48"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1"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8" fontId="97" fillId="2" borderId="7" xfId="57" applyNumberFormat="1" applyFont="1" applyFill="1" applyBorder="1" applyAlignment="1" applyProtection="1">
      <alignment horizontal="center" vertical="center"/>
    </xf>
    <xf numFmtId="179"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7"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7"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6" fontId="136" fillId="0" borderId="0" xfId="0" applyNumberFormat="1" applyFont="1" applyAlignment="1">
      <alignment vertical="center"/>
    </xf>
    <xf numFmtId="186"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0"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86" fontId="119"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twoCellAnchor editAs="oneCell">
    <xdr:from>
      <xdr:col>0</xdr:col>
      <xdr:colOff>638175</xdr:colOff>
      <xdr:row>113</xdr:row>
      <xdr:rowOff>142875</xdr:rowOff>
    </xdr:from>
    <xdr:to>
      <xdr:col>15</xdr:col>
      <xdr:colOff>676275</xdr:colOff>
      <xdr:row>120</xdr:row>
      <xdr:rowOff>152400</xdr:rowOff>
    </xdr:to>
    <xdr:pic>
      <xdr:nvPicPr>
        <xdr:cNvPr id="3" name="图片 2"/>
        <xdr:cNvPicPr>
          <a:picLocks noChangeAspect="1"/>
        </xdr:cNvPicPr>
      </xdr:nvPicPr>
      <xdr:blipFill>
        <a:blip r:embed="rId7"/>
        <a:stretch>
          <a:fillRect/>
        </a:stretch>
      </xdr:blipFill>
      <xdr:spPr>
        <a:xfrm>
          <a:off x="638175" y="19516725"/>
          <a:ext cx="10325100" cy="1209675"/>
        </a:xfrm>
        <a:prstGeom prst="rect">
          <a:avLst/>
        </a:prstGeom>
        <a:noFill/>
        <a:ln w="9525">
          <a:noFill/>
        </a:ln>
      </xdr:spPr>
    </xdr:pic>
    <xdr:clientData/>
  </xdr:twoCellAnchor>
  <xdr:twoCellAnchor editAs="oneCell">
    <xdr:from>
      <xdr:col>0</xdr:col>
      <xdr:colOff>628650</xdr:colOff>
      <xdr:row>122</xdr:row>
      <xdr:rowOff>85725</xdr:rowOff>
    </xdr:from>
    <xdr:to>
      <xdr:col>13</xdr:col>
      <xdr:colOff>495300</xdr:colOff>
      <xdr:row>128</xdr:row>
      <xdr:rowOff>142875</xdr:rowOff>
    </xdr:to>
    <xdr:pic>
      <xdr:nvPicPr>
        <xdr:cNvPr id="9" name="图片 8"/>
        <xdr:cNvPicPr>
          <a:picLocks noChangeAspect="1"/>
        </xdr:cNvPicPr>
      </xdr:nvPicPr>
      <xdr:blipFill>
        <a:blip r:embed="rId8"/>
        <a:stretch>
          <a:fillRect/>
        </a:stretch>
      </xdr:blipFill>
      <xdr:spPr>
        <a:xfrm>
          <a:off x="628650" y="21002625"/>
          <a:ext cx="8782050" cy="1085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4" customWidth="1"/>
    <col min="2" max="2" width="94.875"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9653703</v>
      </c>
    </row>
    <row r="20" spans="1:2">
      <c r="A20" s="3581" t="s">
        <v>20</v>
      </c>
      <c r="B20" s="3585" t="str">
        <f>'预评函-2（1）'!C7</f>
        <v>总价（元）</v>
      </c>
    </row>
    <row r="21" spans="1:2">
      <c r="A21" s="3581" t="s">
        <v>21</v>
      </c>
      <c r="B21" s="3585">
        <f ca="1">'预评函-2（1）'!D9</f>
        <v>78250</v>
      </c>
    </row>
    <row r="22" spans="1:2">
      <c r="A22" s="3581" t="s">
        <v>22</v>
      </c>
      <c r="B22" s="3585" t="str">
        <f ca="1">'预评函-2（1）'!D8</f>
        <v>玖佰陆拾伍万叁仟柒佰零叁元整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9653703</v>
      </c>
    </row>
    <row r="30" spans="1:2">
      <c r="A30" s="3581" t="s">
        <v>30</v>
      </c>
      <c r="B30" s="3585" t="str">
        <f ca="1">'预评函-2（1）'!D16</f>
        <v>玖佰陆拾伍万叁仟柒佰零叁元整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8302184</v>
      </c>
    </row>
    <row r="38" spans="1:2">
      <c r="A38" s="3581" t="s">
        <v>38</v>
      </c>
      <c r="B38" s="3585">
        <f ca="1">'预评函-2（2）'!E4</f>
        <v>67295</v>
      </c>
    </row>
    <row r="39" spans="1:2">
      <c r="A39" s="3581" t="s">
        <v>39</v>
      </c>
      <c r="B39" s="3585" t="str">
        <f ca="1">'预评函-2（2）'!D5</f>
        <v>捌佰叁拾万贰仟壹佰捌拾肆元整</v>
      </c>
    </row>
    <row r="40" spans="1:2">
      <c r="A40" s="3581" t="s">
        <v>40</v>
      </c>
      <c r="B40" s="3585">
        <f ca="1">'预评函-2（2）'!F4</f>
        <v>1351518</v>
      </c>
    </row>
    <row r="41" spans="1:2">
      <c r="A41" s="3581" t="s">
        <v>41</v>
      </c>
      <c r="B41" s="3585">
        <f ca="1">'预评函-2（2）'!G4</f>
        <v>10955</v>
      </c>
    </row>
    <row r="42" s="3572" customFormat="1" ht="15.75" spans="1:2">
      <c r="A42" s="3583" t="s">
        <v>42</v>
      </c>
      <c r="B42" s="3587" t="str">
        <f ca="1">'预评函-2（2）'!F5</f>
        <v>壹佰叁拾伍万壹仟伍佰壹拾捌元整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78250</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topLeftCell="B1" workbookViewId="0">
      <selection activeCell="E12" sqref="E12"/>
    </sheetView>
  </sheetViews>
  <sheetFormatPr defaultColWidth="10" defaultRowHeight="12.75"/>
  <cols>
    <col min="1" max="1" width="18.625" style="3244" customWidth="1"/>
    <col min="2" max="2" width="15" style="3244" customWidth="1"/>
    <col min="3" max="3" width="14.125" style="3244" customWidth="1"/>
    <col min="4" max="4" width="12.5" style="3244" customWidth="1"/>
    <col min="5" max="5" width="13.875" style="3244" customWidth="1"/>
    <col min="6" max="6" width="15" style="3244" customWidth="1"/>
    <col min="7" max="7" width="14.875" style="3244" customWidth="1"/>
    <col min="8" max="8" width="4.25"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42 E42:E43 G42:G43">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6" customWidth="1"/>
    <col min="2" max="2" width="10.625" style="3236" customWidth="1"/>
    <col min="3" max="3" width="15.75" style="3236" customWidth="1"/>
    <col min="4" max="7" width="9.5" style="3236" customWidth="1"/>
    <col min="8" max="13" width="9.125"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B31" sqref="B31"/>
    </sheetView>
  </sheetViews>
  <sheetFormatPr defaultColWidth="13.75" defaultRowHeight="12.75"/>
  <cols>
    <col min="1" max="1" width="20.875" style="3125" customWidth="1"/>
    <col min="2" max="2" width="18.25" style="3048" customWidth="1"/>
    <col min="3" max="3" width="18.25" style="3049" customWidth="1"/>
    <col min="4" max="4" width="34.125" style="3126" customWidth="1"/>
    <col min="5" max="5" width="17.625" style="3126" customWidth="1"/>
    <col min="6" max="6" width="15.5" style="3127" customWidth="1"/>
    <col min="7" max="8" width="9.125" style="3128" customWidth="1"/>
    <col min="9" max="9" width="15" style="3049" customWidth="1"/>
    <col min="10" max="14" width="8.875" style="3049" customWidth="1"/>
    <col min="15" max="16" width="12.375" style="3049" customWidth="1"/>
    <col min="17" max="17" width="8.625" style="3049" customWidth="1"/>
    <col min="18" max="18" width="12.5" style="3049" customWidth="1"/>
    <col min="19" max="19" width="8.5" style="3049" customWidth="1"/>
    <col min="20" max="21" width="10.875" style="3049" customWidth="1"/>
    <col min="22" max="23" width="12.5" style="3049" customWidth="1"/>
    <col min="24" max="24" width="12.125" style="3049" customWidth="1"/>
    <col min="25" max="25" width="7.5" style="3049" customWidth="1"/>
    <col min="26" max="26" width="6.375" style="3049" customWidth="1"/>
    <col min="27" max="32" width="6.75" style="3049" customWidth="1"/>
    <col min="33" max="33" width="6.5" style="3049" customWidth="1"/>
    <col min="34" max="36" width="7.25" style="3049" customWidth="1"/>
    <col min="37" max="41" width="8" style="3049" customWidth="1"/>
    <col min="42" max="16384" width="13.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3200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394784</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0.2</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0.08</v>
      </c>
      <c r="D33" s="3170" t="s">
        <v>517</v>
      </c>
      <c r="E33" s="3207">
        <v>0.03</v>
      </c>
      <c r="F33" s="3212" t="s">
        <v>518</v>
      </c>
      <c r="G33" s="3135"/>
      <c r="H33" s="3135"/>
      <c r="K33" s="1080"/>
      <c r="L33" s="1080"/>
      <c r="M33" s="1080"/>
      <c r="N33" s="1080"/>
    </row>
    <row r="34" s="3049" customFormat="1" ht="14.25" spans="1:14">
      <c r="A34" s="3157" t="s">
        <v>519</v>
      </c>
      <c r="B34" s="3213">
        <f>收益法!J54</f>
        <v>46</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52" customWidth="1"/>
    <col min="2" max="2" width="24.5" style="3053" customWidth="1"/>
    <col min="3" max="3" width="28.375" style="3054" customWidth="1"/>
    <col min="4" max="4" width="2.625" style="3054" customWidth="1"/>
    <col min="5" max="5" width="5.875" style="3054" customWidth="1"/>
    <col min="6" max="6" width="27" style="3053" customWidth="1"/>
    <col min="7" max="7" width="32.375" style="3055" customWidth="1"/>
    <col min="8" max="8" width="11.875" style="3056" customWidth="1"/>
    <col min="9" max="9" width="16.75" style="3057" customWidth="1"/>
    <col min="10" max="10" width="2.625" style="3056" customWidth="1"/>
    <col min="11" max="11" width="11.875" style="3056" customWidth="1"/>
    <col min="12" max="12" width="16.75" style="3057" customWidth="1"/>
    <col min="13" max="13" width="2.625" style="3056" customWidth="1"/>
    <col min="14" max="14" width="11.875" style="3056" customWidth="1"/>
    <col min="15" max="15" width="16.75" style="3057" customWidth="1"/>
    <col min="16" max="16" width="2.625" style="3056" customWidth="1"/>
    <col min="17" max="17" width="11.875" style="3056" customWidth="1"/>
    <col min="18" max="18" width="16.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7"/>
  <sheetViews>
    <sheetView tabSelected="1" view="pageBreakPreview" zoomScale="80" zoomScaleNormal="100" workbookViewId="0">
      <selection activeCell="D14" sqref="D14"/>
    </sheetView>
  </sheetViews>
  <sheetFormatPr defaultColWidth="14.625" defaultRowHeight="13.5"/>
  <cols>
    <col min="1" max="1" width="24.375" style="3033" customWidth="1"/>
    <col min="2" max="16384" width="14.625"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965.3751</v>
      </c>
      <c r="C5" s="3034">
        <f ca="1">ROUND(B5*10000/$B$1,0)</f>
        <v>78250</v>
      </c>
      <c r="D5" s="3034" t="e">
        <f ca="1">ROUND(B5*10000/$B$2,0)</f>
        <v>#DIV/0!</v>
      </c>
      <c r="E5" s="3035"/>
      <c r="F5" s="3036"/>
      <c r="G5" s="3036"/>
    </row>
    <row r="6" ht="16.5" spans="1:7">
      <c r="A6" s="3034" t="s">
        <v>587</v>
      </c>
      <c r="B6" s="3034">
        <f>SUM(G14:G23)</f>
        <v>0</v>
      </c>
      <c r="C6" s="3034">
        <f t="shared" ref="C6:C8" si="0">ROUND(B6*10000/$B$1,0)</f>
        <v>0</v>
      </c>
      <c r="D6" s="3034" t="e">
        <f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结果表!G24/10000</f>
        <v>965.3751</v>
      </c>
      <c r="E14" s="3042">
        <f>ROUND(E27*10000/B14,0)</f>
        <v>78250</v>
      </c>
      <c r="F14" s="3042" t="e">
        <f ca="1">ROUND(D14*10000/C14,0)</f>
        <v>#DIV/0!</v>
      </c>
      <c r="G14" s="3042"/>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row r="27" spans="5:5">
      <c r="E27" s="3033">
        <v>965.3751</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B1" workbookViewId="0">
      <selection activeCell="G25" sqref="G25"/>
    </sheetView>
  </sheetViews>
  <sheetFormatPr defaultColWidth="12.625" defaultRowHeight="21.75" customHeight="1"/>
  <cols>
    <col min="1" max="2" width="12.625" style="2576"/>
    <col min="3" max="4" width="12.625" style="2576" customWidth="1"/>
    <col min="5" max="9" width="12.625" style="2576"/>
    <col min="10" max="10" width="3.6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3266080</v>
      </c>
      <c r="D19" s="2599">
        <f ca="1">SUMIF(INDIRECT("'"&amp;D4&amp;"'"&amp;"!A:A"),结果表!B19,INDIRECT("'"&amp;D4&amp;"'"&amp;"!B:B"))</f>
        <v>11253071</v>
      </c>
      <c r="E19" s="2596" t="s">
        <v>637</v>
      </c>
      <c r="F19" s="2597" t="s">
        <v>636</v>
      </c>
      <c r="G19" s="2600">
        <f ca="1">ROUND(C19*$C$18+D19*$D$18,0)</f>
        <v>9655673</v>
      </c>
      <c r="H19" s="2601" t="str">
        <f>'数据-取费表'!B3</f>
        <v>元</v>
      </c>
      <c r="I19" s="2975"/>
      <c r="J19" s="2976"/>
    </row>
    <row r="20" ht="15" spans="1:10">
      <c r="A20" s="2602"/>
      <c r="B20" s="1311" t="s">
        <v>638</v>
      </c>
      <c r="C20" s="1218">
        <f ca="1">SUMIF(INDIRECT("'"&amp;C4&amp;"'"&amp;"!A:A"),结果表!B20,INDIRECT("'"&amp;C4&amp;"'"&amp;"!B:B"))</f>
        <v>26474</v>
      </c>
      <c r="D20" s="2360">
        <f ca="1">SUMIF(INDIRECT("'"&amp;D4&amp;"'"&amp;"!A:A"),结果表!B20,INDIRECT("'"&amp;D4&amp;"'"&amp;"!B:B"))</f>
        <v>91214</v>
      </c>
      <c r="E20" s="2602"/>
      <c r="F20" s="1311" t="s">
        <v>638</v>
      </c>
      <c r="G20" s="1242">
        <f ca="1">ROUND(C20*$C$18+D20*$D$18,0)</f>
        <v>78266</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2.4454364253172</v>
      </c>
      <c r="E22" s="2230"/>
      <c r="F22" s="2230"/>
      <c r="G22" s="2230"/>
      <c r="H22" s="2230"/>
      <c r="I22" s="2230"/>
      <c r="J22" s="2714"/>
    </row>
    <row r="23" ht="14.25" spans="1:10">
      <c r="A23" s="2590"/>
      <c r="B23" s="2590"/>
      <c r="C23" s="2590"/>
      <c r="D23" s="2590"/>
      <c r="E23" s="2230"/>
      <c r="F23" s="2230"/>
      <c r="G23" s="2230">
        <f ca="1">ROUND(G20*'数据-取费表'!B5,0)</f>
        <v>9655676</v>
      </c>
      <c r="H23" s="2230"/>
      <c r="I23" s="2230"/>
      <c r="J23" s="2714"/>
    </row>
    <row r="24" customHeight="1" spans="1:10">
      <c r="A24" s="1122" t="s">
        <v>641</v>
      </c>
      <c r="B24" s="2597" t="s">
        <v>636</v>
      </c>
      <c r="C24" s="2600">
        <f>D30</f>
        <v>1925</v>
      </c>
      <c r="D24" s="2613"/>
      <c r="E24" s="2230"/>
      <c r="F24" s="2230"/>
      <c r="G24" s="2230">
        <f ca="1">G23-D30</f>
        <v>9653751</v>
      </c>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5"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78250.4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67295.4</v>
      </c>
      <c r="D34" s="2958">
        <f ca="1">IF(D33="自定义",ROUND(C34/C32,3),1-D35)</f>
        <v>0.86</v>
      </c>
      <c r="E34" s="2959" t="s">
        <v>654</v>
      </c>
      <c r="F34" s="2960">
        <v>2000</v>
      </c>
      <c r="G34" s="2230"/>
      <c r="H34" s="2230"/>
      <c r="I34" s="2230"/>
      <c r="J34" s="2714"/>
    </row>
    <row r="35" ht="15.75" spans="1:10">
      <c r="A35" s="2639"/>
      <c r="B35" s="2961" t="s">
        <v>655</v>
      </c>
      <c r="C35" s="2962">
        <f ca="1">IF(D33="自定义",F35,ROUND(C32*D35,0))</f>
        <v>10955</v>
      </c>
      <c r="D35" s="2963">
        <f ca="1">IF(D33="自定义",ROUND(C35/C32,3),IF(D33="成本法成本比率",成本法!C56,IF(D33="收益法收益比率",收益法!J38,收益法!J41)))</f>
        <v>0.14</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9653703</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514864</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9653703</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5"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514864</v>
      </c>
      <c r="E52" s="2133" t="s">
        <v>700</v>
      </c>
      <c r="F52" s="2694">
        <f>'数据-取费表'!E29</f>
        <v>0.056</v>
      </c>
      <c r="G52" s="2695"/>
      <c r="H52" s="2230"/>
      <c r="I52" s="2735"/>
      <c r="J52" s="2734"/>
      <c r="K52" s="2982">
        <v>1</v>
      </c>
      <c r="L52" s="2982" t="s">
        <v>701</v>
      </c>
      <c r="M52" s="2982"/>
      <c r="N52" s="2986">
        <f ca="1">D48</f>
        <v>514864</v>
      </c>
      <c r="O52" s="2982" t="str">
        <f>E48</f>
        <v>销售额×税（费）率</v>
      </c>
      <c r="P52" s="2987">
        <f>F48</f>
        <v>0.056</v>
      </c>
      <c r="Q52" s="2575"/>
    </row>
    <row r="53" ht="12" customHeight="1" spans="1:17">
      <c r="A53" s="2693" t="s">
        <v>702</v>
      </c>
      <c r="B53" s="2111" t="s">
        <v>703</v>
      </c>
      <c r="C53" s="2696"/>
      <c r="D53" s="2128">
        <f ca="1">ROUND(D45*'数据-取费表'!E29/(1+'数据-取费表'!F30),0)</f>
        <v>514864</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514864</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514864</v>
      </c>
      <c r="P57" s="2998"/>
      <c r="Q57" s="2761" t="e">
        <f ca="1">O57/N49</f>
        <v>#VALUE!</v>
      </c>
    </row>
    <row r="58" ht="24.75" spans="1:17">
      <c r="A58" s="2693" t="s">
        <v>698</v>
      </c>
      <c r="B58" s="2111" t="s">
        <v>717</v>
      </c>
      <c r="C58" s="2112"/>
      <c r="D58" s="2192">
        <f ca="1">IF(H58="转让取得",C81,C97)</f>
        <v>5463996</v>
      </c>
      <c r="E58" s="2133" t="s">
        <v>713</v>
      </c>
      <c r="F58" s="2078" t="s">
        <v>121</v>
      </c>
      <c r="G58" s="2695"/>
      <c r="H58" s="2699" t="s">
        <v>718</v>
      </c>
      <c r="I58" s="2700"/>
      <c r="J58" s="2734"/>
      <c r="K58" s="2982"/>
      <c r="L58" s="2982"/>
      <c r="M58" s="2995" t="s">
        <v>719</v>
      </c>
      <c r="N58" s="2999"/>
      <c r="O58" s="3000" t="str">
        <f ca="1">IF(H19="元",NUMBERSTRING(INT(O57),2)&amp;"元整",NUMBERSTRING(INT(O57*10000),2)&amp;"元整")</f>
        <v>伍拾壹万肆仟捌佰陆拾肆元整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9194003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9653703</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9194003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514864</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9194003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55164</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55164</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9138839</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165.66672104996</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5463996</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9194003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55164</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55164</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9138839</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165.66672104996</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5463996</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3266080</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26474</v>
      </c>
      <c r="D102" s="2838">
        <f ca="1">D20</f>
        <v>91214</v>
      </c>
      <c r="E102" s="2579"/>
      <c r="F102" s="2786" t="s">
        <v>804</v>
      </c>
      <c r="G102" s="2296"/>
      <c r="H102" s="2839" t="str">
        <f>C106</f>
        <v>总价（元）</v>
      </c>
      <c r="I102" s="2856">
        <f ca="1">H121</f>
        <v>9653703</v>
      </c>
      <c r="J102" s="2896"/>
    </row>
    <row r="103" ht="13.5" spans="1:10">
      <c r="A103" s="551" t="s">
        <v>805</v>
      </c>
      <c r="B103" s="519" t="str">
        <f>B101</f>
        <v>总价（元）</v>
      </c>
      <c r="C103" s="2843">
        <f ca="1">H121</f>
        <v>9653703</v>
      </c>
      <c r="D103" s="2840"/>
      <c r="E103" s="2579"/>
      <c r="F103" s="2786"/>
      <c r="G103" s="2296"/>
      <c r="H103" s="2839" t="s">
        <v>803</v>
      </c>
      <c r="I103" s="2769">
        <f ca="1">I121</f>
        <v>78250</v>
      </c>
      <c r="J103" s="2713"/>
    </row>
    <row r="104" ht="14.25" spans="1:10">
      <c r="A104" s="567"/>
      <c r="B104" s="2848" t="s">
        <v>803</v>
      </c>
      <c r="C104" s="2849">
        <f ca="1">I121</f>
        <v>78250</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9653703</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78250</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9653703</v>
      </c>
      <c r="J110" s="2896"/>
    </row>
    <row r="111" ht="13.5" spans="1:10">
      <c r="A111" s="2851" t="s">
        <v>810</v>
      </c>
      <c r="B111" s="2852"/>
      <c r="C111" s="2847" t="str">
        <f>C108</f>
        <v>总额（元）</v>
      </c>
      <c r="D111" s="2769">
        <f>C38</f>
        <v>0</v>
      </c>
      <c r="E111" s="2579"/>
      <c r="F111" s="2860"/>
      <c r="G111" s="2677"/>
      <c r="H111" s="2839" t="s">
        <v>803</v>
      </c>
      <c r="I111" s="2903">
        <f ca="1">D113</f>
        <v>78250</v>
      </c>
      <c r="J111" s="2904"/>
    </row>
    <row r="112" ht="26.25" customHeight="1" spans="1:10">
      <c r="A112" s="2786" t="str">
        <f>IF(项目基本情况!F5="已注销","——","3.房地产抵押价值")</f>
        <v>3.房地产抵押价值</v>
      </c>
      <c r="B112" s="2296"/>
      <c r="C112" s="2839" t="str">
        <f>B101</f>
        <v>总价（元）</v>
      </c>
      <c r="D112" s="2856">
        <f ca="1">IF(A112="——","——",D106-D108)</f>
        <v>9653703</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78250</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8302184</v>
      </c>
      <c r="E121" s="2133">
        <f ca="1">ROUND(IF(B32="楼面单价",C34,IF(H19="元",D121/B121,D121*10000/B121)),0)</f>
        <v>67295</v>
      </c>
      <c r="F121" s="2133">
        <f ca="1">ROUND(IF(B32="总价",C35,IF('数据-取费表'!B3="万元",G121*B121/10000,G121*B121)),0)</f>
        <v>1351518</v>
      </c>
      <c r="G121" s="2133">
        <f ca="1">ROUND(IF(B32="楼面单价",C35,IF(H19="元",F121/B121,F121*10000/B121)),0)</f>
        <v>10955</v>
      </c>
      <c r="H121" s="2133">
        <f ca="1">ROUND(IF(B32="总价",C32,IF('数据-取费表'!B3="万元",I121*B121/10000,I121*B121)),0)</f>
        <v>9653703</v>
      </c>
      <c r="I121" s="2769">
        <f ca="1">ROUND(IF(B32="楼面单价",C32,IF(H19="元",H121/B121,H121*10000/B121)),0)</f>
        <v>78250</v>
      </c>
      <c r="J121" s="2713"/>
    </row>
    <row r="122" ht="13.5" spans="1:10">
      <c r="A122" s="2693" t="s">
        <v>818</v>
      </c>
      <c r="B122" s="2133"/>
      <c r="C122" s="2133"/>
      <c r="D122" s="2873" t="str">
        <f ca="1">IF(H19="元",NUMBERSTRING(INT(D121),2)&amp;"元整",NUMBERSTRING(INT(D121*10000),2)&amp;"元整")</f>
        <v>捌佰叁拾万贰仟壹佰捌拾肆元整</v>
      </c>
      <c r="E122" s="2874"/>
      <c r="F122" s="2873" t="str">
        <f ca="1">IF(H19="元",NUMBERSTRING(INT(F121),2)&amp;"元整",NUMBERSTRING(INT(F121*10000),2)&amp;"元整")</f>
        <v>壹佰叁拾伍万壹仟伍佰壹拾捌元整</v>
      </c>
      <c r="G122" s="2874"/>
      <c r="H122" s="2873" t="str">
        <f ca="1">IF(H19="元",NUMBERSTRING(INT(H121),2)&amp;"元整",NUMBERSTRING(INT(H121*10000),2)&amp;"元整")</f>
        <v>玖佰陆拾伍万叁仟柒佰零叁元整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9653703</v>
      </c>
      <c r="E125" s="2830"/>
      <c r="F125" s="2830"/>
      <c r="G125" s="2830"/>
      <c r="H125" s="2830"/>
      <c r="I125" s="2895"/>
      <c r="J125" s="2896"/>
    </row>
    <row r="126" ht="13.5" spans="1:10">
      <c r="A126" s="2693" t="s">
        <v>818</v>
      </c>
      <c r="B126" s="2133"/>
      <c r="C126" s="2133"/>
      <c r="D126" s="2876">
        <f ca="1">I111</f>
        <v>78250</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91">
      <formula1>"企业提供（在右侧录入）,——"</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6"/>
    <col min="2" max="2" width="17.625" style="2576" customWidth="1"/>
    <col min="3" max="4" width="12.625" style="2576" customWidth="1"/>
    <col min="5" max="9" width="12.625" style="2576"/>
    <col min="10" max="10" width="4.125" style="2577" customWidth="1"/>
    <col min="11" max="12" width="12.625" style="1712" customWidth="1"/>
    <col min="13" max="13" width="12.625" style="1712"/>
    <col min="14" max="14" width="14.125" style="1712" customWidth="1"/>
    <col min="15" max="27" width="12.625" style="1712"/>
    <col min="28" max="36" width="12.625" style="2575"/>
    <col min="37" max="16384" width="12.625"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5"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5"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93">
      <formula1>"企业提供（在右侧录入）,——"</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90">
      <formula1>"仅含出让金,出让金+开发费"</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9" customWidth="1"/>
    <col min="2" max="2" width="29.25" style="2500" customWidth="1"/>
    <col min="3" max="3" width="12.125" style="2500" customWidth="1"/>
    <col min="4" max="4" width="12.25" style="2501" customWidth="1"/>
    <col min="5" max="5" width="11.25" style="2501" customWidth="1"/>
    <col min="6" max="6" width="9.5" style="2500" customWidth="1"/>
    <col min="7" max="7" width="31.875" style="2500" customWidth="1"/>
    <col min="8" max="123" width="9" style="2498" customWidth="1"/>
    <col min="124" max="254" width="9" style="2500" customWidth="1"/>
    <col min="255" max="16384" width="8.375"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1935410</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15688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213145</v>
      </c>
      <c r="D27" s="2539">
        <f>C29</f>
        <v>0.002</v>
      </c>
      <c r="E27" s="2540" t="s">
        <v>911</v>
      </c>
      <c r="F27" s="2535">
        <f>'数据-取费表'!E28</f>
        <v>0.2</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213145</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0.002</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1479335</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456963</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394784</v>
      </c>
      <c r="D34" s="2520"/>
      <c r="E34" s="2523"/>
      <c r="F34" s="2557" t="str">
        <f>IF('数据-取费表'!B26=0,"",'数据-取费表'!E20)</f>
        <v/>
      </c>
      <c r="G34" s="2522"/>
    </row>
    <row r="35" ht="13.5" customHeight="1" spans="1:7">
      <c r="A35" s="2517" t="s">
        <v>880</v>
      </c>
      <c r="B35" s="2518" t="s">
        <v>936</v>
      </c>
      <c r="C35" s="2523">
        <f>ROUND(C34*F35,0)</f>
        <v>11844</v>
      </c>
      <c r="D35" s="2523"/>
      <c r="E35" s="2523"/>
      <c r="F35" s="2558">
        <f>'数据-取费表'!E21</f>
        <v>0.03</v>
      </c>
      <c r="G35" s="2522" t="s">
        <v>937</v>
      </c>
    </row>
    <row r="36" ht="24" spans="1:7">
      <c r="A36" s="2517" t="s">
        <v>882</v>
      </c>
      <c r="B36" s="2518" t="s">
        <v>938</v>
      </c>
      <c r="C36" s="2523">
        <f>ROUND(IF('数据-取费表'!B10="住宅",C34*F36,0),0)</f>
        <v>19739</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5922</v>
      </c>
      <c r="D38" s="2523"/>
      <c r="E38" s="2523"/>
      <c r="F38" s="2558">
        <f>'数据-取费表'!E24</f>
        <v>0.015</v>
      </c>
      <c r="G38" s="2522" t="s">
        <v>937</v>
      </c>
    </row>
    <row r="39" s="2496" customFormat="1" ht="13.5" customHeight="1" spans="1:123">
      <c r="A39" s="2512" t="s">
        <v>904</v>
      </c>
      <c r="B39" s="2513" t="s">
        <v>907</v>
      </c>
      <c r="C39" s="2536">
        <f>ROUND(C33*F20,0)</f>
        <v>4570</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21923</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21706</v>
      </c>
      <c r="D42" s="2189"/>
      <c r="E42" s="2189"/>
      <c r="F42" s="2543"/>
      <c r="G42" s="2563" t="s">
        <v>946</v>
      </c>
    </row>
    <row r="43" ht="13.5" customHeight="1" spans="1:7">
      <c r="A43" s="2517" t="s">
        <v>880</v>
      </c>
      <c r="B43" s="2518" t="s">
        <v>917</v>
      </c>
      <c r="C43" s="2189">
        <f>ROUND(IF('数据-取费表'!B24&lt;=1,C39*F22*'数据-取费表'!B23/2,C39*(POWER((1+F22),'数据-取费表'!B23/2)-1)),0)</f>
        <v>217</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92307</v>
      </c>
      <c r="D45" s="2539">
        <f>C47</f>
        <v>0.002</v>
      </c>
      <c r="E45" s="2540" t="s">
        <v>944</v>
      </c>
      <c r="F45" s="2565">
        <f>F27</f>
        <v>0.2</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92307</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0.002</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616317</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456075</v>
      </c>
      <c r="D51" s="2536"/>
      <c r="E51" s="2536"/>
      <c r="F51" s="2567"/>
      <c r="G51" s="2538" t="s">
        <v>958</v>
      </c>
    </row>
    <row r="52" s="2495" customFormat="1" ht="16.5" spans="1:123">
      <c r="A52" s="2568" t="s">
        <v>959</v>
      </c>
      <c r="B52" s="2569"/>
      <c r="C52" s="2570">
        <f>C31+C51</f>
        <v>1935410</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0.236</v>
      </c>
    </row>
    <row r="57" spans="2:3">
      <c r="B57" s="2236" t="s">
        <v>962</v>
      </c>
      <c r="C57" s="2237">
        <f>1-C56</f>
        <v>0.764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4" customWidth="1"/>
    <col min="2" max="2" width="25.75" style="2405" customWidth="1"/>
    <col min="3" max="3" width="10.375" style="2406" customWidth="1"/>
    <col min="4" max="4" width="9.875" style="2405" customWidth="1"/>
    <col min="5" max="5" width="9.5" style="2404" customWidth="1"/>
    <col min="6" max="6" width="10.125" style="2405" customWidth="1"/>
    <col min="7" max="7" width="9.5" style="2405" customWidth="1"/>
    <col min="8" max="8" width="10" style="2405" customWidth="1"/>
    <col min="9" max="11" width="9.5" style="2405" customWidth="1"/>
    <col min="12" max="12" width="9" style="2405" customWidth="1"/>
    <col min="13" max="13" width="10.5" style="2405" customWidth="1"/>
    <col min="14" max="254" width="9" style="2405" customWidth="1"/>
    <col min="255" max="16384" width="6.625"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0.2058</v>
      </c>
      <c r="E28" s="2454" t="s">
        <v>1010</v>
      </c>
      <c r="F28" s="970">
        <f>'数据-取费表'!E28</f>
        <v>0.2</v>
      </c>
      <c r="G28" s="2464"/>
      <c r="H28" s="2452"/>
      <c r="I28" s="2452"/>
      <c r="J28" s="2452"/>
      <c r="K28" s="2491"/>
    </row>
    <row r="29" s="2403" customFormat="1" ht="13.5" customHeight="1" spans="1:11">
      <c r="A29" s="2433" t="s">
        <v>992</v>
      </c>
      <c r="B29" s="2465" t="s">
        <v>1020</v>
      </c>
      <c r="C29" s="2458">
        <f>ROUND((1+C24)*F28,4)</f>
        <v>0.2058</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O6" workbookViewId="0">
      <selection activeCell="R17" sqref="R17"/>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1" workbookViewId="0">
      <selection activeCell="P125" sqref="P125"/>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D16" workbookViewId="0">
      <selection activeCell="E35" sqref="E35"/>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3266080</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26474</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144553</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144373</v>
      </c>
      <c r="D6" s="2077" t="s">
        <v>1156</v>
      </c>
      <c r="E6" s="2078" t="s">
        <v>1157</v>
      </c>
      <c r="F6" s="2079">
        <f>'数据-取费表'!B30</f>
        <v>106</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0.08</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180</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456075</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394784</v>
      </c>
      <c r="D14" s="2111" t="s">
        <v>1174</v>
      </c>
      <c r="E14" s="2112"/>
      <c r="F14" s="2113"/>
      <c r="G14" s="2096"/>
      <c r="H14" s="2109" t="s">
        <v>969</v>
      </c>
      <c r="I14" s="2078" t="s">
        <v>1175</v>
      </c>
      <c r="J14" s="1763">
        <f>C29</f>
        <v>616317</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11844</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19739</v>
      </c>
      <c r="D16" s="2078" t="s">
        <v>1176</v>
      </c>
      <c r="E16" s="2078" t="s">
        <v>1177</v>
      </c>
      <c r="F16" s="2117">
        <f>IF('数据-取费表'!B10="住宅",'数据-取费表'!E22,0)</f>
        <v>0.05</v>
      </c>
      <c r="G16" s="2096"/>
      <c r="H16" s="2104" t="s">
        <v>743</v>
      </c>
      <c r="I16" s="2105" t="s">
        <v>1178</v>
      </c>
      <c r="J16" s="2106">
        <f ca="1">ROUND(J17+J22+J23+J24,0)</f>
        <v>6163</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5922</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456963</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4570</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6163</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21923</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-6163</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92307</v>
      </c>
      <c r="D26" s="2120" t="s">
        <v>1217</v>
      </c>
      <c r="E26" s="2090" t="s">
        <v>1218</v>
      </c>
      <c r="F26" s="2086">
        <f>'数据-取费表'!E28</f>
        <v>0.2</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0.002</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616317</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11502</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3437</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6163</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456</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1446</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133051</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3266080</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46</v>
      </c>
      <c r="H41" s="2152"/>
      <c r="I41" s="2236" t="s">
        <v>961</v>
      </c>
      <c r="J41" s="2233">
        <f ca="1">ROUND(C13/C40,3)</f>
        <v>0.14</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0.86</v>
      </c>
      <c r="K42" s="2230"/>
      <c r="L42" s="2152"/>
      <c r="M42" s="2152"/>
      <c r="Q42" s="2048"/>
    </row>
    <row r="43" s="2044" customFormat="1" ht="18" customHeight="1" spans="1:18">
      <c r="A43" s="2127" t="s">
        <v>1230</v>
      </c>
      <c r="B43" s="2154" t="s">
        <v>1246</v>
      </c>
      <c r="C43" s="2155">
        <f ca="1">ROUND(C40/F43,0)</f>
        <v>26474</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3266080</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-3384428</v>
      </c>
      <c r="D47" s="2165" t="str">
        <f>C2</f>
        <v>元</v>
      </c>
      <c r="E47" s="2160"/>
      <c r="F47" s="2160"/>
      <c r="I47" s="2245" t="s">
        <v>1259</v>
      </c>
      <c r="J47" s="2246"/>
      <c r="K47" s="2247"/>
      <c r="L47" s="2248">
        <f ca="1">IF(M48="住宅",0,IF(L49&gt;J52,L61,J61))</f>
        <v>0</v>
      </c>
      <c r="O47" s="2249" t="s">
        <v>1260</v>
      </c>
      <c r="P47" s="2244" t="s">
        <v>1261</v>
      </c>
      <c r="Q47" s="2293">
        <f>C29</f>
        <v>616317</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3266080</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58952712</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3266080</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456075</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616317</v>
      </c>
      <c r="D58" s="2185"/>
      <c r="E58" s="2186"/>
      <c r="F58" s="2187"/>
      <c r="I58" s="2279" t="s">
        <v>1299</v>
      </c>
      <c r="J58" s="2280" t="str">
        <f>IF(OR(M48="住宅",J52&lt;L49,J57="是"),"——",J52-L49)</f>
        <v>——</v>
      </c>
      <c r="K58" s="2255" t="s">
        <v>1300</v>
      </c>
      <c r="L58" s="2258">
        <f ca="1">IF(L49&lt;J52,"——",IF(L56="比较法",L50,IF(L56="基准地价",L51,L52)))</f>
        <v>58952712</v>
      </c>
      <c r="O58" s="2249" t="s">
        <v>1270</v>
      </c>
      <c r="P58" s="2244" t="s">
        <v>1301</v>
      </c>
      <c r="Q58" s="2293" t="e">
        <f>L59</f>
        <v>#DIV/0!</v>
      </c>
      <c r="R58" s="2294" t="s">
        <v>1302</v>
      </c>
    </row>
    <row r="59" s="2044" customFormat="1" ht="29.25" spans="1:18">
      <c r="A59" s="2190" t="s">
        <v>743</v>
      </c>
      <c r="B59" s="2191" t="s">
        <v>1178</v>
      </c>
      <c r="C59" s="1716">
        <f ca="1">ROUND(C60+C65+C66+C67,0)</f>
        <v>6619</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3266080</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3266080</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6163</v>
      </c>
      <c r="D65" s="2133" t="s">
        <v>1238</v>
      </c>
      <c r="E65" s="2078" t="s">
        <v>1177</v>
      </c>
      <c r="F65" s="2142">
        <f t="shared" si="0"/>
        <v>0.01</v>
      </c>
      <c r="I65" s="2285" t="s">
        <v>1323</v>
      </c>
      <c r="J65" s="2286">
        <v>50</v>
      </c>
      <c r="K65" s="2286">
        <v>35</v>
      </c>
      <c r="L65" s="2286">
        <v>60</v>
      </c>
      <c r="M65" s="2287">
        <v>0</v>
      </c>
      <c r="O65" s="2249" t="s">
        <v>1260</v>
      </c>
      <c r="P65" s="2244" t="s">
        <v>1294</v>
      </c>
      <c r="Q65" s="2300">
        <f ca="1">L52</f>
        <v>58952712</v>
      </c>
      <c r="R65" s="2301" t="s">
        <v>1324</v>
      </c>
    </row>
    <row r="66" s="2044" customFormat="1" ht="20.25" spans="1:18">
      <c r="A66" s="2109" t="s">
        <v>1325</v>
      </c>
      <c r="B66" s="2078" t="s">
        <v>1207</v>
      </c>
      <c r="C66" s="1763">
        <f>ROUND(C57*F66,0)</f>
        <v>456</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133051</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133051</v>
      </c>
      <c r="R67" s="2294" t="s">
        <v>1255</v>
      </c>
    </row>
    <row r="68" ht="15.75" spans="1:18">
      <c r="A68" s="2190" t="s">
        <v>746</v>
      </c>
      <c r="B68" s="2296" t="s">
        <v>1214</v>
      </c>
      <c r="C68" s="1716">
        <f ca="1">C49-C59</f>
        <v>-6619</v>
      </c>
      <c r="D68" s="2111" t="s">
        <v>1215</v>
      </c>
      <c r="E68" s="2297"/>
      <c r="F68" s="2298"/>
      <c r="H68" s="2044"/>
      <c r="I68" s="2044"/>
      <c r="J68" s="2044"/>
      <c r="K68" s="2044"/>
      <c r="L68" s="2044"/>
      <c r="M68" s="2044"/>
      <c r="O68" s="2249" t="s">
        <v>1331</v>
      </c>
      <c r="P68" s="2299" t="s">
        <v>1332</v>
      </c>
      <c r="Q68" s="2293">
        <f>C13</f>
        <v>456075</v>
      </c>
      <c r="R68" s="2294" t="s">
        <v>1255</v>
      </c>
    </row>
    <row r="69" ht="15.75" spans="1:18">
      <c r="A69" s="2070" t="s">
        <v>772</v>
      </c>
      <c r="B69" s="2071" t="s">
        <v>1243</v>
      </c>
      <c r="C69" s="2072">
        <f ca="1">ROUND(C68*(1-((1+F71)/(1+F69))^F70)/(F69-F71),0)</f>
        <v>-118348</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46</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-959</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3266080</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D42">
      <formula1>"简单平均,加权平均"</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D38">
      <formula1>"简单平均,加权平均"</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D57:D65">
      <formula1>"25%,1"</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6" customWidth="1"/>
    <col min="2" max="3" width="12.5" style="3466" customWidth="1"/>
    <col min="4" max="6" width="8.125" style="3466"/>
    <col min="7" max="7" width="17.5" style="3466" customWidth="1"/>
    <col min="8" max="16384" width="8.125"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5"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5"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6" customWidth="1"/>
    <col min="2" max="2" width="37.875" style="3496" customWidth="1"/>
    <col min="3" max="3" width="16.125" style="3496" customWidth="1"/>
    <col min="4" max="4" width="22.25" style="3496" customWidth="1"/>
    <col min="5" max="5" width="4.125"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9653703</v>
      </c>
      <c r="E7" s="3498"/>
    </row>
    <row r="8" ht="28.5" spans="1:5">
      <c r="A8" s="3498"/>
      <c r="B8" s="3507"/>
      <c r="C8" s="3509" t="s">
        <v>90</v>
      </c>
      <c r="D8" s="3510" t="str">
        <f ca="1">IF('数据-取费表'!B3="万元",NUMBERSTRING(INT(D7*10000),2)&amp;"元整",NUMBERSTRING(INT(D7),2)&amp;"元整")</f>
        <v>玖佰陆拾伍万叁仟柒佰零叁元整</v>
      </c>
      <c r="E8" s="3498"/>
    </row>
    <row r="9" ht="14.25" spans="1:5">
      <c r="A9" s="3498"/>
      <c r="B9" s="3507"/>
      <c r="C9" s="3511" t="s">
        <v>91</v>
      </c>
      <c r="D9" s="3506">
        <f ca="1">IF('数据-取费表'!E3="否",结果表!I103,'结果表 (1修多)'!I105)</f>
        <v>78250</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9653703</v>
      </c>
      <c r="E15" s="3498"/>
    </row>
    <row r="16" ht="28.5" spans="1:5">
      <c r="A16" s="3498"/>
      <c r="B16" s="3505"/>
      <c r="C16" s="3509" t="s">
        <v>90</v>
      </c>
      <c r="D16" s="3506" t="str">
        <f ca="1">IF('数据-取费表'!B3="万元",NUMBERSTRING(INT(D15*10000),2)&amp;"元整",NUMBERSTRING(INT(D15),2)&amp;"元整")</f>
        <v>玖佰陆拾伍万叁仟柒佰零叁元整</v>
      </c>
      <c r="E16" s="3498"/>
    </row>
    <row r="17" ht="14.25" spans="1:5">
      <c r="A17" s="3498"/>
      <c r="B17" s="3505"/>
      <c r="C17" s="3511" t="s">
        <v>91</v>
      </c>
      <c r="D17" s="3506">
        <f ca="1">IF('数据-取费表'!E3="否",结果表!I111,'结果表 (1修多)'!I113)</f>
        <v>78250</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9653703</v>
      </c>
      <c r="E28" s="3498"/>
    </row>
    <row r="29" ht="28.5" spans="1:5">
      <c r="A29" s="3498"/>
      <c r="B29" s="3530"/>
      <c r="C29" s="3531" t="s">
        <v>90</v>
      </c>
      <c r="D29" s="3532" t="str">
        <f ca="1">IF('数据-取费表'!B3="万元",NUMBERSTRING(INT(D28*10000),2)&amp;"元整",NUMBERSTRING(INT(D28),2)&amp;"元整")</f>
        <v>玖佰陆拾伍万叁仟柒佰零叁元整</v>
      </c>
      <c r="E29" s="3498"/>
    </row>
    <row r="30" ht="14.25" spans="1:5">
      <c r="A30" s="3498"/>
      <c r="B30" s="3533"/>
      <c r="C30" s="3511" t="s">
        <v>99</v>
      </c>
      <c r="D30" s="3534">
        <f ca="1">IF('数据-取费表'!E3="否",结果表!I103,'结果表 (1修多)'!I105)</f>
        <v>78250</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9653703</v>
      </c>
      <c r="E36" s="3498"/>
    </row>
    <row r="37" ht="28.5" spans="1:5">
      <c r="A37" s="3498"/>
      <c r="B37" s="3536"/>
      <c r="C37" s="3531" t="s">
        <v>90</v>
      </c>
      <c r="D37" s="3537" t="str">
        <f ca="1">IF('数据-取费表'!B3="万元",NUMBERSTRING(INT(D36*10000),2)&amp;"元整",NUMBERSTRING(INT(D36),2)&amp;"元整")</f>
        <v>玖佰陆拾伍万叁仟柒佰零叁元整</v>
      </c>
      <c r="E37" s="3498"/>
    </row>
    <row r="38" ht="14.25" spans="1:5">
      <c r="A38" s="3498"/>
      <c r="B38" s="3536"/>
      <c r="C38" s="3511" t="s">
        <v>99</v>
      </c>
      <c r="D38" s="3534">
        <f ca="1">IF('数据-取费表'!E3="否",结果表!D113,'结果表 (1修多)'!D117)</f>
        <v>78250</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466" customWidth="1"/>
    <col min="2" max="9" width="12.25"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8302184</v>
      </c>
      <c r="E4" s="3487">
        <f ca="1">IF('数据-取费表'!E3="否",结果表!E121,'结果表 (1修多)'!E125)</f>
        <v>67295</v>
      </c>
      <c r="F4" s="3487">
        <f ca="1">IF('数据-取费表'!E3="否",结果表!F121,'结果表 (1修多)'!F125)</f>
        <v>1351518</v>
      </c>
      <c r="G4" s="3487">
        <f ca="1">IF('数据-取费表'!E3="否",结果表!G121,'结果表 (1修多)'!G125)</f>
        <v>10955</v>
      </c>
      <c r="H4" s="3487">
        <f ca="1">IF('数据-取费表'!E3="否",结果表!H121,'结果表 (1修多)'!H125)</f>
        <v>9653703</v>
      </c>
      <c r="I4" s="3487">
        <f ca="1">IF('数据-取费表'!E3="否",结果表!I121,'结果表 (1修多)'!I125)</f>
        <v>78250</v>
      </c>
    </row>
    <row r="5" ht="15" spans="1:9">
      <c r="A5" s="3487" t="s">
        <v>109</v>
      </c>
      <c r="B5" s="3487"/>
      <c r="C5" s="3487"/>
      <c r="D5" s="3488" t="str">
        <f ca="1">IF('数据-取费表'!E3="否",结果表!D122,'结果表 (1修多)'!D126)</f>
        <v>捌佰叁拾万贰仟壹佰捌拾肆元整</v>
      </c>
      <c r="E5" s="3488"/>
      <c r="F5" s="3488" t="str">
        <f ca="1">IF('数据-取费表'!E3="否",结果表!F122,'结果表 (1修多)'!F126)</f>
        <v>壹佰叁拾伍万壹仟伍佰壹拾捌元整</v>
      </c>
      <c r="G5" s="3488"/>
      <c r="H5" s="3488" t="str">
        <f ca="1">IF('数据-取费表'!E3="否",结果表!H122,'结果表 (1修多)'!H126)</f>
        <v>玖佰陆拾伍万叁仟柒佰零叁元整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9653703</v>
      </c>
      <c r="E8" s="3489"/>
      <c r="F8" s="3489"/>
      <c r="G8" s="3489"/>
      <c r="H8" s="3489"/>
      <c r="I8" s="3489"/>
    </row>
    <row r="9" ht="15" spans="1:9">
      <c r="A9" s="3487" t="s">
        <v>109</v>
      </c>
      <c r="B9" s="3487"/>
      <c r="C9" s="3487"/>
      <c r="D9" s="3488">
        <f ca="1">IF('数据-取费表'!E3="否",结果表!D126,'结果表 (1修多)'!D130)</f>
        <v>78250</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6" customWidth="1"/>
    <col min="2" max="2" width="24" style="3466" customWidth="1"/>
    <col min="3" max="3" width="23.25"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4" customWidth="1"/>
    <col min="2" max="16384" width="14.5"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F11" sqref="F11"/>
    </sheetView>
  </sheetViews>
  <sheetFormatPr defaultColWidth="22.625" defaultRowHeight="24" customHeight="1" outlineLevelCol="7"/>
  <cols>
    <col min="1" max="1" width="24.625" style="3411" customWidth="1"/>
    <col min="2" max="2" width="38.625" style="3411" customWidth="1"/>
    <col min="3" max="3" width="26" style="3411" customWidth="1"/>
    <col min="4" max="4" width="35" style="3411" hidden="1" customWidth="1"/>
    <col min="5" max="5" width="30.125" style="3411" customWidth="1"/>
    <col min="6" max="6" width="35.5" style="3411" customWidth="1"/>
    <col min="7" max="7" width="31" style="3411" customWidth="1"/>
    <col min="8" max="8" width="37.5" style="3411" hidden="1" customWidth="1"/>
    <col min="9" max="16384" width="22.625" style="3411"/>
  </cols>
  <sheetData>
    <row r="1" customHeight="1" spans="1:8">
      <c r="A1" s="3412"/>
      <c r="B1" s="3412"/>
      <c r="C1" s="3412"/>
      <c r="D1" s="3412"/>
      <c r="E1" s="3412"/>
      <c r="F1" s="3412"/>
      <c r="G1" s="3412"/>
      <c r="H1" s="3412"/>
    </row>
    <row r="2" customHeight="1" spans="1:8">
      <c r="A2" s="3413" t="s">
        <v>162</v>
      </c>
      <c r="B2" s="3414">
        <f ca="1">TODAY()</f>
        <v>44585</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5" style="3395" customWidth="1"/>
    <col min="3" max="3" width="13" style="2891" hidden="1" customWidth="1"/>
    <col min="4" max="4" width="5.75" style="3396" hidden="1" customWidth="1"/>
    <col min="5" max="5" width="7.125" style="3396" hidden="1" customWidth="1"/>
    <col min="6" max="6" width="10.625" style="3396" hidden="1" customWidth="1"/>
    <col min="7" max="7" width="7.5" style="3396" hidden="1" customWidth="1"/>
    <col min="8" max="8" width="9" style="2891" hidden="1" customWidth="1"/>
    <col min="9" max="9" width="11.625" style="2891" hidden="1" customWidth="1"/>
    <col min="10" max="10" width="9" style="2891" hidden="1" customWidth="1"/>
    <col min="11" max="19" width="9" style="3396" hidden="1" customWidth="1"/>
    <col min="20" max="24" width="9" style="2891" hidden="1" customWidth="1"/>
    <col min="25" max="25" width="9" style="2891" customWidth="1"/>
    <col min="26" max="26" width="15.875"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2022-01-24T06:14:03Z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