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租赁合同" sheetId="80" r:id="rId17"/>
    <sheet name="系统读取表" sheetId="74" r:id="rId18"/>
    <sheet name="结果表" sheetId="9" r:id="rId19"/>
    <sheet name="成本法" sheetId="68" state="hidden" r:id="rId20"/>
    <sheet name="比较法-工业" sheetId="37" r:id="rId21"/>
    <sheet name="租金比较法-工业" sheetId="83" r:id="rId22"/>
    <sheet name="收益法 (元)" sheetId="67" r:id="rId23"/>
    <sheet name="成本法 (元)" sheetId="69"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租金案例" sheetId="82" r:id="rId48"/>
    <sheet name="售价案例" sheetId="84" r:id="rId49"/>
    <sheet name="城市基础设施建设费" sheetId="81" r:id="rId50"/>
  </sheets>
  <externalReferences>
    <externalReference r:id="rId51"/>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2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_FilterDatabase" localSheetId="21" hidden="1">'租金比较法-工业'!$A$1:$L$43</definedName>
    <definedName name="_xlnm.Print_Area" localSheetId="3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2">'收益法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21">'租金比较法-工业'!$A$1:$K$48,'租金比较法-工业'!$A$51:$M$113</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 localSheetId="21">'租金比较法-工业'!$B$95:$M$95</definedName>
    <definedName name="工业公共部分装修">'比较法-工业'!$B$95:$M$95</definedName>
    <definedName name="工业基础设施水平" localSheetId="21">'租金比较法-工业'!$B$102:$M$102</definedName>
    <definedName name="工业基础设施水平">'比较法-工业'!$B$102:$M$102</definedName>
    <definedName name="工业建筑结构" localSheetId="21">'租金比较法-工业'!$B$93:$M$93</definedName>
    <definedName name="工业建筑结构">'比较法-工业'!$B$93:$M$93</definedName>
    <definedName name="工业建筑类型" localSheetId="21">'租金比较法-工业'!$B$88:$M$88</definedName>
    <definedName name="工业建筑类型">'比较法-工业'!$B$88:$M$88</definedName>
    <definedName name="工业交易情况" localSheetId="21">'租金比较法-工业'!$A$55:$M$55</definedName>
    <definedName name="工业交易情况">'比较法-工业'!$A$55:$M$55</definedName>
    <definedName name="工业内部装修" localSheetId="21">'租金比较法-工业'!$B$104:$M$104</definedName>
    <definedName name="工业内部装修">'比较法-工业'!$B$104:$M$104</definedName>
    <definedName name="工业物业管理" localSheetId="21">'租金比较法-工业'!$B$100:$M$100</definedName>
    <definedName name="工业物业管理">'比较法-工业'!$B$100:$M$100</definedName>
    <definedName name="工业用途" localSheetId="21">'租金比较法-工业'!$B$57:$M$57</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44" i="80" l="1"/>
  <c r="D56" i="83" l="1"/>
  <c r="D109" i="83"/>
  <c r="F70" i="67"/>
  <c r="F52" i="67"/>
  <c r="AB22" i="1"/>
  <c r="AD6" i="1" s="1"/>
  <c r="J38" i="80"/>
  <c r="C36" i="80"/>
  <c r="I42" i="80"/>
  <c r="J42" i="80" s="1"/>
  <c r="I40" i="80"/>
  <c r="J40" i="80" s="1"/>
  <c r="I38" i="80"/>
  <c r="I37" i="80"/>
  <c r="J37" i="80" s="1"/>
  <c r="I36" i="80"/>
  <c r="J36" i="80" s="1"/>
  <c r="I33" i="80"/>
  <c r="J33" i="80" s="1"/>
  <c r="I32" i="80"/>
  <c r="J32" i="80" s="1"/>
  <c r="I50" i="80"/>
  <c r="J50" i="80" s="1"/>
  <c r="I65" i="80"/>
  <c r="J65" i="80" s="1"/>
  <c r="I63" i="80"/>
  <c r="J63" i="80" s="1"/>
  <c r="L30" i="80"/>
  <c r="I49" i="80"/>
  <c r="J49" i="80" s="1"/>
  <c r="C49" i="80"/>
  <c r="C32" i="80"/>
  <c r="I61" i="80"/>
  <c r="J61" i="80" s="1"/>
  <c r="I29" i="80"/>
  <c r="I30" i="80"/>
  <c r="I28" i="80"/>
  <c r="J28" i="80" s="1"/>
  <c r="H5" i="80"/>
  <c r="J29" i="80"/>
  <c r="J30" i="80"/>
  <c r="C28" i="80"/>
  <c r="B7" i="80"/>
  <c r="K4" i="80"/>
  <c r="D23" i="80"/>
  <c r="I58" i="80"/>
  <c r="J58" i="80" s="1"/>
  <c r="F14" i="80" l="1"/>
  <c r="E14" i="80"/>
  <c r="D14" i="80"/>
  <c r="E13" i="80"/>
  <c r="F10" i="80"/>
  <c r="I55" i="80"/>
  <c r="J55" i="80" s="1"/>
  <c r="I56" i="80"/>
  <c r="J56" i="80" s="1"/>
  <c r="I54" i="80"/>
  <c r="J54" i="80" s="1"/>
  <c r="H7" i="80"/>
  <c r="G7" i="80" s="1"/>
  <c r="H8" i="80"/>
  <c r="G8" i="80" s="1"/>
  <c r="H9" i="80"/>
  <c r="G9" i="80" s="1"/>
  <c r="G5" i="80"/>
  <c r="H4" i="80"/>
  <c r="G4" i="80" s="1"/>
  <c r="H6" i="80"/>
  <c r="G6" i="80" s="1"/>
  <c r="H14" i="80" l="1"/>
  <c r="N6" i="1"/>
  <c r="B112" i="83"/>
  <c r="B110" i="83"/>
  <c r="B108" i="83"/>
  <c r="D107" i="83"/>
  <c r="E107" i="83" s="1"/>
  <c r="D105" i="83"/>
  <c r="E105" i="83" s="1"/>
  <c r="D103" i="83"/>
  <c r="E103" i="83" s="1"/>
  <c r="F103" i="83" s="1"/>
  <c r="G103" i="83" s="1"/>
  <c r="H103" i="83" s="1"/>
  <c r="I103" i="83" s="1"/>
  <c r="J103" i="83" s="1"/>
  <c r="K103" i="83" s="1"/>
  <c r="L103" i="83" s="1"/>
  <c r="M103" i="83" s="1"/>
  <c r="D101" i="83"/>
  <c r="E101" i="83" s="1"/>
  <c r="F101" i="83" s="1"/>
  <c r="G101" i="83" s="1"/>
  <c r="H101" i="83" s="1"/>
  <c r="I101" i="83" s="1"/>
  <c r="J101" i="83" s="1"/>
  <c r="K101" i="83" s="1"/>
  <c r="L101" i="83" s="1"/>
  <c r="M101" i="83" s="1"/>
  <c r="D99" i="83"/>
  <c r="E99" i="83" s="1"/>
  <c r="F99" i="83" s="1"/>
  <c r="G99" i="83" s="1"/>
  <c r="H99" i="83" s="1"/>
  <c r="I99" i="83" s="1"/>
  <c r="J99" i="83" s="1"/>
  <c r="K99" i="83" s="1"/>
  <c r="L99" i="83" s="1"/>
  <c r="M99" i="83" s="1"/>
  <c r="G97" i="83"/>
  <c r="F97" i="83"/>
  <c r="E97" i="83"/>
  <c r="D97" i="83"/>
  <c r="C97" i="83"/>
  <c r="D96" i="83"/>
  <c r="E96" i="83" s="1"/>
  <c r="E94" i="83"/>
  <c r="F94" i="83" s="1"/>
  <c r="G94" i="83" s="1"/>
  <c r="H94" i="83" s="1"/>
  <c r="I94" i="83" s="1"/>
  <c r="J94" i="83" s="1"/>
  <c r="K94" i="83" s="1"/>
  <c r="L94" i="83" s="1"/>
  <c r="M94" i="83" s="1"/>
  <c r="D94" i="83"/>
  <c r="M90" i="83"/>
  <c r="L90" i="83"/>
  <c r="K90" i="83"/>
  <c r="J90" i="83"/>
  <c r="I90" i="83"/>
  <c r="H90" i="83"/>
  <c r="G90" i="83"/>
  <c r="F90" i="83"/>
  <c r="E90" i="83"/>
  <c r="D90" i="83"/>
  <c r="C90" i="83"/>
  <c r="D89" i="83"/>
  <c r="E89" i="83" s="1"/>
  <c r="F89" i="83" s="1"/>
  <c r="G89" i="83" s="1"/>
  <c r="H89" i="83" s="1"/>
  <c r="I89" i="83" s="1"/>
  <c r="J89" i="83" s="1"/>
  <c r="K89" i="83" s="1"/>
  <c r="L89" i="83" s="1"/>
  <c r="M89" i="83" s="1"/>
  <c r="B86" i="83"/>
  <c r="B84" i="83"/>
  <c r="B82" i="83"/>
  <c r="B80" i="83"/>
  <c r="D79" i="83"/>
  <c r="E79" i="83" s="1"/>
  <c r="D77" i="83"/>
  <c r="E77" i="83" s="1"/>
  <c r="F77" i="83" s="1"/>
  <c r="G77" i="83" s="1"/>
  <c r="D75" i="83"/>
  <c r="E75" i="83" s="1"/>
  <c r="F75" i="83" s="1"/>
  <c r="D73" i="83"/>
  <c r="E73" i="83" s="1"/>
  <c r="D71" i="83"/>
  <c r="E71" i="83" s="1"/>
  <c r="F71" i="83" s="1"/>
  <c r="G71" i="83" s="1"/>
  <c r="B68" i="83"/>
  <c r="B66" i="83"/>
  <c r="B64" i="83"/>
  <c r="D63" i="83"/>
  <c r="E63" i="83" s="1"/>
  <c r="F63" i="83" s="1"/>
  <c r="G63" i="83" s="1"/>
  <c r="H63" i="83" s="1"/>
  <c r="I63" i="83" s="1"/>
  <c r="J63" i="83" s="1"/>
  <c r="K63" i="83" s="1"/>
  <c r="L63" i="83" s="1"/>
  <c r="M63" i="83" s="1"/>
  <c r="M61" i="83"/>
  <c r="L61" i="83"/>
  <c r="K61" i="83"/>
  <c r="J61" i="83"/>
  <c r="I61" i="83"/>
  <c r="H61" i="83"/>
  <c r="G61" i="83"/>
  <c r="F61" i="83"/>
  <c r="E61" i="83"/>
  <c r="D61" i="83"/>
  <c r="C61" i="83"/>
  <c r="D60" i="83"/>
  <c r="E60" i="83" s="1"/>
  <c r="F60" i="83" s="1"/>
  <c r="G60" i="83" s="1"/>
  <c r="C57" i="83"/>
  <c r="I48" i="83"/>
  <c r="J48" i="83" s="1"/>
  <c r="G48" i="83"/>
  <c r="H48" i="83" s="1"/>
  <c r="E48" i="83"/>
  <c r="F48" i="83" s="1"/>
  <c r="P43" i="83"/>
  <c r="P42" i="83"/>
  <c r="K42" i="83"/>
  <c r="V41" i="83"/>
  <c r="T41" i="83"/>
  <c r="R41" i="83"/>
  <c r="P41" i="83"/>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Q36" i="83"/>
  <c r="Z36" i="83" s="1"/>
  <c r="Q35" i="83"/>
  <c r="Z35" i="83" s="1"/>
  <c r="J35" i="83"/>
  <c r="AC35" i="83" s="1"/>
  <c r="H35" i="83"/>
  <c r="AB35" i="83" s="1"/>
  <c r="F35" i="83"/>
  <c r="AA35" i="83" s="1"/>
  <c r="Q34" i="83"/>
  <c r="Z34" i="83" s="1"/>
  <c r="J34" i="83"/>
  <c r="AC34" i="83" s="1"/>
  <c r="H34" i="83"/>
  <c r="AB34" i="83" s="1"/>
  <c r="F34" i="83"/>
  <c r="AA34" i="83" s="1"/>
  <c r="Q33" i="83"/>
  <c r="Z33" i="83" s="1"/>
  <c r="C33" i="83"/>
  <c r="F33" i="83" s="1"/>
  <c r="Q32" i="83"/>
  <c r="Z32" i="83" s="1"/>
  <c r="Q31" i="83"/>
  <c r="Z31" i="83" s="1"/>
  <c r="J31" i="83"/>
  <c r="AC31" i="83" s="1"/>
  <c r="H31" i="83"/>
  <c r="AB31" i="83" s="1"/>
  <c r="F31" i="83"/>
  <c r="AA31" i="83" s="1"/>
  <c r="Q30" i="83"/>
  <c r="Z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6" i="83"/>
  <c r="Z26" i="83" s="1"/>
  <c r="J26" i="83"/>
  <c r="AC26" i="83" s="1"/>
  <c r="H26" i="83"/>
  <c r="AB26" i="83" s="1"/>
  <c r="F26" i="83"/>
  <c r="AA26" i="83" s="1"/>
  <c r="Q25" i="83"/>
  <c r="Z25" i="83" s="1"/>
  <c r="J25" i="83"/>
  <c r="AC25" i="83" s="1"/>
  <c r="H25" i="83"/>
  <c r="AB25" i="83" s="1"/>
  <c r="F25" i="83"/>
  <c r="AA25" i="83" s="1"/>
  <c r="Q23" i="83"/>
  <c r="Z23" i="83" s="1"/>
  <c r="C23" i="83"/>
  <c r="Q21" i="83"/>
  <c r="Z21" i="83" s="1"/>
  <c r="J21" i="83"/>
  <c r="AC21" i="83" s="1"/>
  <c r="H21" i="83"/>
  <c r="AB21" i="83" s="1"/>
  <c r="F21" i="83"/>
  <c r="AA21" i="83" s="1"/>
  <c r="C21" i="83"/>
  <c r="Q19" i="83"/>
  <c r="Z19" i="83" s="1"/>
  <c r="C19" i="83"/>
  <c r="Q17" i="83"/>
  <c r="Z17" i="83" s="1"/>
  <c r="C17" i="83"/>
  <c r="Q15" i="83"/>
  <c r="Z15" i="83" s="1"/>
  <c r="J15" i="83"/>
  <c r="AC15" i="83" s="1"/>
  <c r="H15" i="83"/>
  <c r="AB15" i="83" s="1"/>
  <c r="F15" i="83"/>
  <c r="AA15" i="83" s="1"/>
  <c r="C15" i="83"/>
  <c r="Q14" i="83"/>
  <c r="Z14" i="83" s="1"/>
  <c r="J14" i="83"/>
  <c r="AC14" i="83" s="1"/>
  <c r="H14" i="83"/>
  <c r="U14" i="83" s="1"/>
  <c r="F14" i="83"/>
  <c r="S14" i="83" s="1"/>
  <c r="Z13" i="83"/>
  <c r="Q13" i="83"/>
  <c r="J13" i="83"/>
  <c r="AC13" i="83" s="1"/>
  <c r="H13" i="83"/>
  <c r="AB13" i="83" s="1"/>
  <c r="F13" i="83"/>
  <c r="S13" i="83" s="1"/>
  <c r="Q12" i="83"/>
  <c r="Z12" i="83" s="1"/>
  <c r="J12" i="83"/>
  <c r="AC12" i="83" s="1"/>
  <c r="H12" i="83"/>
  <c r="AB12" i="83" s="1"/>
  <c r="F12" i="83"/>
  <c r="Q11" i="83"/>
  <c r="Z11" i="83" s="1"/>
  <c r="J11" i="83"/>
  <c r="AC11" i="83" s="1"/>
  <c r="H11" i="83"/>
  <c r="AB11" i="83" s="1"/>
  <c r="F11" i="83"/>
  <c r="AA11" i="83" s="1"/>
  <c r="Q10" i="83"/>
  <c r="Z10" i="83" s="1"/>
  <c r="J10" i="83"/>
  <c r="F10" i="83"/>
  <c r="H10" i="83"/>
  <c r="Q9" i="83"/>
  <c r="Z9" i="83" s="1"/>
  <c r="J9" i="83"/>
  <c r="AC9" i="83" s="1"/>
  <c r="H9" i="83"/>
  <c r="U9" i="83" s="1"/>
  <c r="F9" i="83"/>
  <c r="S9" i="83" s="1"/>
  <c r="J8" i="83"/>
  <c r="AC8" i="83" s="1"/>
  <c r="H8" i="83"/>
  <c r="AB8" i="83" s="1"/>
  <c r="F8" i="83"/>
  <c r="S8" i="83" s="1"/>
  <c r="I10" i="37"/>
  <c r="G10" i="37"/>
  <c r="E10" i="37"/>
  <c r="C10" i="37"/>
  <c r="C33" i="37"/>
  <c r="E60" i="37"/>
  <c r="F60" i="37"/>
  <c r="G60" i="37" s="1"/>
  <c r="D60" i="37"/>
  <c r="J49" i="67"/>
  <c r="Y6" i="1"/>
  <c r="D2" i="83"/>
  <c r="AA13" i="83" l="1"/>
  <c r="AA14" i="83"/>
  <c r="W11" i="83"/>
  <c r="AB14" i="83"/>
  <c r="U8" i="83"/>
  <c r="W8" i="83"/>
  <c r="W12" i="83"/>
  <c r="S10" i="83"/>
  <c r="AA10" i="83"/>
  <c r="AC10" i="83"/>
  <c r="W10" i="83"/>
  <c r="U10" i="83"/>
  <c r="AB10" i="83"/>
  <c r="AA9" i="83"/>
  <c r="U11" i="83"/>
  <c r="AA33" i="83"/>
  <c r="S33" i="83"/>
  <c r="J17" i="83"/>
  <c r="F73" i="83"/>
  <c r="G73" i="83" s="1"/>
  <c r="H17" i="83"/>
  <c r="F17" i="83"/>
  <c r="F37" i="83"/>
  <c r="F107" i="83"/>
  <c r="G107" i="83" s="1"/>
  <c r="H107" i="83" s="1"/>
  <c r="I107" i="83" s="1"/>
  <c r="J107" i="83" s="1"/>
  <c r="K107" i="83" s="1"/>
  <c r="L107" i="83" s="1"/>
  <c r="M107" i="83" s="1"/>
  <c r="J37" i="83"/>
  <c r="H37" i="83"/>
  <c r="AB9" i="83"/>
  <c r="AA12" i="83"/>
  <c r="S12" i="83"/>
  <c r="G75" i="83"/>
  <c r="J19" i="83"/>
  <c r="H19" i="83"/>
  <c r="F19" i="83"/>
  <c r="F32" i="83"/>
  <c r="J32" i="83"/>
  <c r="F96" i="83"/>
  <c r="G96" i="83" s="1"/>
  <c r="H96" i="83" s="1"/>
  <c r="I96" i="83" s="1"/>
  <c r="J96" i="83" s="1"/>
  <c r="K96" i="83" s="1"/>
  <c r="L96" i="83" s="1"/>
  <c r="M96" i="83" s="1"/>
  <c r="H32" i="83"/>
  <c r="AA8" i="83"/>
  <c r="J23" i="83"/>
  <c r="F79" i="83"/>
  <c r="G79" i="83" s="1"/>
  <c r="H23" i="83"/>
  <c r="F23" i="83"/>
  <c r="J36" i="83"/>
  <c r="F105" i="83"/>
  <c r="G105" i="83" s="1"/>
  <c r="H36" i="83"/>
  <c r="F36" i="83"/>
  <c r="S15" i="83"/>
  <c r="S21" i="83"/>
  <c r="U25" i="83"/>
  <c r="W26" i="83"/>
  <c r="S28" i="83"/>
  <c r="U29" i="83"/>
  <c r="S31" i="83"/>
  <c r="H33" i="83"/>
  <c r="W34" i="83"/>
  <c r="W38" i="83"/>
  <c r="S40" i="83"/>
  <c r="U15" i="83"/>
  <c r="U21" i="83"/>
  <c r="W25" i="83"/>
  <c r="S27" i="83"/>
  <c r="U28" i="83"/>
  <c r="W29" i="83"/>
  <c r="U31" i="83"/>
  <c r="J33" i="83"/>
  <c r="S35" i="83"/>
  <c r="S39" i="83"/>
  <c r="U40" i="83"/>
  <c r="W15" i="83"/>
  <c r="W21" i="83"/>
  <c r="S26" i="83"/>
  <c r="U27" i="83"/>
  <c r="W28" i="83"/>
  <c r="W31" i="83"/>
  <c r="S34" i="83"/>
  <c r="U35" i="83"/>
  <c r="S38" i="83"/>
  <c r="U39" i="83"/>
  <c r="W40" i="83"/>
  <c r="U13" i="83"/>
  <c r="W14" i="83"/>
  <c r="W9" i="83"/>
  <c r="S11" i="83"/>
  <c r="U12" i="83"/>
  <c r="W13" i="83"/>
  <c r="S25" i="83"/>
  <c r="U26" i="83"/>
  <c r="W27" i="83"/>
  <c r="S29" i="83"/>
  <c r="U34" i="83"/>
  <c r="W35" i="83"/>
  <c r="U38" i="83"/>
  <c r="W39" i="83"/>
  <c r="AC33" i="83" l="1"/>
  <c r="W33" i="83"/>
  <c r="AB33" i="83"/>
  <c r="U33" i="83"/>
  <c r="AC36" i="83"/>
  <c r="W36" i="83"/>
  <c r="AC23" i="83"/>
  <c r="W23" i="83"/>
  <c r="AA32" i="83"/>
  <c r="S32" i="83"/>
  <c r="AC19" i="83"/>
  <c r="W19" i="83"/>
  <c r="AC37" i="83"/>
  <c r="W37" i="83"/>
  <c r="AB17" i="83"/>
  <c r="U17" i="83"/>
  <c r="AA36" i="83"/>
  <c r="S36" i="83"/>
  <c r="AA23" i="83"/>
  <c r="S23" i="83"/>
  <c r="AB32" i="83"/>
  <c r="U32" i="83"/>
  <c r="AB23" i="83"/>
  <c r="U23" i="83"/>
  <c r="AA19" i="83"/>
  <c r="S19" i="83"/>
  <c r="AA37" i="83"/>
  <c r="S37" i="83"/>
  <c r="AC17" i="83"/>
  <c r="W17" i="83"/>
  <c r="AB36" i="83"/>
  <c r="U36" i="83"/>
  <c r="AC32" i="83"/>
  <c r="W32" i="83"/>
  <c r="AB19" i="83"/>
  <c r="U19" i="83"/>
  <c r="AB37" i="83"/>
  <c r="U37" i="83"/>
  <c r="AA17" i="83"/>
  <c r="S17" i="83"/>
  <c r="F19" i="6" l="1"/>
  <c r="D3" i="4" l="1"/>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D53" i="78"/>
  <c r="D52" i="78"/>
  <c r="B51" i="78"/>
  <c r="B56" i="78" s="1"/>
  <c r="D51" i="78" l="1"/>
  <c r="B55" i="78"/>
  <c r="D55" i="78" s="1"/>
  <c r="C51" i="78"/>
  <c r="C56" i="78" s="1"/>
  <c r="C58" i="78" s="1"/>
  <c r="B62" i="78"/>
  <c r="B54" i="78"/>
  <c r="D54" i="78" s="1"/>
  <c r="D56" i="78" l="1"/>
  <c r="D58" i="78"/>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AH22" i="79" s="1"/>
  <c r="S20" i="79"/>
  <c r="AG20" i="79" s="1"/>
  <c r="W22" i="79"/>
  <c r="AK22" i="79" s="1"/>
  <c r="S34" i="79"/>
  <c r="AG34" i="79" s="1"/>
  <c r="S35" i="79"/>
  <c r="AG35" i="79" s="1"/>
  <c r="S33" i="79"/>
  <c r="AG33" i="79" s="1"/>
  <c r="T40" i="79"/>
  <c r="AD47" i="79"/>
  <c r="S48" i="79"/>
  <c r="AG48" i="79" s="1"/>
  <c r="AD51" i="79"/>
  <c r="AR18" i="79"/>
  <c r="AR19" i="79" s="1"/>
  <c r="AR20" i="79" s="1"/>
  <c r="AR21" i="79" s="1"/>
  <c r="AR22" i="79" s="1"/>
  <c r="AR23" i="79" s="1"/>
  <c r="AR24" i="79" s="1"/>
  <c r="T33" i="79"/>
  <c r="T34" i="79"/>
  <c r="T35" i="79"/>
  <c r="AD36" i="79"/>
  <c r="AD38" i="79"/>
  <c r="AD37" i="79"/>
  <c r="AD35" i="79"/>
  <c r="AR40" i="79"/>
  <c r="AR41" i="79" s="1"/>
  <c r="AR42" i="79" s="1"/>
  <c r="AR43" i="79" s="1"/>
  <c r="AR44" i="79" s="1"/>
  <c r="AR45" i="79" s="1"/>
  <c r="AR46" i="79" s="1"/>
  <c r="AR47" i="79" s="1"/>
  <c r="AR48" i="79" s="1"/>
  <c r="AR49" i="79" s="1"/>
  <c r="AR50" i="79" s="1"/>
  <c r="AR51" i="79" s="1"/>
  <c r="AR52" i="79" s="1"/>
  <c r="Z3" i="79"/>
  <c r="AA31" i="79"/>
  <c r="AD31" i="79" s="1"/>
  <c r="U46" i="79"/>
  <c r="AI46" i="79" s="1"/>
  <c r="U50" i="79"/>
  <c r="AI50"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AH34" i="79"/>
  <c r="W34" i="79"/>
  <c r="AK34" i="79" s="1"/>
  <c r="W11" i="79"/>
  <c r="AK11" i="79" s="1"/>
  <c r="AH11" i="79"/>
  <c r="W39" i="79"/>
  <c r="AK39" i="79" s="1"/>
  <c r="W17" i="79"/>
  <c r="AK17" i="79" s="1"/>
  <c r="AH17" i="79"/>
  <c r="W10" i="79"/>
  <c r="AK10" i="79" s="1"/>
  <c r="AH10" i="79"/>
  <c r="W18" i="79"/>
  <c r="AK18" i="79" s="1"/>
  <c r="AH18" i="79"/>
  <c r="W20" i="79"/>
  <c r="AK20" i="79" s="1"/>
  <c r="AH20" i="79"/>
  <c r="W33" i="79"/>
  <c r="AK33" i="79" s="1"/>
  <c r="AH33"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40" i="79"/>
  <c r="AK40" i="79" s="1"/>
  <c r="AH40" i="79"/>
  <c r="W15" i="79"/>
  <c r="AK15" i="79" s="1"/>
  <c r="AH15" i="79"/>
  <c r="W13" i="79"/>
  <c r="AK13" i="79" s="1"/>
  <c r="AH13" i="79"/>
  <c r="W48" i="79"/>
  <c r="AK48" i="79" s="1"/>
  <c r="AH48" i="79"/>
  <c r="W49" i="79"/>
  <c r="AK49" i="79" s="1"/>
  <c r="AH49" i="79"/>
  <c r="W43" i="79"/>
  <c r="AK43" i="79" s="1"/>
  <c r="AH43" i="79"/>
  <c r="W38" i="79"/>
  <c r="AK38" i="79" s="1"/>
  <c r="AH38"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s="1"/>
  <c r="E23" i="77"/>
  <c r="D26" i="77"/>
  <c r="C29" i="77"/>
  <c r="R35" i="77"/>
  <c r="U34" i="77" s="1"/>
  <c r="AH9" i="71"/>
  <c r="AG9" i="71"/>
  <c r="AE9" i="71"/>
  <c r="AF9" i="71" s="1"/>
  <c r="AD9" i="71"/>
  <c r="Q9" i="71"/>
  <c r="P9" i="71"/>
  <c r="O9" i="71"/>
  <c r="N9" i="71"/>
  <c r="R25" i="77" l="1"/>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c r="C23" i="71" s="1"/>
  <c r="Q25" i="71"/>
  <c r="P25" i="71"/>
  <c r="E24" i="71"/>
  <c r="V24"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D13" i="80" s="1"/>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F67" i="71" s="1"/>
  <c r="V68" i="71"/>
  <c r="E68" i="71"/>
  <c r="P68" i="71" s="1"/>
  <c r="C68" i="71"/>
  <c r="T68"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8" i="71" s="1"/>
  <c r="O39" i="71"/>
  <c r="N39" i="71"/>
  <c r="X39" i="71" s="1"/>
  <c r="Q38" i="71"/>
  <c r="AB38" i="71" s="1"/>
  <c r="P38" i="71"/>
  <c r="O38" i="71"/>
  <c r="Y38" i="71" s="1"/>
  <c r="Z38" i="71" s="1"/>
  <c r="N38" i="71"/>
  <c r="F38" i="71"/>
  <c r="F39" i="71" s="1"/>
  <c r="F40" i="71" s="1"/>
  <c r="V40" i="71" s="1"/>
  <c r="Q37" i="71"/>
  <c r="P37" i="71"/>
  <c r="O37" i="71"/>
  <c r="N37" i="71"/>
  <c r="B38" i="71" s="1"/>
  <c r="B39" i="71" s="1"/>
  <c r="B40" i="71" s="1"/>
  <c r="S40" i="71" s="1"/>
  <c r="D37" i="71"/>
  <c r="Q36" i="71"/>
  <c r="AB36" i="71" s="1"/>
  <c r="P36" i="71"/>
  <c r="O36" i="71"/>
  <c r="N36" i="71"/>
  <c r="Q35" i="71"/>
  <c r="AB35" i="71" s="1"/>
  <c r="P35" i="71"/>
  <c r="O35" i="71"/>
  <c r="N35" i="71"/>
  <c r="X31" i="71" s="1"/>
  <c r="Q34" i="71"/>
  <c r="AB34" i="71" s="1"/>
  <c r="P34" i="71"/>
  <c r="O34" i="71"/>
  <c r="N34" i="71"/>
  <c r="Q33" i="71"/>
  <c r="F34" i="71" s="1"/>
  <c r="P33" i="71"/>
  <c r="O33" i="71"/>
  <c r="C34" i="71" s="1"/>
  <c r="N33" i="71"/>
  <c r="D33" i="71"/>
  <c r="Q32" i="71"/>
  <c r="P32" i="71"/>
  <c r="O32" i="71"/>
  <c r="N32" i="71"/>
  <c r="Q31" i="71"/>
  <c r="P31" i="71"/>
  <c r="O31" i="71"/>
  <c r="N31" i="71"/>
  <c r="Q30" i="71"/>
  <c r="P30" i="71"/>
  <c r="O30" i="71"/>
  <c r="N30" i="71"/>
  <c r="Q29" i="71"/>
  <c r="F30" i="71" s="1"/>
  <c r="F31" i="71" s="1"/>
  <c r="F32" i="71" s="1"/>
  <c r="V32" i="71" s="1"/>
  <c r="P29" i="71"/>
  <c r="AA3" i="71" s="1"/>
  <c r="O29" i="71"/>
  <c r="N29" i="71"/>
  <c r="D29" i="71"/>
  <c r="O28" i="71"/>
  <c r="Y26" i="71" s="1"/>
  <c r="Z26" i="71" s="1"/>
  <c r="N28" i="71"/>
  <c r="B30" i="71"/>
  <c r="B31" i="71" s="1"/>
  <c r="B32" i="71" s="1"/>
  <c r="S32" i="71" s="1"/>
  <c r="E30" i="71"/>
  <c r="E31" i="71" s="1"/>
  <c r="E32" i="71" s="1"/>
  <c r="U32" i="71" s="1"/>
  <c r="B34" i="71"/>
  <c r="B35" i="71" s="1"/>
  <c r="B36" i="71" s="1"/>
  <c r="S36" i="71" s="1"/>
  <c r="E38" i="71"/>
  <c r="E39" i="71" s="1"/>
  <c r="E40" i="71" s="1"/>
  <c r="U40" i="71" s="1"/>
  <c r="N68" i="71"/>
  <c r="E34" i="71"/>
  <c r="C30" i="71"/>
  <c r="D30" i="71" s="1"/>
  <c r="C38" i="71"/>
  <c r="D38" i="71" s="1"/>
  <c r="Y27" i="71"/>
  <c r="Z27" i="71" s="1"/>
  <c r="B28" i="71"/>
  <c r="B27" i="71" s="1"/>
  <c r="B26" i="71" s="1"/>
  <c r="C43" i="71"/>
  <c r="D43" i="71" s="1"/>
  <c r="P28" i="71"/>
  <c r="E28" i="71" s="1"/>
  <c r="U68" i="71"/>
  <c r="E67" i="71"/>
  <c r="Q28" i="71"/>
  <c r="F28" i="71" s="1"/>
  <c r="F27" i="71" s="1"/>
  <c r="F26" i="71" s="1"/>
  <c r="D58" i="71"/>
  <c r="D62" i="71"/>
  <c r="B66" i="71"/>
  <c r="N65" i="71" s="1"/>
  <c r="D68" i="71"/>
  <c r="Q68" i="71"/>
  <c r="E71" i="71"/>
  <c r="E70" i="71" s="1"/>
  <c r="C75" i="71"/>
  <c r="D76" i="71"/>
  <c r="C79" i="71"/>
  <c r="D80" i="71"/>
  <c r="C83" i="71"/>
  <c r="C82" i="71" s="1"/>
  <c r="D82" i="71" s="1"/>
  <c r="C87" i="71"/>
  <c r="C86" i="71" s="1"/>
  <c r="D86" i="71" s="1"/>
  <c r="S28" i="71"/>
  <c r="AB27" i="71"/>
  <c r="D75" i="71"/>
  <c r="C74" i="71"/>
  <c r="D74" i="71" s="1"/>
  <c r="D87" i="71"/>
  <c r="D79" i="71"/>
  <c r="C78" i="71"/>
  <c r="D78" i="71" s="1"/>
  <c r="P67" i="71"/>
  <c r="E66" i="71"/>
  <c r="P65" i="71" s="1"/>
  <c r="C44" i="71"/>
  <c r="D44" i="71" s="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U21" i="37"/>
  <c r="U21" i="34"/>
  <c r="J21" i="37"/>
  <c r="W21" i="37" s="1"/>
  <c r="J21" i="34"/>
  <c r="W21" i="34" s="1"/>
  <c r="J21" i="33"/>
  <c r="W21" i="33" s="1"/>
  <c r="H21" i="21"/>
  <c r="U21" i="21" s="1"/>
  <c r="F38" i="69"/>
  <c r="E37" i="69"/>
  <c r="F36" i="69"/>
  <c r="F35" i="69"/>
  <c r="F21" i="69"/>
  <c r="F40" i="69" s="1"/>
  <c r="F20" i="69"/>
  <c r="F39" i="69" s="1"/>
  <c r="E10" i="69"/>
  <c r="E9" i="69"/>
  <c r="C7" i="69"/>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3"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3"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c r="Q29" i="37"/>
  <c r="Z29" i="37" s="1"/>
  <c r="H29" i="37"/>
  <c r="AB29" i="37" s="1"/>
  <c r="Q28" i="37"/>
  <c r="Z28" i="37"/>
  <c r="Q27" i="37"/>
  <c r="Z27" i="37" s="1"/>
  <c r="Q26" i="37"/>
  <c r="Z26" i="37" s="1"/>
  <c r="H26" i="37"/>
  <c r="AB26" i="37" s="1"/>
  <c r="Q25" i="37"/>
  <c r="Z25" i="37"/>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D70" i="36"/>
  <c r="H22" i="36"/>
  <c r="AB22" i="36" s="1"/>
  <c r="D68" i="36"/>
  <c r="E68" i="36" s="1"/>
  <c r="F68" i="36" s="1"/>
  <c r="G68" i="36" s="1"/>
  <c r="D64" i="36"/>
  <c r="E64" i="36" s="1"/>
  <c r="F64" i="36"/>
  <c r="G64" i="36" s="1"/>
  <c r="J16" i="36"/>
  <c r="W16" i="36" s="1"/>
  <c r="D62" i="36"/>
  <c r="E62" i="36" s="1"/>
  <c r="F62" i="36" s="1"/>
  <c r="G62" i="36" s="1"/>
  <c r="B59" i="36"/>
  <c r="B57" i="36"/>
  <c r="H12" i="36" s="1"/>
  <c r="U12" i="36" s="1"/>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Q23" i="36"/>
  <c r="Z23" i="36" s="1"/>
  <c r="AB23" i="36"/>
  <c r="F23" i="36"/>
  <c r="AA23" i="36" s="1"/>
  <c r="Q22" i="36"/>
  <c r="Z22" i="36"/>
  <c r="J22" i="36"/>
  <c r="AC22" i="36" s="1"/>
  <c r="Q20" i="36"/>
  <c r="Z20" i="36"/>
  <c r="Q16" i="36"/>
  <c r="Z16" i="36" s="1"/>
  <c r="Q14" i="36"/>
  <c r="Z14" i="36" s="1"/>
  <c r="Q13" i="36"/>
  <c r="Z13" i="36" s="1"/>
  <c r="Q12" i="36"/>
  <c r="Z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H34" i="35" s="1"/>
  <c r="AB34" i="35" s="1"/>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s="1"/>
  <c r="Q42" i="34"/>
  <c r="Z42" i="34" s="1"/>
  <c r="Q41" i="34"/>
  <c r="Z41" i="34"/>
  <c r="Q40" i="34"/>
  <c r="Z40" i="34" s="1"/>
  <c r="Q39" i="34"/>
  <c r="Z39" i="34"/>
  <c r="H39" i="34"/>
  <c r="AB39" i="34" s="1"/>
  <c r="Q38" i="34"/>
  <c r="Z38" i="34"/>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AA10" i="34" s="1"/>
  <c r="Q9" i="34"/>
  <c r="Z9" i="34" s="1"/>
  <c r="J8" i="34"/>
  <c r="AC8" i="34" s="1"/>
  <c r="H8" i="34"/>
  <c r="U8" i="34" s="1"/>
  <c r="F8" i="34"/>
  <c r="D121" i="33"/>
  <c r="E121" i="33"/>
  <c r="F109" i="33"/>
  <c r="E109" i="33"/>
  <c r="D109" i="33"/>
  <c r="C109" i="33"/>
  <c r="D91" i="33"/>
  <c r="E91" i="33" s="1"/>
  <c r="B88" i="33"/>
  <c r="J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s="1"/>
  <c r="Q38" i="33"/>
  <c r="Z38" i="33" s="1"/>
  <c r="J38" i="33"/>
  <c r="AC38" i="33"/>
  <c r="H38" i="33"/>
  <c r="AB38" i="33" s="1"/>
  <c r="F38" i="33"/>
  <c r="AA38" i="33" s="1"/>
  <c r="Q37" i="33"/>
  <c r="Z37" i="33" s="1"/>
  <c r="Q36" i="33"/>
  <c r="Z36" i="33"/>
  <c r="Q35" i="33"/>
  <c r="Z35" i="33" s="1"/>
  <c r="H35" i="33"/>
  <c r="AB35" i="33" s="1"/>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s="1"/>
  <c r="J26" i="21"/>
  <c r="W26" i="21" s="1"/>
  <c r="F26" i="21"/>
  <c r="S26" i="21" s="1"/>
  <c r="AB41" i="21"/>
  <c r="S41" i="21"/>
  <c r="AA41" i="21"/>
  <c r="F45" i="39"/>
  <c r="S45" i="39"/>
  <c r="J45" i="39"/>
  <c r="W45" i="39" s="1"/>
  <c r="J44" i="39"/>
  <c r="AC44" i="39" s="1"/>
  <c r="F36" i="39"/>
  <c r="S36" i="39" s="1"/>
  <c r="H36" i="39"/>
  <c r="AB36" i="39" s="1"/>
  <c r="J35" i="39"/>
  <c r="AC35" i="39" s="1"/>
  <c r="F35" i="39"/>
  <c r="AA35" i="39" s="1"/>
  <c r="J36" i="39"/>
  <c r="AC36" i="39" s="1"/>
  <c r="U9" i="39"/>
  <c r="W40" i="39"/>
  <c r="E103" i="37"/>
  <c r="F103" i="37" s="1"/>
  <c r="G103" i="37" s="1"/>
  <c r="H103" i="37" s="1"/>
  <c r="I103" i="37" s="1"/>
  <c r="J103" i="37" s="1"/>
  <c r="K103" i="37" s="1"/>
  <c r="L103" i="37" s="1"/>
  <c r="M103" i="37" s="1"/>
  <c r="F39" i="37"/>
  <c r="S39" i="37" s="1"/>
  <c r="F29" i="36"/>
  <c r="AA29" i="36" s="1"/>
  <c r="F16" i="36"/>
  <c r="AA16" i="36" s="1"/>
  <c r="W28" i="36"/>
  <c r="U31" i="36"/>
  <c r="H22" i="35"/>
  <c r="AB22" i="35"/>
  <c r="AC27" i="35"/>
  <c r="W28" i="35"/>
  <c r="U31" i="35"/>
  <c r="W22" i="35"/>
  <c r="S31" i="35"/>
  <c r="U34" i="35"/>
  <c r="F36" i="34"/>
  <c r="J35" i="34"/>
  <c r="U34" i="34"/>
  <c r="H39" i="33"/>
  <c r="AB39" i="33" s="1"/>
  <c r="F26" i="33"/>
  <c r="AA26" i="33" s="1"/>
  <c r="U33" i="33"/>
  <c r="U35" i="33"/>
  <c r="S40" i="33"/>
  <c r="W33" i="33"/>
  <c r="W39" i="33"/>
  <c r="H39" i="37"/>
  <c r="AB39" i="37" s="1"/>
  <c r="S27" i="35"/>
  <c r="F11" i="40"/>
  <c r="AA11" i="40"/>
  <c r="H11" i="40"/>
  <c r="AB11" i="40" s="1"/>
  <c r="W8"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S25" i="34" s="1"/>
  <c r="H23" i="34"/>
  <c r="U23" i="34" s="1"/>
  <c r="J23" i="34"/>
  <c r="F19" i="34"/>
  <c r="H17" i="34"/>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S41" i="33"/>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s="1"/>
  <c r="J42" i="21"/>
  <c r="AC42" i="21"/>
  <c r="H42" i="21"/>
  <c r="U42" i="21" s="1"/>
  <c r="J44" i="34"/>
  <c r="F44" i="34"/>
  <c r="AA44" i="34" s="1"/>
  <c r="J10" i="35"/>
  <c r="AC10" i="35" s="1"/>
  <c r="J14" i="21"/>
  <c r="W14" i="21" s="1"/>
  <c r="F14" i="21"/>
  <c r="S14" i="21" s="1"/>
  <c r="H14" i="21"/>
  <c r="U14" i="21"/>
  <c r="H28" i="21"/>
  <c r="AB28" i="21" s="1"/>
  <c r="F28" i="21"/>
  <c r="AA28" i="21"/>
  <c r="J28" i="21"/>
  <c r="W28" i="21" s="1"/>
  <c r="H30" i="21"/>
  <c r="U30" i="21" s="1"/>
  <c r="F30" i="21"/>
  <c r="S30" i="21" s="1"/>
  <c r="J30" i="21"/>
  <c r="AC30" i="2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s="1"/>
  <c r="J14" i="40"/>
  <c r="W14" i="40" s="1"/>
  <c r="F14" i="40"/>
  <c r="AA14" i="40" s="1"/>
  <c r="J14" i="37"/>
  <c r="J27" i="37"/>
  <c r="AC27" i="37" s="1"/>
  <c r="J36" i="37"/>
  <c r="AC36" i="37" s="1"/>
  <c r="J10" i="36"/>
  <c r="AC10" i="36" s="1"/>
  <c r="AB26" i="33"/>
  <c r="AB30" i="21"/>
  <c r="S11" i="36"/>
  <c r="S45" i="33"/>
  <c r="AB45" i="33"/>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AZ498" i="3" s="1"/>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BA574" i="3"/>
  <c r="BA572" i="3"/>
  <c r="AZ572" i="3" s="1"/>
  <c r="BA570" i="3"/>
  <c r="AZ570" i="3" s="1"/>
  <c r="BA568" i="3"/>
  <c r="BA566" i="3"/>
  <c r="BA564" i="3"/>
  <c r="BA562" i="3"/>
  <c r="BA560" i="3"/>
  <c r="BA558" i="3"/>
  <c r="AZ558" i="3" s="1"/>
  <c r="BA556" i="3"/>
  <c r="AZ556" i="3" s="1"/>
  <c r="BA554" i="3"/>
  <c r="BA552" i="3"/>
  <c r="AZ552" i="3"/>
  <c r="BA548" i="3"/>
  <c r="BA546" i="3"/>
  <c r="BA544" i="3"/>
  <c r="AZ544" i="3"/>
  <c r="BA542" i="3"/>
  <c r="AZ542" i="3" s="1"/>
  <c r="BA540" i="3"/>
  <c r="BA538" i="3"/>
  <c r="AZ538" i="3" s="1"/>
  <c r="BA536" i="3"/>
  <c r="AZ536" i="3" s="1"/>
  <c r="BA534" i="3"/>
  <c r="BA532" i="3"/>
  <c r="BA530" i="3"/>
  <c r="BA528" i="3"/>
  <c r="BA526" i="3"/>
  <c r="BA524" i="3"/>
  <c r="BA522" i="3"/>
  <c r="BA520" i="3"/>
  <c r="BA518" i="3"/>
  <c r="BA516" i="3"/>
  <c r="BA514" i="3"/>
  <c r="BA512" i="3"/>
  <c r="AZ512" i="3" s="1"/>
  <c r="BA510" i="3"/>
  <c r="AZ510" i="3"/>
  <c r="BA508" i="3"/>
  <c r="AZ508" i="3" s="1"/>
  <c r="BA506" i="3"/>
  <c r="BA504" i="3"/>
  <c r="AZ504" i="3"/>
  <c r="BA502" i="3"/>
  <c r="BA500" i="3"/>
  <c r="BA498" i="3"/>
  <c r="BA496" i="3"/>
  <c r="BA494" i="3"/>
  <c r="BA587" i="3"/>
  <c r="BA583" i="3"/>
  <c r="BA581" i="3"/>
  <c r="BA579" i="3"/>
  <c r="BA577" i="3"/>
  <c r="BA575" i="3"/>
  <c r="BA573" i="3"/>
  <c r="BA571" i="3"/>
  <c r="BA569" i="3"/>
  <c r="BA567" i="3"/>
  <c r="BA565" i="3"/>
  <c r="AZ565" i="3" s="1"/>
  <c r="BA563" i="3"/>
  <c r="BA561" i="3"/>
  <c r="BA559" i="3"/>
  <c r="BA555" i="3"/>
  <c r="BA553" i="3"/>
  <c r="AZ553" i="3" s="1"/>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c r="BQ577" i="3"/>
  <c r="BL577" i="3" s="1"/>
  <c r="BQ575" i="3"/>
  <c r="BL575" i="3"/>
  <c r="BQ573" i="3"/>
  <c r="BL573" i="3" s="1"/>
  <c r="AZ573" i="3" s="1"/>
  <c r="BQ571" i="3"/>
  <c r="BL571" i="3" s="1"/>
  <c r="BQ569" i="3"/>
  <c r="BL569" i="3" s="1"/>
  <c r="BQ567" i="3"/>
  <c r="BL567" i="3" s="1"/>
  <c r="BQ565" i="3"/>
  <c r="BL565" i="3" s="1"/>
  <c r="BQ563" i="3"/>
  <c r="BL563" i="3" s="1"/>
  <c r="BQ561" i="3"/>
  <c r="BL561" i="3"/>
  <c r="BQ559" i="3"/>
  <c r="BL559" i="3" s="1"/>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AZ543" i="3"/>
  <c r="BQ541" i="3"/>
  <c r="BL541" i="3" s="1"/>
  <c r="AZ541" i="3" s="1"/>
  <c r="BQ539" i="3"/>
  <c r="BL539" i="3" s="1"/>
  <c r="BQ537" i="3"/>
  <c r="BL537" i="3"/>
  <c r="BQ535" i="3"/>
  <c r="BL535" i="3" s="1"/>
  <c r="BQ533" i="3"/>
  <c r="BL533" i="3"/>
  <c r="BQ531" i="3"/>
  <c r="BL531" i="3" s="1"/>
  <c r="AZ531" i="3" s="1"/>
  <c r="BQ529" i="3"/>
  <c r="BL529" i="3" s="1"/>
  <c r="BQ527" i="3"/>
  <c r="BL527" i="3" s="1"/>
  <c r="AZ527" i="3"/>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AZ503" i="3"/>
  <c r="BQ501" i="3"/>
  <c r="BL501" i="3" s="1"/>
  <c r="BQ499" i="3"/>
  <c r="BL499" i="3"/>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1" i="40"/>
  <c r="AA31" i="40" s="1"/>
  <c r="H31" i="40"/>
  <c r="U31" i="40" s="1"/>
  <c r="F32" i="40"/>
  <c r="S32" i="40"/>
  <c r="H32" i="40"/>
  <c r="AB32" i="40" s="1"/>
  <c r="J36" i="40"/>
  <c r="W36" i="40" s="1"/>
  <c r="H42" i="33"/>
  <c r="AB42" i="33" s="1"/>
  <c r="J43" i="33"/>
  <c r="AC43" i="33" s="1"/>
  <c r="S28" i="31"/>
  <c r="S27" i="31"/>
  <c r="S26" i="31"/>
  <c r="W23" i="35"/>
  <c r="U26" i="37"/>
  <c r="W47" i="34"/>
  <c r="AC36" i="34"/>
  <c r="AA13" i="33"/>
  <c r="AC31" i="33"/>
  <c r="AC45" i="33"/>
  <c r="W44" i="33"/>
  <c r="U11" i="33"/>
  <c r="U19" i="21"/>
  <c r="W44"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BA309" i="3"/>
  <c r="BL309" i="3"/>
  <c r="G310" i="3"/>
  <c r="BA311" i="3"/>
  <c r="G319" i="3"/>
  <c r="BL320" i="3"/>
  <c r="AZ320" i="3" s="1"/>
  <c r="G321" i="3"/>
  <c r="BL322" i="3"/>
  <c r="BA324" i="3"/>
  <c r="BA325" i="3"/>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AZ120" i="3" s="1"/>
  <c r="G121" i="3"/>
  <c r="BA123" i="3"/>
  <c r="BL124" i="3"/>
  <c r="G125" i="3"/>
  <c r="BA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G157" i="3"/>
  <c r="BA159" i="3"/>
  <c r="BL160" i="3"/>
  <c r="AZ160" i="3" s="1"/>
  <c r="G161" i="3"/>
  <c r="BA163" i="3"/>
  <c r="AZ163" i="3" s="1"/>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AZ390" i="3" s="1"/>
  <c r="G391" i="3"/>
  <c r="G394"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G371" i="3"/>
  <c r="BA373" i="3"/>
  <c r="BL374" i="3"/>
  <c r="G375" i="3"/>
  <c r="BA377" i="3"/>
  <c r="AZ377" i="3" s="1"/>
  <c r="AZ269" i="3"/>
  <c r="BA379" i="3"/>
  <c r="AZ379" i="3" s="1"/>
  <c r="BL380" i="3"/>
  <c r="G381" i="3"/>
  <c r="BA383" i="3"/>
  <c r="AZ383" i="3" s="1"/>
  <c r="BL384" i="3"/>
  <c r="G385" i="3"/>
  <c r="BA387" i="3"/>
  <c r="BL388" i="3"/>
  <c r="G389" i="3"/>
  <c r="BA391" i="3"/>
  <c r="BL392" i="3"/>
  <c r="AZ392" i="3" s="1"/>
  <c r="G393" i="3"/>
  <c r="BO5" i="3"/>
  <c r="BM5" i="3"/>
  <c r="BJ5" i="3"/>
  <c r="BH5" i="3"/>
  <c r="BF5" i="3"/>
  <c r="BD5" i="3"/>
  <c r="AC5" i="3"/>
  <c r="AZ506" i="3"/>
  <c r="AZ496" i="3"/>
  <c r="G548" i="3"/>
  <c r="G538" i="3"/>
  <c r="G520" i="3"/>
  <c r="G502" i="3"/>
  <c r="BS5" i="3"/>
  <c r="BP5" i="3"/>
  <c r="BN5" i="3"/>
  <c r="BK5" i="3"/>
  <c r="BI5" i="3"/>
  <c r="BG5" i="3"/>
  <c r="BE5" i="3"/>
  <c r="BC5" i="3"/>
  <c r="G17" i="3"/>
  <c r="BA17" i="3"/>
  <c r="BT5" i="3"/>
  <c r="BA15" i="3"/>
  <c r="BB5" i="3"/>
  <c r="BR5" i="3"/>
  <c r="AZ380" i="3"/>
  <c r="AZ499" i="3"/>
  <c r="G509" i="3"/>
  <c r="BL493" i="3"/>
  <c r="AZ493" i="3"/>
  <c r="U36" i="40"/>
  <c r="F83" i="43"/>
  <c r="H85" i="43" s="1"/>
  <c r="F50" i="43"/>
  <c r="H54" i="43" s="1"/>
  <c r="F72" i="43"/>
  <c r="H75" i="43" s="1"/>
  <c r="U17" i="39"/>
  <c r="S14" i="35"/>
  <c r="U43" i="21"/>
  <c r="U35" i="21"/>
  <c r="AC35" i="21"/>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F23" i="39"/>
  <c r="AA23" i="39"/>
  <c r="H27" i="36"/>
  <c r="U27" i="36" s="1"/>
  <c r="F27" i="36"/>
  <c r="AA27" i="36" s="1"/>
  <c r="H33" i="34"/>
  <c r="U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G29" i="6"/>
  <c r="W27" i="34"/>
  <c r="AC27" i="34"/>
  <c r="AB34" i="36"/>
  <c r="U34" i="36"/>
  <c r="AC12" i="39"/>
  <c r="W12" i="39"/>
  <c r="AC39" i="40"/>
  <c r="W39" i="40"/>
  <c r="W12" i="33"/>
  <c r="AC12" i="33"/>
  <c r="AA32" i="36"/>
  <c r="S32" i="36"/>
  <c r="BL14" i="3"/>
  <c r="U30" i="33"/>
  <c r="AC13" i="34"/>
  <c r="AA47" i="34"/>
  <c r="W28" i="37"/>
  <c r="S19" i="39"/>
  <c r="F12" i="33"/>
  <c r="AA12" i="33" s="1"/>
  <c r="H12" i="39"/>
  <c r="U12" i="39" s="1"/>
  <c r="F39" i="40"/>
  <c r="S39" i="40" s="1"/>
  <c r="BA14" i="3"/>
  <c r="AZ14" i="3" s="1"/>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W27" i="37"/>
  <c r="U29" i="37"/>
  <c r="AC35" i="37"/>
  <c r="W39" i="37"/>
  <c r="F17" i="37"/>
  <c r="AA17" i="37" s="1"/>
  <c r="F79" i="37"/>
  <c r="F23" i="37"/>
  <c r="S23" i="37" s="1"/>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W42" i="33"/>
  <c r="S27" i="33"/>
  <c r="S32" i="33"/>
  <c r="AA29" i="33"/>
  <c r="AB29" i="33"/>
  <c r="W38" i="33"/>
  <c r="H41" i="33"/>
  <c r="U41" i="33" s="1"/>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F91" i="33"/>
  <c r="G91" i="33" s="1"/>
  <c r="H91" i="33" s="1"/>
  <c r="I91" i="33" s="1"/>
  <c r="J91" i="33" s="1"/>
  <c r="K91" i="33" s="1"/>
  <c r="L91" i="33" s="1"/>
  <c r="M91" i="33" s="1"/>
  <c r="H27" i="33"/>
  <c r="AB27" i="33" s="1"/>
  <c r="F87" i="33"/>
  <c r="H25" i="33"/>
  <c r="U25" i="33" s="1"/>
  <c r="F25" i="33"/>
  <c r="S25" i="33" s="1"/>
  <c r="J23" i="33"/>
  <c r="AC23" i="33" s="1"/>
  <c r="F85" i="33"/>
  <c r="H23" i="33"/>
  <c r="AB23" i="33" s="1"/>
  <c r="F81" i="33"/>
  <c r="G81" i="33" s="1"/>
  <c r="F19" i="33"/>
  <c r="S19" i="33" s="1"/>
  <c r="W19" i="33"/>
  <c r="J17" i="33"/>
  <c r="AC17"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AB20" i="35"/>
  <c r="AC25" i="35"/>
  <c r="U25" i="35"/>
  <c r="S24" i="35"/>
  <c r="U24" i="35"/>
  <c r="S35" i="35"/>
  <c r="W35" i="35"/>
  <c r="AA16" i="35"/>
  <c r="S27" i="37"/>
  <c r="S28" i="37"/>
  <c r="S40" i="37"/>
  <c r="AC34"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U13" i="21"/>
  <c r="AB13" i="21"/>
  <c r="S35" i="21"/>
  <c r="J37" i="21"/>
  <c r="W37" i="21" s="1"/>
  <c r="H15" i="21"/>
  <c r="U15" i="21" s="1"/>
  <c r="J17" i="21"/>
  <c r="W17" i="21" s="1"/>
  <c r="AC19" i="21"/>
  <c r="W39" i="21"/>
  <c r="AC14" i="21"/>
  <c r="W30" i="21"/>
  <c r="S46" i="21"/>
  <c r="H45" i="21"/>
  <c r="U45" i="21" s="1"/>
  <c r="F29" i="21"/>
  <c r="AA29" i="21" s="1"/>
  <c r="F13" i="21"/>
  <c r="AA13" i="21" s="1"/>
  <c r="AC38" i="21"/>
  <c r="H32" i="21"/>
  <c r="U32" i="21" s="1"/>
  <c r="H9" i="21"/>
  <c r="U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52" i="9"/>
  <c r="F32" i="15"/>
  <c r="F60" i="15" s="1"/>
  <c r="AA39" i="40"/>
  <c r="S12" i="33"/>
  <c r="J32" i="39"/>
  <c r="W32" i="39" s="1"/>
  <c r="H32" i="39"/>
  <c r="AB32" i="39" s="1"/>
  <c r="AA32" i="39"/>
  <c r="S32" i="39"/>
  <c r="AB21" i="39"/>
  <c r="AA21" i="39"/>
  <c r="S21" i="39"/>
  <c r="J23" i="37"/>
  <c r="AC23" i="37" s="1"/>
  <c r="G79" i="37"/>
  <c r="J10" i="37"/>
  <c r="W10" i="37" s="1"/>
  <c r="H11" i="37"/>
  <c r="AB11" i="37" s="1"/>
  <c r="H11" i="34"/>
  <c r="U11" i="34" s="1"/>
  <c r="J10" i="34"/>
  <c r="AC10" i="34" s="1"/>
  <c r="W35" i="33"/>
  <c r="AC35" i="33"/>
  <c r="J36" i="33"/>
  <c r="W36" i="33" s="1"/>
  <c r="H36" i="33"/>
  <c r="U36" i="33" s="1"/>
  <c r="AC32" i="33"/>
  <c r="U27" i="33"/>
  <c r="J27" i="33"/>
  <c r="AC27" i="33" s="1"/>
  <c r="G87" i="33"/>
  <c r="H87" i="33" s="1"/>
  <c r="I87" i="33" s="1"/>
  <c r="J87" i="33" s="1"/>
  <c r="K87" i="33" s="1"/>
  <c r="L87" i="33" s="1"/>
  <c r="M87" i="33" s="1"/>
  <c r="J25" i="33"/>
  <c r="AC25" i="33" s="1"/>
  <c r="U23" i="33"/>
  <c r="F23" i="33"/>
  <c r="G85" i="33"/>
  <c r="H19" i="33"/>
  <c r="U19" i="33" s="1"/>
  <c r="H17" i="33"/>
  <c r="U17" i="33" s="1"/>
  <c r="F17" i="33"/>
  <c r="S17" i="33" s="1"/>
  <c r="S37" i="21"/>
  <c r="AB15" i="21"/>
  <c r="J23" i="21"/>
  <c r="H23" i="21"/>
  <c r="AB23" i="21" s="1"/>
  <c r="S13" i="21"/>
  <c r="AP7" i="1"/>
  <c r="AA32" i="21"/>
  <c r="W9" i="21"/>
  <c r="AC9" i="21"/>
  <c r="AB32" i="21"/>
  <c r="U32" i="39"/>
  <c r="J11" i="37"/>
  <c r="AC11" i="37" s="1"/>
  <c r="J11" i="34"/>
  <c r="W11" i="34" s="1"/>
  <c r="W25" i="33"/>
  <c r="AA17" i="33"/>
  <c r="U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8" i="76"/>
  <c r="C76" i="67"/>
  <c r="E13" i="76"/>
  <c r="F5" i="73"/>
  <c r="L48" i="67"/>
  <c r="F37" i="67"/>
  <c r="F26" i="67"/>
  <c r="B7" i="76"/>
  <c r="D35" i="9"/>
  <c r="J15" i="67"/>
  <c r="F13" i="67"/>
  <c r="E11" i="76"/>
  <c r="M22" i="67"/>
  <c r="F43" i="67"/>
  <c r="E7" i="76"/>
  <c r="M23" i="67"/>
  <c r="L47" i="67"/>
  <c r="E10" i="76"/>
  <c r="E9" i="76"/>
  <c r="B13" i="76"/>
  <c r="F7" i="67"/>
  <c r="B12" i="76"/>
  <c r="F38" i="67"/>
  <c r="F4" i="73"/>
  <c r="AO13" i="1"/>
  <c r="B8" i="76"/>
  <c r="M24" i="15"/>
  <c r="F7" i="73"/>
  <c r="F6" i="73"/>
  <c r="D34" i="9"/>
  <c r="J15" i="15"/>
  <c r="B11" i="76"/>
  <c r="M9" i="15"/>
  <c r="F36" i="15"/>
  <c r="F37" i="15"/>
  <c r="B10" i="76"/>
  <c r="E2" i="68"/>
  <c r="E2" i="69"/>
  <c r="F3" i="73"/>
  <c r="E12" i="76"/>
  <c r="F40" i="67"/>
  <c r="B9" i="76"/>
  <c r="M22" i="15"/>
  <c r="F13" i="15"/>
  <c r="M8" i="67"/>
  <c r="F20" i="31"/>
  <c r="F6" i="15"/>
  <c r="D6" i="73"/>
  <c r="W26" i="33" l="1"/>
  <c r="AC26" i="33"/>
  <c r="AA25" i="33"/>
  <c r="F54" i="9"/>
  <c r="F30" i="69"/>
  <c r="F48" i="69" s="1"/>
  <c r="F31" i="12"/>
  <c r="J36" i="35"/>
  <c r="AC36" i="35" s="1"/>
  <c r="H36" i="35"/>
  <c r="AB45" i="21"/>
  <c r="W17" i="33"/>
  <c r="AB41" i="33"/>
  <c r="D68" i="9"/>
  <c r="F28" i="15"/>
  <c r="F32" i="67"/>
  <c r="F60" i="67" s="1"/>
  <c r="F28" i="67"/>
  <c r="AZ325" i="3"/>
  <c r="AZ516" i="3"/>
  <c r="AZ574" i="3"/>
  <c r="AA14" i="37"/>
  <c r="H25" i="37"/>
  <c r="J25" i="37"/>
  <c r="AC32" i="39"/>
  <c r="AB9" i="21"/>
  <c r="AB25" i="33"/>
  <c r="M18" i="15"/>
  <c r="M18" i="67"/>
  <c r="F30" i="11"/>
  <c r="C48" i="11" s="1"/>
  <c r="AA35" i="33"/>
  <c r="AZ387" i="3"/>
  <c r="AZ373" i="3"/>
  <c r="AZ362" i="3"/>
  <c r="AZ322" i="3"/>
  <c r="AZ311" i="3"/>
  <c r="AZ389" i="3"/>
  <c r="AZ356" i="3"/>
  <c r="AZ342" i="3"/>
  <c r="AZ305" i="3"/>
  <c r="C52" i="37"/>
  <c r="D52" i="37" s="1"/>
  <c r="E7" i="37"/>
  <c r="I7" i="37"/>
  <c r="G7" i="37"/>
  <c r="AA25" i="21"/>
  <c r="AZ520" i="3"/>
  <c r="AZ563" i="3"/>
  <c r="AZ534" i="3"/>
  <c r="AZ554" i="3"/>
  <c r="AZ560" i="3"/>
  <c r="AZ568" i="3"/>
  <c r="AZ576" i="3"/>
  <c r="AZ584" i="3"/>
  <c r="AZ532" i="3"/>
  <c r="S44" i="34"/>
  <c r="AA14" i="34"/>
  <c r="AA14" i="33"/>
  <c r="AB23" i="34"/>
  <c r="AZ334" i="3"/>
  <c r="AZ336" i="3"/>
  <c r="AZ341" i="3"/>
  <c r="U14" i="40"/>
  <c r="AZ501" i="3"/>
  <c r="AZ523" i="3"/>
  <c r="AZ547" i="3"/>
  <c r="AZ559" i="3"/>
  <c r="AZ583" i="3"/>
  <c r="AZ528" i="3"/>
  <c r="AC28" i="21"/>
  <c r="AB46" i="34"/>
  <c r="AA44" i="33"/>
  <c r="AC11" i="35"/>
  <c r="B79" i="43"/>
  <c r="J24" i="36"/>
  <c r="G570" i="3"/>
  <c r="BA126" i="3"/>
  <c r="BA406" i="3"/>
  <c r="AZ406" i="3" s="1"/>
  <c r="BA413" i="3"/>
  <c r="AZ413" i="3" s="1"/>
  <c r="BL413" i="3"/>
  <c r="G416" i="3"/>
  <c r="BL423" i="3"/>
  <c r="G430" i="3"/>
  <c r="BL430" i="3"/>
  <c r="BA436" i="3"/>
  <c r="G452" i="3"/>
  <c r="BA452" i="3"/>
  <c r="G458" i="3"/>
  <c r="BA458" i="3"/>
  <c r="G462" i="3"/>
  <c r="BA462" i="3"/>
  <c r="BL465" i="3"/>
  <c r="BA469" i="3"/>
  <c r="AZ469" i="3" s="1"/>
  <c r="BA473" i="3"/>
  <c r="BA480" i="3"/>
  <c r="BL488" i="3"/>
  <c r="BA349" i="3"/>
  <c r="AZ349" i="3" s="1"/>
  <c r="BL359" i="3"/>
  <c r="AZ359" i="3" s="1"/>
  <c r="BA368" i="3"/>
  <c r="AZ368" i="3" s="1"/>
  <c r="BL368" i="3"/>
  <c r="BA374" i="3"/>
  <c r="AZ374" i="3" s="1"/>
  <c r="BL208" i="3"/>
  <c r="BL216" i="3"/>
  <c r="BA221" i="3"/>
  <c r="BL230" i="3"/>
  <c r="BA235" i="3"/>
  <c r="BL235" i="3"/>
  <c r="BL236" i="3"/>
  <c r="BA246" i="3"/>
  <c r="BA256" i="3"/>
  <c r="BL256" i="3"/>
  <c r="BA265" i="3"/>
  <c r="BA267" i="3"/>
  <c r="AZ267" i="3" s="1"/>
  <c r="BA271" i="3"/>
  <c r="BL271" i="3"/>
  <c r="BA275" i="3"/>
  <c r="BL278" i="3"/>
  <c r="BA279" i="3"/>
  <c r="BA283" i="3"/>
  <c r="G302" i="3"/>
  <c r="BA116" i="3"/>
  <c r="AZ116" i="3" s="1"/>
  <c r="BL127" i="3"/>
  <c r="AZ127" i="3" s="1"/>
  <c r="G128" i="3"/>
  <c r="BA129" i="3"/>
  <c r="G163" i="3"/>
  <c r="D34" i="71"/>
  <c r="C35" i="71"/>
  <c r="D50" i="71"/>
  <c r="C51" i="71"/>
  <c r="C60" i="71"/>
  <c r="D59" i="71"/>
  <c r="F66" i="71"/>
  <c r="Q67" i="71"/>
  <c r="A15" i="62"/>
  <c r="B61" i="72" s="1"/>
  <c r="G398" i="3"/>
  <c r="G399" i="3"/>
  <c r="BA402" i="3"/>
  <c r="AZ402" i="3" s="1"/>
  <c r="G408" i="3"/>
  <c r="G409" i="3"/>
  <c r="BL409" i="3"/>
  <c r="BL412" i="3"/>
  <c r="G413" i="3"/>
  <c r="G419" i="3"/>
  <c r="BA419" i="3"/>
  <c r="BL427" i="3"/>
  <c r="G428" i="3"/>
  <c r="BL428" i="3"/>
  <c r="BL429" i="3"/>
  <c r="BL433" i="3"/>
  <c r="BA434" i="3"/>
  <c r="G442" i="3"/>
  <c r="G443" i="3"/>
  <c r="BA443" i="3"/>
  <c r="BL447" i="3"/>
  <c r="BA451" i="3"/>
  <c r="AZ451" i="3" s="1"/>
  <c r="BL457" i="3"/>
  <c r="G460" i="3"/>
  <c r="BL460" i="3"/>
  <c r="BL461" i="3"/>
  <c r="BA463" i="3"/>
  <c r="BL463" i="3"/>
  <c r="G465" i="3"/>
  <c r="G467" i="3"/>
  <c r="G471" i="3"/>
  <c r="BL472" i="3"/>
  <c r="BA476" i="3"/>
  <c r="BL487" i="3"/>
  <c r="G488" i="3"/>
  <c r="BL308" i="3"/>
  <c r="AZ308" i="3" s="1"/>
  <c r="BL317" i="3"/>
  <c r="G318" i="3"/>
  <c r="G349" i="3"/>
  <c r="G358" i="3"/>
  <c r="G362" i="3"/>
  <c r="BL365" i="3"/>
  <c r="AZ365" i="3" s="1"/>
  <c r="G366" i="3"/>
  <c r="G374" i="3"/>
  <c r="BL381" i="3"/>
  <c r="AZ381" i="3" s="1"/>
  <c r="BL386" i="3"/>
  <c r="BA388" i="3"/>
  <c r="AZ388" i="3" s="1"/>
  <c r="BL211" i="3"/>
  <c r="BA220" i="3"/>
  <c r="BL224" i="3"/>
  <c r="BA233" i="3"/>
  <c r="BL233" i="3"/>
  <c r="BA245" i="3"/>
  <c r="BA250" i="3"/>
  <c r="BA255" i="3"/>
  <c r="G258" i="3"/>
  <c r="BL259" i="3"/>
  <c r="G263" i="3"/>
  <c r="G267" i="3"/>
  <c r="G270" i="3"/>
  <c r="BA270" i="3"/>
  <c r="BL272" i="3"/>
  <c r="G273" i="3"/>
  <c r="BA274" i="3"/>
  <c r="AZ274" i="3" s="1"/>
  <c r="BL274" i="3"/>
  <c r="G281" i="3"/>
  <c r="G285" i="3"/>
  <c r="BA288" i="3"/>
  <c r="BL289" i="3"/>
  <c r="G290" i="3"/>
  <c r="G291" i="3"/>
  <c r="BA301" i="3"/>
  <c r="BL122" i="3"/>
  <c r="G123" i="3"/>
  <c r="BA124" i="3"/>
  <c r="AZ124" i="3" s="1"/>
  <c r="G127" i="3"/>
  <c r="BA133" i="3"/>
  <c r="AZ133" i="3" s="1"/>
  <c r="G136" i="3"/>
  <c r="BL139" i="3"/>
  <c r="AZ139" i="3" s="1"/>
  <c r="G140" i="3"/>
  <c r="BL141" i="3"/>
  <c r="BL143" i="3"/>
  <c r="AZ143" i="3" s="1"/>
  <c r="G158" i="3"/>
  <c r="G566" i="3"/>
  <c r="G558" i="3"/>
  <c r="BA400" i="3"/>
  <c r="AZ400" i="3" s="1"/>
  <c r="BL400" i="3"/>
  <c r="G405" i="3"/>
  <c r="BL408" i="3"/>
  <c r="BL416" i="3"/>
  <c r="G417" i="3"/>
  <c r="BL417" i="3"/>
  <c r="BL418" i="3"/>
  <c r="BA420" i="3"/>
  <c r="BL420" i="3"/>
  <c r="G422" i="3"/>
  <c r="G431" i="3"/>
  <c r="G432" i="3"/>
  <c r="BL432" i="3"/>
  <c r="G441" i="3"/>
  <c r="BA446" i="3"/>
  <c r="G453" i="3"/>
  <c r="BA456" i="3"/>
  <c r="BL458" i="3"/>
  <c r="G459" i="3"/>
  <c r="BL462" i="3"/>
  <c r="G463" i="3"/>
  <c r="BA466" i="3"/>
  <c r="BA471" i="3"/>
  <c r="G474" i="3"/>
  <c r="G482" i="3"/>
  <c r="BA485" i="3"/>
  <c r="G486" i="3"/>
  <c r="BA489" i="3"/>
  <c r="BL490" i="3"/>
  <c r="BA358" i="3"/>
  <c r="AZ358" i="3" s="1"/>
  <c r="BA396" i="3"/>
  <c r="G209" i="3"/>
  <c r="G215" i="3"/>
  <c r="BA219" i="3"/>
  <c r="AZ219" i="3" s="1"/>
  <c r="BA223" i="3"/>
  <c r="BL227" i="3"/>
  <c r="BA231" i="3"/>
  <c r="BL231" i="3"/>
  <c r="G233" i="3"/>
  <c r="BL238" i="3"/>
  <c r="G239" i="3"/>
  <c r="BA240" i="3"/>
  <c r="BL242" i="3"/>
  <c r="G243" i="3"/>
  <c r="BA244" i="3"/>
  <c r="BL244" i="3"/>
  <c r="G247" i="3"/>
  <c r="BA248" i="3"/>
  <c r="BA252" i="3"/>
  <c r="AZ252" i="3" s="1"/>
  <c r="BA254" i="3"/>
  <c r="AZ254" i="3" s="1"/>
  <c r="BA258" i="3"/>
  <c r="BL262" i="3"/>
  <c r="G276" i="3"/>
  <c r="BL280" i="3"/>
  <c r="BA281" i="3"/>
  <c r="BA286" i="3"/>
  <c r="AZ286" i="3" s="1"/>
  <c r="G289" i="3"/>
  <c r="G295" i="3"/>
  <c r="BA296" i="3"/>
  <c r="G299" i="3"/>
  <c r="BA149" i="3"/>
  <c r="C64" i="71"/>
  <c r="D63" i="71"/>
  <c r="BA157" i="3"/>
  <c r="BL166" i="3"/>
  <c r="BA174" i="3"/>
  <c r="BL181" i="3"/>
  <c r="BL186" i="3"/>
  <c r="BL198" i="3"/>
  <c r="G205" i="3"/>
  <c r="BA22" i="3"/>
  <c r="G42" i="3"/>
  <c r="G52" i="3"/>
  <c r="BA52" i="3"/>
  <c r="BA62" i="3"/>
  <c r="BL62" i="3"/>
  <c r="BL63" i="3"/>
  <c r="BA65" i="3"/>
  <c r="BL69" i="3"/>
  <c r="G71" i="3"/>
  <c r="BA77" i="3"/>
  <c r="G80" i="3"/>
  <c r="BA80" i="3"/>
  <c r="BL84" i="3"/>
  <c r="BL91" i="3"/>
  <c r="BA94" i="3"/>
  <c r="BL103" i="3"/>
  <c r="BA104" i="3"/>
  <c r="BL110" i="3"/>
  <c r="BL111" i="3"/>
  <c r="AC21" i="33"/>
  <c r="T44" i="71"/>
  <c r="D83" i="71"/>
  <c r="D72" i="71"/>
  <c r="C67" i="71"/>
  <c r="X34" i="71"/>
  <c r="C31" i="71"/>
  <c r="AA35" i="71"/>
  <c r="Y35" i="71"/>
  <c r="Z35" i="71" s="1"/>
  <c r="X36" i="71"/>
  <c r="E51" i="71"/>
  <c r="E52" i="71" s="1"/>
  <c r="U52" i="71" s="1"/>
  <c r="B79" i="71"/>
  <c r="B78" i="71" s="1"/>
  <c r="G135" i="3"/>
  <c r="BA145" i="3"/>
  <c r="BL146" i="3"/>
  <c r="G147" i="3"/>
  <c r="BA156" i="3"/>
  <c r="AZ156" i="3" s="1"/>
  <c r="G159" i="3"/>
  <c r="BA162" i="3"/>
  <c r="BL162" i="3"/>
  <c r="BL165" i="3"/>
  <c r="G166" i="3"/>
  <c r="G172" i="3"/>
  <c r="BA173" i="3"/>
  <c r="AZ173" i="3" s="1"/>
  <c r="BA177" i="3"/>
  <c r="BA182" i="3"/>
  <c r="BL185" i="3"/>
  <c r="G186" i="3"/>
  <c r="G192" i="3"/>
  <c r="G199" i="3"/>
  <c r="G18" i="3"/>
  <c r="BA19" i="3"/>
  <c r="G22" i="3"/>
  <c r="G26" i="3"/>
  <c r="G27" i="3"/>
  <c r="G30" i="3"/>
  <c r="G31" i="3"/>
  <c r="G36" i="3"/>
  <c r="G37" i="3"/>
  <c r="G40" i="3"/>
  <c r="G41" i="3"/>
  <c r="BA47" i="3"/>
  <c r="AZ47" i="3" s="1"/>
  <c r="BL47" i="3"/>
  <c r="G49" i="3"/>
  <c r="G50" i="3"/>
  <c r="G54" i="3"/>
  <c r="BL57" i="3"/>
  <c r="G59" i="3"/>
  <c r="G62" i="3"/>
  <c r="BL67" i="3"/>
  <c r="AZ67" i="3" s="1"/>
  <c r="G69" i="3"/>
  <c r="BA70" i="3"/>
  <c r="BL86" i="3"/>
  <c r="G88" i="3"/>
  <c r="BA89" i="3"/>
  <c r="G103" i="3"/>
  <c r="BA103" i="3"/>
  <c r="W18" i="36"/>
  <c r="BA134" i="3"/>
  <c r="G146" i="3"/>
  <c r="BL161" i="3"/>
  <c r="G162" i="3"/>
  <c r="BL169" i="3"/>
  <c r="BL170" i="3"/>
  <c r="G171" i="3"/>
  <c r="BL179" i="3"/>
  <c r="AZ179" i="3" s="1"/>
  <c r="G180" i="3"/>
  <c r="BA181" i="3"/>
  <c r="AZ181" i="3" s="1"/>
  <c r="BA194" i="3"/>
  <c r="BL194" i="3"/>
  <c r="BA198" i="3"/>
  <c r="AZ198" i="3" s="1"/>
  <c r="BL205" i="3"/>
  <c r="G206" i="3"/>
  <c r="BL206" i="3"/>
  <c r="G21" i="3"/>
  <c r="BL24" i="3"/>
  <c r="G25" i="3"/>
  <c r="BA30" i="3"/>
  <c r="G35" i="3"/>
  <c r="BA40" i="3"/>
  <c r="BL44" i="3"/>
  <c r="BA55" i="3"/>
  <c r="G57" i="3"/>
  <c r="G61" i="3"/>
  <c r="BL65" i="3"/>
  <c r="BL66" i="3"/>
  <c r="BL71" i="3"/>
  <c r="BA78" i="3"/>
  <c r="G86" i="3"/>
  <c r="BA88" i="3"/>
  <c r="BL96" i="3"/>
  <c r="BA98" i="3"/>
  <c r="BL100" i="3"/>
  <c r="G106" i="3"/>
  <c r="BA106" i="3"/>
  <c r="BL108" i="3"/>
  <c r="AC18" i="35"/>
  <c r="W29" i="39"/>
  <c r="C29" i="39"/>
  <c r="N66" i="71"/>
  <c r="E75" i="71"/>
  <c r="E74" i="71" s="1"/>
  <c r="C71" i="71"/>
  <c r="O68" i="71"/>
  <c r="AA34" i="71"/>
  <c r="AB37" i="71"/>
  <c r="B43" i="71"/>
  <c r="B44" i="71" s="1"/>
  <c r="S44" i="71" s="1"/>
  <c r="B71" i="71"/>
  <c r="B70" i="71" s="1"/>
  <c r="S76" i="71"/>
  <c r="F79" i="71"/>
  <c r="F78" i="71" s="1"/>
  <c r="D16" i="80"/>
  <c r="AB19" i="1" s="1"/>
  <c r="AF6" i="1" s="1"/>
  <c r="H13" i="80"/>
  <c r="F13" i="80" s="1"/>
  <c r="F15" i="80" s="1"/>
  <c r="C52" i="83"/>
  <c r="D52" i="83" s="1"/>
  <c r="E52" i="83" s="1"/>
  <c r="F52" i="83" s="1"/>
  <c r="G52" i="83" s="1"/>
  <c r="H52" i="83" s="1"/>
  <c r="I52" i="83" s="1"/>
  <c r="J52" i="83" s="1"/>
  <c r="K52" i="83" s="1"/>
  <c r="L52" i="83" s="1"/>
  <c r="M52" i="83" s="1"/>
  <c r="N52" i="83" s="1"/>
  <c r="O52" i="83" s="1"/>
  <c r="E7" i="83"/>
  <c r="F7" i="83" s="1"/>
  <c r="I7" i="83"/>
  <c r="J7" i="83" s="1"/>
  <c r="G7" i="83"/>
  <c r="H7" i="83" s="1"/>
  <c r="E79" i="71"/>
  <c r="E78" i="71" s="1"/>
  <c r="F35" i="71"/>
  <c r="F36" i="71" s="1"/>
  <c r="V36" i="71" s="1"/>
  <c r="W38" i="37"/>
  <c r="U39" i="37"/>
  <c r="AA38" i="37"/>
  <c r="U38" i="37"/>
  <c r="J37" i="37"/>
  <c r="AC37" i="37" s="1"/>
  <c r="F37" i="37"/>
  <c r="H37" i="37"/>
  <c r="F107" i="37"/>
  <c r="G107" i="37" s="1"/>
  <c r="H107" i="37" s="1"/>
  <c r="I107" i="37" s="1"/>
  <c r="J107" i="37" s="1"/>
  <c r="K107" i="37" s="1"/>
  <c r="L107" i="37" s="1"/>
  <c r="M107" i="37" s="1"/>
  <c r="AA31" i="37"/>
  <c r="H19" i="37"/>
  <c r="AB19" i="37" s="1"/>
  <c r="J19" i="37"/>
  <c r="W19" i="37" s="1"/>
  <c r="F19" i="37"/>
  <c r="S19" i="37" s="1"/>
  <c r="G75" i="37"/>
  <c r="H17" i="37"/>
  <c r="U17" i="37" s="1"/>
  <c r="J17" i="37"/>
  <c r="W17" i="37" s="1"/>
  <c r="AC15" i="37"/>
  <c r="U23" i="37"/>
  <c r="AC21" i="37"/>
  <c r="AA19" i="37"/>
  <c r="U19" i="37"/>
  <c r="S17" i="37"/>
  <c r="AB17" i="37"/>
  <c r="S15" i="37"/>
  <c r="W36" i="37"/>
  <c r="W37" i="37"/>
  <c r="AB35" i="37"/>
  <c r="AA35" i="37"/>
  <c r="AB31" i="37"/>
  <c r="AA29" i="37"/>
  <c r="U36" i="37"/>
  <c r="S36" i="37"/>
  <c r="W32" i="37"/>
  <c r="S32" i="37"/>
  <c r="W31" i="37"/>
  <c r="AC29" i="37"/>
  <c r="C40" i="69"/>
  <c r="C21" i="68"/>
  <c r="AB19" i="33"/>
  <c r="W27" i="33"/>
  <c r="W23" i="37"/>
  <c r="AA27" i="40"/>
  <c r="AB27" i="40"/>
  <c r="AB36" i="33"/>
  <c r="AA23" i="21"/>
  <c r="AA19" i="33"/>
  <c r="AC17" i="21"/>
  <c r="AC15" i="21"/>
  <c r="AC20" i="36"/>
  <c r="AA39" i="39"/>
  <c r="AB12" i="39"/>
  <c r="AA30" i="40"/>
  <c r="AC11" i="39"/>
  <c r="F29" i="6"/>
  <c r="AZ391" i="3"/>
  <c r="AZ318" i="3"/>
  <c r="AZ364" i="3"/>
  <c r="AZ329" i="3"/>
  <c r="AZ304" i="3"/>
  <c r="AZ306" i="3"/>
  <c r="AZ535" i="3"/>
  <c r="AZ577" i="3"/>
  <c r="AZ557" i="3"/>
  <c r="AZ513" i="3"/>
  <c r="AZ575" i="3"/>
  <c r="AZ566" i="3"/>
  <c r="AZ582" i="3"/>
  <c r="AZ540" i="3"/>
  <c r="AZ502" i="3"/>
  <c r="W31" i="34"/>
  <c r="U46" i="33"/>
  <c r="S29" i="35"/>
  <c r="AA29" i="35"/>
  <c r="U17" i="34"/>
  <c r="AB17" i="34"/>
  <c r="AZ419" i="3"/>
  <c r="D6" i="52"/>
  <c r="S36" i="33"/>
  <c r="AA23" i="37"/>
  <c r="W33" i="34"/>
  <c r="AA40" i="34"/>
  <c r="W27" i="40"/>
  <c r="U32" i="37"/>
  <c r="AZ345" i="3"/>
  <c r="AZ372" i="3"/>
  <c r="AZ347" i="3"/>
  <c r="AZ337" i="3"/>
  <c r="AZ376" i="3"/>
  <c r="AZ309" i="3"/>
  <c r="AA11" i="39"/>
  <c r="AZ515" i="3"/>
  <c r="AZ533" i="3"/>
  <c r="AZ561" i="3"/>
  <c r="AZ569" i="3"/>
  <c r="AZ571" i="3"/>
  <c r="AZ579" i="3"/>
  <c r="AZ524" i="3"/>
  <c r="AZ539" i="3"/>
  <c r="AZ529" i="3"/>
  <c r="AZ537" i="3"/>
  <c r="AZ518" i="3"/>
  <c r="AZ526" i="3"/>
  <c r="AZ546" i="3"/>
  <c r="AZ564" i="3"/>
  <c r="AZ580" i="3"/>
  <c r="C15" i="39"/>
  <c r="H33" i="36"/>
  <c r="F25" i="37"/>
  <c r="BA551" i="3"/>
  <c r="AZ551" i="3" s="1"/>
  <c r="BA550" i="3"/>
  <c r="BL548" i="3"/>
  <c r="AZ548" i="3" s="1"/>
  <c r="BL435" i="3"/>
  <c r="BL440" i="3"/>
  <c r="AZ458" i="3"/>
  <c r="BL585" i="3"/>
  <c r="AZ585" i="3" s="1"/>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L441" i="3"/>
  <c r="BL442" i="3"/>
  <c r="BA444" i="3"/>
  <c r="H9" i="34"/>
  <c r="F12" i="34"/>
  <c r="S12" i="34" s="1"/>
  <c r="J23" i="36"/>
  <c r="H39" i="40"/>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BL437" i="3"/>
  <c r="AZ437" i="3" s="1"/>
  <c r="G440" i="3"/>
  <c r="AZ466" i="3"/>
  <c r="G585" i="3"/>
  <c r="BL587" i="3"/>
  <c r="AZ587" i="3" s="1"/>
  <c r="BL586" i="3"/>
  <c r="AZ586" i="3" s="1"/>
  <c r="J9" i="34"/>
  <c r="H12" i="34"/>
  <c r="G574" i="3"/>
  <c r="BL16" i="3"/>
  <c r="AZ16" i="3" s="1"/>
  <c r="BA401" i="3"/>
  <c r="AZ401" i="3" s="1"/>
  <c r="BA403" i="3"/>
  <c r="AZ403" i="3" s="1"/>
  <c r="BA404" i="3"/>
  <c r="BA405" i="3"/>
  <c r="BL410" i="3"/>
  <c r="G412" i="3"/>
  <c r="G418" i="3"/>
  <c r="BA422" i="3"/>
  <c r="AZ422" i="3" s="1"/>
  <c r="G429" i="3"/>
  <c r="BL431" i="3"/>
  <c r="G433" i="3"/>
  <c r="BL434" i="3"/>
  <c r="G436" i="3"/>
  <c r="G437" i="3"/>
  <c r="BL443" i="3"/>
  <c r="AZ443" i="3" s="1"/>
  <c r="BL438" i="3"/>
  <c r="BL439" i="3"/>
  <c r="BA441" i="3"/>
  <c r="BL445" i="3"/>
  <c r="BL446" i="3"/>
  <c r="AZ446" i="3" s="1"/>
  <c r="BL449" i="3"/>
  <c r="BL450" i="3"/>
  <c r="BL452" i="3"/>
  <c r="G454" i="3"/>
  <c r="G455" i="3"/>
  <c r="BL456" i="3"/>
  <c r="AZ456" i="3" s="1"/>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AZ220" i="3" s="1"/>
  <c r="BL221" i="3"/>
  <c r="AZ221" i="3" s="1"/>
  <c r="G222" i="3"/>
  <c r="BL223" i="3"/>
  <c r="AZ223" i="3" s="1"/>
  <c r="G224" i="3"/>
  <c r="BA227" i="3"/>
  <c r="AZ227" i="3" s="1"/>
  <c r="BA229" i="3"/>
  <c r="BL229" i="3"/>
  <c r="BL232" i="3"/>
  <c r="BL234" i="3"/>
  <c r="BA236" i="3"/>
  <c r="G241" i="3"/>
  <c r="BL436" i="3"/>
  <c r="BA439" i="3"/>
  <c r="BA440" i="3"/>
  <c r="AZ440" i="3" s="1"/>
  <c r="BA442" i="3"/>
  <c r="BA445" i="3"/>
  <c r="BA447" i="3"/>
  <c r="AZ447" i="3" s="1"/>
  <c r="BA449" i="3"/>
  <c r="BL453" i="3"/>
  <c r="AZ453" i="3" s="1"/>
  <c r="BL454" i="3"/>
  <c r="BL459" i="3"/>
  <c r="G461" i="3"/>
  <c r="BA465" i="3"/>
  <c r="AZ465" i="3" s="1"/>
  <c r="BA467" i="3"/>
  <c r="BA468" i="3"/>
  <c r="BL471" i="3"/>
  <c r="BL475" i="3"/>
  <c r="BA477" i="3"/>
  <c r="BA478" i="3"/>
  <c r="AZ478" i="3" s="1"/>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0" i="3"/>
  <c r="AZ230" i="3" s="1"/>
  <c r="BL237" i="3"/>
  <c r="BA241" i="3"/>
  <c r="BL241" i="3"/>
  <c r="AZ471" i="3"/>
  <c r="AZ487" i="3"/>
  <c r="BL228" i="3"/>
  <c r="AZ228" i="3" s="1"/>
  <c r="BA239" i="3"/>
  <c r="BL239" i="3"/>
  <c r="BL444" i="3"/>
  <c r="G447" i="3"/>
  <c r="BL448" i="3"/>
  <c r="AZ448" i="3" s="1"/>
  <c r="G451" i="3"/>
  <c r="BA454" i="3"/>
  <c r="AZ454" i="3" s="1"/>
  <c r="BA457" i="3"/>
  <c r="AZ457" i="3" s="1"/>
  <c r="BA459" i="3"/>
  <c r="BA460" i="3"/>
  <c r="AZ460" i="3" s="1"/>
  <c r="BA461" i="3"/>
  <c r="AZ461" i="3" s="1"/>
  <c r="BL464" i="3"/>
  <c r="BL466" i="3"/>
  <c r="G469" i="3"/>
  <c r="BL476" i="3"/>
  <c r="AZ476" i="3" s="1"/>
  <c r="BL477" i="3"/>
  <c r="BL47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8" i="3"/>
  <c r="AZ238" i="3" s="1"/>
  <c r="BL243" i="3"/>
  <c r="G244" i="3"/>
  <c r="BA247" i="3"/>
  <c r="BL247" i="3"/>
  <c r="BA249" i="3"/>
  <c r="BL249" i="3"/>
  <c r="BA251" i="3"/>
  <c r="BL251" i="3"/>
  <c r="BA253" i="3"/>
  <c r="BL260" i="3"/>
  <c r="AZ260" i="3" s="1"/>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BA28" i="3"/>
  <c r="AZ28" i="3" s="1"/>
  <c r="BA31" i="3"/>
  <c r="AZ31" i="3" s="1"/>
  <c r="BA32" i="3"/>
  <c r="C55" i="71"/>
  <c r="D54" i="71"/>
  <c r="BL264" i="3"/>
  <c r="BL266" i="3"/>
  <c r="BA268" i="3"/>
  <c r="BL273" i="3"/>
  <c r="G274" i="3"/>
  <c r="BA277" i="3"/>
  <c r="BL277" i="3"/>
  <c r="BA282" i="3"/>
  <c r="BL282" i="3"/>
  <c r="BA284" i="3"/>
  <c r="BL290" i="3"/>
  <c r="BL291" i="3"/>
  <c r="AZ291" i="3" s="1"/>
  <c r="BL293" i="3"/>
  <c r="AZ293" i="3" s="1"/>
  <c r="BL294" i="3"/>
  <c r="BA297" i="3"/>
  <c r="BL297" i="3"/>
  <c r="BL300" i="3"/>
  <c r="BA302" i="3"/>
  <c r="G115" i="3"/>
  <c r="BA117" i="3"/>
  <c r="BA130" i="3"/>
  <c r="BL130" i="3"/>
  <c r="BA137" i="3"/>
  <c r="BL138" i="3"/>
  <c r="BA140" i="3"/>
  <c r="AZ140" i="3" s="1"/>
  <c r="BA142" i="3"/>
  <c r="BL149" i="3"/>
  <c r="AZ149" i="3" s="1"/>
  <c r="BL150" i="3"/>
  <c r="G151" i="3"/>
  <c r="BA152" i="3"/>
  <c r="AZ152" i="3" s="1"/>
  <c r="BA154" i="3"/>
  <c r="AZ154" i="3" s="1"/>
  <c r="BA27" i="3"/>
  <c r="BL30" i="3"/>
  <c r="AZ30" i="3" s="1"/>
  <c r="BA243" i="3"/>
  <c r="BL248" i="3"/>
  <c r="AZ248" i="3" s="1"/>
  <c r="BL250" i="3"/>
  <c r="AZ250" i="3" s="1"/>
  <c r="BA259" i="3"/>
  <c r="AZ259" i="3" s="1"/>
  <c r="BL261" i="3"/>
  <c r="BA263" i="3"/>
  <c r="AZ263" i="3" s="1"/>
  <c r="BL157" i="3"/>
  <c r="AZ157" i="3" s="1"/>
  <c r="BL159" i="3"/>
  <c r="AZ159" i="3" s="1"/>
  <c r="BL177" i="3"/>
  <c r="AZ177" i="3" s="1"/>
  <c r="BL183" i="3"/>
  <c r="AZ183" i="3" s="1"/>
  <c r="BA186" i="3"/>
  <c r="AZ186" i="3" s="1"/>
  <c r="BA190" i="3"/>
  <c r="BA197" i="3"/>
  <c r="AZ197" i="3" s="1"/>
  <c r="BL201" i="3"/>
  <c r="AZ201" i="3" s="1"/>
  <c r="BL203" i="3"/>
  <c r="AZ203" i="3" s="1"/>
  <c r="BA204" i="3"/>
  <c r="AZ204" i="3" s="1"/>
  <c r="BA18" i="3"/>
  <c r="BL21" i="3"/>
  <c r="G23" i="3"/>
  <c r="G29" i="3"/>
  <c r="BL29" i="3"/>
  <c r="G33" i="3"/>
  <c r="BA33" i="3"/>
  <c r="D31" i="71"/>
  <c r="C32" i="71"/>
  <c r="BA237" i="3"/>
  <c r="AZ237" i="3" s="1"/>
  <c r="BL240" i="3"/>
  <c r="AZ240" i="3" s="1"/>
  <c r="BA242" i="3"/>
  <c r="AZ242" i="3" s="1"/>
  <c r="BL245" i="3"/>
  <c r="AZ245" i="3" s="1"/>
  <c r="BL255" i="3"/>
  <c r="G257" i="3"/>
  <c r="BL257" i="3"/>
  <c r="AZ257" i="3" s="1"/>
  <c r="BL258" i="3"/>
  <c r="G259" i="3"/>
  <c r="BA262" i="3"/>
  <c r="AZ262" i="3" s="1"/>
  <c r="BL265" i="3"/>
  <c r="AZ265" i="3" s="1"/>
  <c r="BA273" i="3"/>
  <c r="AZ273" i="3" s="1"/>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BL137" i="3"/>
  <c r="BA146" i="3"/>
  <c r="AZ146" i="3" s="1"/>
  <c r="BA150" i="3"/>
  <c r="BL167" i="3"/>
  <c r="AZ167" i="3" s="1"/>
  <c r="G175" i="3"/>
  <c r="G176" i="3"/>
  <c r="BL178" i="3"/>
  <c r="BA180" i="3"/>
  <c r="AZ180" i="3" s="1"/>
  <c r="BL182" i="3"/>
  <c r="AZ182" i="3" s="1"/>
  <c r="G183" i="3"/>
  <c r="BA185" i="3"/>
  <c r="BL191" i="3"/>
  <c r="AZ191" i="3" s="1"/>
  <c r="BA193" i="3"/>
  <c r="BA196" i="3"/>
  <c r="AZ196" i="3" s="1"/>
  <c r="G203" i="3"/>
  <c r="BA205" i="3"/>
  <c r="AZ205" i="3" s="1"/>
  <c r="BL20" i="3"/>
  <c r="BA21" i="3"/>
  <c r="AZ21" i="3" s="1"/>
  <c r="BA25" i="3"/>
  <c r="AZ25" i="3" s="1"/>
  <c r="BA29" i="3"/>
  <c r="BL35" i="3"/>
  <c r="C47" i="71"/>
  <c r="D47" i="71" s="1"/>
  <c r="D46" i="71"/>
  <c r="G38" i="3"/>
  <c r="BA38" i="3"/>
  <c r="AZ38" i="3" s="1"/>
  <c r="BA41" i="3"/>
  <c r="BA42" i="3"/>
  <c r="G47" i="3"/>
  <c r="BL48" i="3"/>
  <c r="BL54" i="3"/>
  <c r="BL55" i="3"/>
  <c r="AZ55" i="3" s="1"/>
  <c r="G58" i="3"/>
  <c r="BA59" i="3"/>
  <c r="BL61" i="3"/>
  <c r="G64" i="3"/>
  <c r="BA64" i="3"/>
  <c r="AZ64" i="3" s="1"/>
  <c r="G67" i="3"/>
  <c r="BL68" i="3"/>
  <c r="BA69" i="3"/>
  <c r="AZ69" i="3" s="1"/>
  <c r="G72" i="3"/>
  <c r="BL73" i="3"/>
  <c r="BA74" i="3"/>
  <c r="AZ74" i="3" s="1"/>
  <c r="BA75" i="3"/>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A18" i="35"/>
  <c r="AA28" i="71"/>
  <c r="AB25" i="71"/>
  <c r="X26" i="71"/>
  <c r="Y25" i="71"/>
  <c r="Z25" i="71" s="1"/>
  <c r="X38" i="71"/>
  <c r="Y29" i="71"/>
  <c r="Z29" i="71" s="1"/>
  <c r="AB32" i="71"/>
  <c r="X33" i="71"/>
  <c r="BL40" i="3"/>
  <c r="BL41" i="3"/>
  <c r="BL45" i="3"/>
  <c r="BA48" i="3"/>
  <c r="BA49" i="3"/>
  <c r="BA51" i="3"/>
  <c r="AZ51" i="3" s="1"/>
  <c r="G55" i="3"/>
  <c r="BL56" i="3"/>
  <c r="BA58" i="3"/>
  <c r="BL59" i="3"/>
  <c r="BL60" i="3"/>
  <c r="AZ60" i="3" s="1"/>
  <c r="BA61" i="3"/>
  <c r="BA68" i="3"/>
  <c r="AZ68" i="3" s="1"/>
  <c r="BA73" i="3"/>
  <c r="AZ103" i="3"/>
  <c r="P66" i="71"/>
  <c r="AA27" i="71"/>
  <c r="AB26" i="71"/>
  <c r="C39" i="71"/>
  <c r="X25" i="71"/>
  <c r="Y28" i="71"/>
  <c r="Z28" i="71" s="1"/>
  <c r="C28" i="71"/>
  <c r="Y37" i="71"/>
  <c r="Z37" i="71" s="1"/>
  <c r="X35" i="71"/>
  <c r="AA37" i="71"/>
  <c r="Y30" i="71"/>
  <c r="Z30" i="71" s="1"/>
  <c r="X28" i="71"/>
  <c r="X32" i="71"/>
  <c r="AA39" i="71"/>
  <c r="F75" i="71"/>
  <c r="F74" i="71" s="1"/>
  <c r="G34" i="3"/>
  <c r="BA37" i="3"/>
  <c r="G39" i="3"/>
  <c r="BL39" i="3"/>
  <c r="AZ39" i="3" s="1"/>
  <c r="G43" i="3"/>
  <c r="G44" i="3"/>
  <c r="BA45" i="3"/>
  <c r="BA46" i="3"/>
  <c r="BL49" i="3"/>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AZ92" i="3" s="1"/>
  <c r="G101" i="3"/>
  <c r="BA101" i="3"/>
  <c r="AZ101" i="3" s="1"/>
  <c r="G108" i="3"/>
  <c r="G109" i="3"/>
  <c r="BL112" i="3"/>
  <c r="AB21" i="33"/>
  <c r="U25" i="40"/>
  <c r="S21" i="34"/>
  <c r="B68" i="43"/>
  <c r="B88" i="43"/>
  <c r="E23" i="71"/>
  <c r="E22" i="71" s="1"/>
  <c r="E21" i="71" s="1"/>
  <c r="E20" i="71" s="1"/>
  <c r="AZ52" i="3"/>
  <c r="BA53" i="3"/>
  <c r="BL70" i="3"/>
  <c r="AZ70" i="3" s="1"/>
  <c r="BL72" i="3"/>
  <c r="AZ72" i="3" s="1"/>
  <c r="BL75" i="3"/>
  <c r="BL81" i="3"/>
  <c r="BA82" i="3"/>
  <c r="AZ82" i="3" s="1"/>
  <c r="BL83" i="3"/>
  <c r="BA90" i="3"/>
  <c r="BL94" i="3"/>
  <c r="AZ94" i="3" s="1"/>
  <c r="BA100" i="3"/>
  <c r="AZ100" i="3" s="1"/>
  <c r="BA102" i="3"/>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67" i="3"/>
  <c r="AZ468" i="3"/>
  <c r="AZ470" i="3"/>
  <c r="W35" i="39"/>
  <c r="F27" i="34"/>
  <c r="C21" i="39"/>
  <c r="U9" i="36"/>
  <c r="U14" i="37"/>
  <c r="H12" i="21"/>
  <c r="G526" i="3"/>
  <c r="AZ420" i="3"/>
  <c r="AZ424" i="3"/>
  <c r="AZ434" i="3"/>
  <c r="AZ436" i="3"/>
  <c r="AZ438"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31" i="3"/>
  <c r="AZ255" i="3"/>
  <c r="AZ276"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6" i="3"/>
  <c r="G248" i="3"/>
  <c r="AZ25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BL279" i="3"/>
  <c r="AZ279" i="3" s="1"/>
  <c r="BL281" i="3"/>
  <c r="AZ281" i="3" s="1"/>
  <c r="BA285" i="3"/>
  <c r="AZ285" i="3" s="1"/>
  <c r="BA287" i="3"/>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BL36" i="3"/>
  <c r="AZ36" i="3" s="1"/>
  <c r="AZ40" i="3"/>
  <c r="AZ4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BL78" i="3"/>
  <c r="AZ78" i="3" s="1"/>
  <c r="BA83" i="3"/>
  <c r="AZ83" i="3" s="1"/>
  <c r="G91" i="3"/>
  <c r="BL95" i="3"/>
  <c r="AZ95" i="3" s="1"/>
  <c r="BL98" i="3"/>
  <c r="AZ98" i="3" s="1"/>
  <c r="BL109" i="3"/>
  <c r="AZ109" i="3" s="1"/>
  <c r="AB21" i="21"/>
  <c r="G77" i="3"/>
  <c r="BA81" i="3"/>
  <c r="BA85" i="3"/>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B20" i="31"/>
  <c r="B21" i="31" s="1"/>
  <c r="I1" i="73"/>
  <c r="B39" i="1" s="1"/>
  <c r="F65" i="67"/>
  <c r="J53" i="67"/>
  <c r="J57" i="67"/>
  <c r="J55" i="67" s="1"/>
  <c r="J58" i="67" s="1"/>
  <c r="Q50" i="67" s="1"/>
  <c r="L56" i="67"/>
  <c r="I54" i="67"/>
  <c r="F66" i="67"/>
  <c r="Q71" i="67"/>
  <c r="F64" i="15"/>
  <c r="C27" i="67"/>
  <c r="F71" i="67"/>
  <c r="F65" i="15"/>
  <c r="N59" i="67"/>
  <c r="L59" i="67"/>
  <c r="L58" i="67"/>
  <c r="M59" i="67"/>
  <c r="B13" i="70"/>
  <c r="M7" i="67"/>
  <c r="F50" i="67"/>
  <c r="F68" i="67"/>
  <c r="C36" i="68"/>
  <c r="D9" i="69"/>
  <c r="C36" i="69"/>
  <c r="D9" i="68"/>
  <c r="M23" i="15"/>
  <c r="F43" i="15"/>
  <c r="F36" i="67"/>
  <c r="M6" i="15"/>
  <c r="F42" i="15"/>
  <c r="L48" i="15"/>
  <c r="F9" i="67"/>
  <c r="F16" i="15"/>
  <c r="D5" i="73"/>
  <c r="M24" i="67"/>
  <c r="F38" i="15"/>
  <c r="D4" i="73"/>
  <c r="M26" i="15"/>
  <c r="C76" i="15"/>
  <c r="M9" i="67"/>
  <c r="L47" i="15"/>
  <c r="M28" i="15"/>
  <c r="F40" i="15"/>
  <c r="M29" i="15"/>
  <c r="F9" i="15"/>
  <c r="M28" i="67"/>
  <c r="F42" i="67"/>
  <c r="D3" i="73"/>
  <c r="M29" i="67"/>
  <c r="F7" i="15"/>
  <c r="F8" i="15"/>
  <c r="M8" i="15"/>
  <c r="D7" i="73"/>
  <c r="F8" i="67"/>
  <c r="F16" i="67"/>
  <c r="M26" i="67"/>
  <c r="F26" i="15"/>
  <c r="F51" i="15" l="1"/>
  <c r="L59" i="15"/>
  <c r="Q74" i="15" s="1"/>
  <c r="N59" i="15"/>
  <c r="M59" i="15"/>
  <c r="E28" i="6"/>
  <c r="K14" i="1" s="1"/>
  <c r="AZ29" i="3"/>
  <c r="J7" i="36"/>
  <c r="AZ85" i="3"/>
  <c r="AZ300" i="3"/>
  <c r="AZ287" i="3"/>
  <c r="AZ264" i="3"/>
  <c r="AZ234" i="3"/>
  <c r="AZ102" i="3"/>
  <c r="AZ150" i="3"/>
  <c r="AZ302" i="3"/>
  <c r="AZ284" i="3"/>
  <c r="AZ277" i="3"/>
  <c r="AZ251" i="3"/>
  <c r="AZ247" i="3"/>
  <c r="AZ459" i="3"/>
  <c r="AZ464" i="3"/>
  <c r="AZ65" i="3"/>
  <c r="C52" i="71"/>
  <c r="D51" i="71"/>
  <c r="U25" i="37"/>
  <c r="AB25" i="37"/>
  <c r="AZ81" i="3"/>
  <c r="AZ41" i="3"/>
  <c r="AZ20" i="3"/>
  <c r="AZ435" i="3"/>
  <c r="AZ425" i="3"/>
  <c r="AZ550" i="3"/>
  <c r="U7" i="83"/>
  <c r="AB7" i="83"/>
  <c r="F16" i="80"/>
  <c r="AZ162" i="3"/>
  <c r="AZ244" i="3"/>
  <c r="AZ233" i="3"/>
  <c r="AB36" i="35"/>
  <c r="U36" i="35"/>
  <c r="F15" i="71"/>
  <c r="F14" i="71" s="1"/>
  <c r="F13" i="71" s="1"/>
  <c r="F12" i="71" s="1"/>
  <c r="F11" i="71" s="1"/>
  <c r="F10" i="71" s="1"/>
  <c r="F9" i="71" s="1"/>
  <c r="F8" i="71" s="1"/>
  <c r="F7" i="71" s="1"/>
  <c r="F6" i="71" s="1"/>
  <c r="F5" i="71" s="1"/>
  <c r="M23" i="43"/>
  <c r="AC7" i="83"/>
  <c r="W7" i="83"/>
  <c r="D71" i="71"/>
  <c r="C70" i="71"/>
  <c r="D70" i="71" s="1"/>
  <c r="C36" i="71"/>
  <c r="D35" i="71"/>
  <c r="AZ462" i="3"/>
  <c r="AC24" i="36"/>
  <c r="W24" i="36"/>
  <c r="AZ243" i="3"/>
  <c r="AZ297" i="3"/>
  <c r="AZ27" i="3"/>
  <c r="AZ118" i="3"/>
  <c r="AZ397" i="3"/>
  <c r="AZ332" i="3"/>
  <c r="AA7" i="83"/>
  <c r="S7" i="83"/>
  <c r="AZ194" i="3"/>
  <c r="D67" i="71"/>
  <c r="C66" i="71"/>
  <c r="O67" i="71"/>
  <c r="AZ62" i="3"/>
  <c r="D60" i="71"/>
  <c r="T60" i="71"/>
  <c r="AZ271" i="3"/>
  <c r="AZ256" i="3"/>
  <c r="AZ235" i="3"/>
  <c r="AC25" i="37"/>
  <c r="W25" i="37"/>
  <c r="U37" i="37"/>
  <c r="AB37" i="37"/>
  <c r="AA37" i="37"/>
  <c r="S37" i="37"/>
  <c r="AC17" i="37"/>
  <c r="P6" i="1"/>
  <c r="C13" i="12" s="1"/>
  <c r="N94" i="46"/>
  <c r="K16" i="1"/>
  <c r="N370" i="46"/>
  <c r="Q16" i="1"/>
  <c r="F27" i="69" s="1"/>
  <c r="C47" i="69" s="1"/>
  <c r="D45" i="69" s="1"/>
  <c r="G26" i="43"/>
  <c r="H16" i="1"/>
  <c r="J26" i="43"/>
  <c r="F26" i="43"/>
  <c r="D26" i="43" s="1"/>
  <c r="C25" i="43" s="1"/>
  <c r="E26" i="43"/>
  <c r="F31" i="15"/>
  <c r="F50" i="15"/>
  <c r="M7" i="15"/>
  <c r="J6" i="15" s="1"/>
  <c r="J18" i="15" s="1"/>
  <c r="C6" i="15"/>
  <c r="C32" i="15" s="1"/>
  <c r="F66" i="15"/>
  <c r="J57" i="15"/>
  <c r="J55" i="15" s="1"/>
  <c r="J58" i="15" s="1"/>
  <c r="Q50" i="15" s="1"/>
  <c r="I54" i="15"/>
  <c r="J53" i="15"/>
  <c r="L56" i="15" s="1"/>
  <c r="L58" i="15"/>
  <c r="Q60" i="15" s="1"/>
  <c r="C27" i="15"/>
  <c r="Q71" i="15"/>
  <c r="F71" i="15"/>
  <c r="F64" i="67"/>
  <c r="F68" i="15"/>
  <c r="F31" i="67"/>
  <c r="F51" i="67"/>
  <c r="F59" i="67" s="1"/>
  <c r="AZ61" i="3"/>
  <c r="AZ75" i="3"/>
  <c r="AZ294" i="3"/>
  <c r="AZ190" i="3"/>
  <c r="AZ137" i="3"/>
  <c r="C56" i="71"/>
  <c r="D55" i="71"/>
  <c r="AZ178" i="3"/>
  <c r="U12" i="34"/>
  <c r="AB12" i="34"/>
  <c r="AA25" i="37"/>
  <c r="S25" i="37"/>
  <c r="G5" i="3"/>
  <c r="B3" i="3" s="1"/>
  <c r="R6" i="3" s="1"/>
  <c r="C40" i="71"/>
  <c r="D39" i="71"/>
  <c r="AC9" i="34"/>
  <c r="W9" i="34"/>
  <c r="AB9" i="34"/>
  <c r="U9" i="34"/>
  <c r="AB33" i="36"/>
  <c r="U33" i="36"/>
  <c r="AZ53" i="3"/>
  <c r="T28" i="71"/>
  <c r="D28" i="71"/>
  <c r="U28" i="71" s="1"/>
  <c r="C27" i="71"/>
  <c r="AZ59" i="3"/>
  <c r="AZ130" i="3"/>
  <c r="AZ239" i="3"/>
  <c r="AZ210" i="3"/>
  <c r="AZ405" i="3"/>
  <c r="U39" i="40"/>
  <c r="AB39" i="40"/>
  <c r="AZ45" i="3"/>
  <c r="AZ58" i="3"/>
  <c r="AZ49" i="3"/>
  <c r="T32" i="71"/>
  <c r="D32" i="71"/>
  <c r="AZ282" i="3"/>
  <c r="AZ249" i="3"/>
  <c r="AZ483" i="3"/>
  <c r="AZ241" i="3"/>
  <c r="AZ491" i="3"/>
  <c r="AZ229" i="3"/>
  <c r="AZ218" i="3"/>
  <c r="AZ441" i="3"/>
  <c r="AZ404" i="3"/>
  <c r="AC23" i="36"/>
  <c r="W23" i="36"/>
  <c r="AZ444" i="3"/>
  <c r="G16" i="1"/>
  <c r="F10" i="39" s="1"/>
  <c r="S10" i="39" s="1"/>
  <c r="J7" i="37"/>
  <c r="W7" i="37" s="1"/>
  <c r="K1" i="73"/>
  <c r="E503" i="3"/>
  <c r="E350" i="3"/>
  <c r="E347" i="3"/>
  <c r="E228" i="3"/>
  <c r="E472" i="3"/>
  <c r="E468" i="3"/>
  <c r="E315" i="3"/>
  <c r="E89" i="3"/>
  <c r="E485" i="3"/>
  <c r="E28" i="3"/>
  <c r="E377" i="3"/>
  <c r="E268" i="3"/>
  <c r="E247" i="3"/>
  <c r="M6" i="3"/>
  <c r="E189" i="3"/>
  <c r="E535" i="3"/>
  <c r="E423" i="3"/>
  <c r="E100" i="3"/>
  <c r="E275" i="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AA7" i="36" s="1"/>
  <c r="H7" i="36"/>
  <c r="E131" i="3"/>
  <c r="E142"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H7" i="33"/>
  <c r="J7" i="33"/>
  <c r="D65" i="40"/>
  <c r="E63" i="40"/>
  <c r="F48" i="35"/>
  <c r="AB7" i="36"/>
  <c r="T36" i="36" s="1"/>
  <c r="G36" i="36" s="1"/>
  <c r="U7" i="36"/>
  <c r="F7" i="33"/>
  <c r="E58" i="21"/>
  <c r="AC7" i="36"/>
  <c r="V36" i="36" s="1"/>
  <c r="I36" i="36" s="1"/>
  <c r="W7" i="36"/>
  <c r="F7" i="37"/>
  <c r="M17" i="67"/>
  <c r="F59" i="15"/>
  <c r="P28" i="43"/>
  <c r="B66" i="40" s="1"/>
  <c r="P25" i="43"/>
  <c r="P29" i="43"/>
  <c r="P27" i="43"/>
  <c r="B70" i="39" s="1"/>
  <c r="Q60" i="67"/>
  <c r="Q73" i="67"/>
  <c r="M11" i="67"/>
  <c r="F11" i="15"/>
  <c r="M11" i="15"/>
  <c r="J10" i="15" s="1"/>
  <c r="F11" i="67"/>
  <c r="F1" i="67"/>
  <c r="Q52" i="67"/>
  <c r="Q61" i="67"/>
  <c r="Q74" i="67"/>
  <c r="AE11" i="1"/>
  <c r="AE9" i="1"/>
  <c r="AE7" i="1"/>
  <c r="AE8" i="1"/>
  <c r="AE12" i="1"/>
  <c r="AE10" i="1"/>
  <c r="G1" i="73"/>
  <c r="AE6" i="1"/>
  <c r="C16" i="15"/>
  <c r="C16" i="67"/>
  <c r="Q61" i="15" l="1"/>
  <c r="C49" i="15"/>
  <c r="E219" i="3"/>
  <c r="E132" i="3"/>
  <c r="E172" i="3"/>
  <c r="E579" i="3"/>
  <c r="E531" i="3"/>
  <c r="E171" i="3"/>
  <c r="E545" i="3"/>
  <c r="E301" i="3"/>
  <c r="AR6" i="3"/>
  <c r="E331" i="3"/>
  <c r="E478" i="3"/>
  <c r="E450" i="3"/>
  <c r="E583" i="3"/>
  <c r="E407" i="3"/>
  <c r="E404" i="3"/>
  <c r="E488" i="3"/>
  <c r="E50" i="3"/>
  <c r="E140" i="3"/>
  <c r="E378" i="3"/>
  <c r="E248" i="3"/>
  <c r="E94" i="3"/>
  <c r="X6" i="3"/>
  <c r="E263" i="3"/>
  <c r="E215" i="3"/>
  <c r="E570" i="3"/>
  <c r="E526" i="3"/>
  <c r="E273" i="3"/>
  <c r="AO6" i="3"/>
  <c r="E368" i="3"/>
  <c r="E577" i="3"/>
  <c r="E560" i="3"/>
  <c r="E399" i="3"/>
  <c r="E183" i="3"/>
  <c r="E231" i="3"/>
  <c r="E555" i="3"/>
  <c r="E530" i="3"/>
  <c r="E476" i="3"/>
  <c r="E269" i="3"/>
  <c r="E279" i="3"/>
  <c r="E458" i="3"/>
  <c r="E511" i="3"/>
  <c r="E382" i="3"/>
  <c r="E574" i="3"/>
  <c r="S7" i="36"/>
  <c r="J10" i="40"/>
  <c r="AC10" i="40" s="1"/>
  <c r="E139" i="3"/>
  <c r="E369" i="3"/>
  <c r="E240" i="3"/>
  <c r="E483" i="3"/>
  <c r="E119" i="3"/>
  <c r="E246" i="3"/>
  <c r="E135" i="3"/>
  <c r="E563" i="3"/>
  <c r="E335" i="3"/>
  <c r="E311" i="3"/>
  <c r="E509" i="3"/>
  <c r="E217" i="3"/>
  <c r="E182" i="3"/>
  <c r="E557" i="3"/>
  <c r="Z6" i="3"/>
  <c r="E74" i="3"/>
  <c r="E146" i="3"/>
  <c r="E587" i="3"/>
  <c r="E133" i="3"/>
  <c r="E181" i="3"/>
  <c r="E124" i="3"/>
  <c r="E91" i="3"/>
  <c r="E528" i="3"/>
  <c r="E380" i="3"/>
  <c r="E270" i="3"/>
  <c r="E388" i="3"/>
  <c r="E175" i="3"/>
  <c r="E186" i="3"/>
  <c r="AS6" i="3"/>
  <c r="E515" i="3"/>
  <c r="E567" i="3"/>
  <c r="E150" i="3"/>
  <c r="E571" i="3"/>
  <c r="E519" i="3"/>
  <c r="E314" i="3"/>
  <c r="E336" i="3"/>
  <c r="E61" i="3"/>
  <c r="E358" i="3"/>
  <c r="E274" i="3"/>
  <c r="E546" i="3"/>
  <c r="E47" i="3"/>
  <c r="E137" i="3"/>
  <c r="E264" i="3"/>
  <c r="D36" i="71"/>
  <c r="T36" i="71"/>
  <c r="G16" i="80"/>
  <c r="F20" i="80"/>
  <c r="G20" i="80" s="1"/>
  <c r="F19" i="80"/>
  <c r="F21" i="80"/>
  <c r="G21" i="80" s="1"/>
  <c r="F22" i="80"/>
  <c r="G22" i="80" s="1"/>
  <c r="T52" i="71"/>
  <c r="D52" i="71"/>
  <c r="E242" i="3"/>
  <c r="E148" i="3"/>
  <c r="AI6" i="3"/>
  <c r="E161" i="3"/>
  <c r="E278" i="3"/>
  <c r="AB6" i="3"/>
  <c r="E201" i="3"/>
  <c r="AJ6" i="3"/>
  <c r="E572" i="3"/>
  <c r="E70" i="3"/>
  <c r="E345" i="3"/>
  <c r="E204" i="3"/>
  <c r="E362" i="3"/>
  <c r="E106" i="3"/>
  <c r="E406" i="3"/>
  <c r="E277" i="3"/>
  <c r="E568" i="3"/>
  <c r="E586" i="3"/>
  <c r="E180" i="3"/>
  <c r="E261" i="3"/>
  <c r="E538" i="3"/>
  <c r="E143" i="3"/>
  <c r="E508" i="3"/>
  <c r="E44" i="3"/>
  <c r="E162" i="3"/>
  <c r="E505" i="3"/>
  <c r="E107" i="3"/>
  <c r="E31" i="3"/>
  <c r="E111" i="3"/>
  <c r="E457" i="3"/>
  <c r="E193" i="3"/>
  <c r="E85" i="3"/>
  <c r="E518" i="3"/>
  <c r="E117" i="3"/>
  <c r="E569" i="3"/>
  <c r="E262" i="3"/>
  <c r="E257" i="3"/>
  <c r="E57" i="3"/>
  <c r="E40" i="3"/>
  <c r="E363" i="3"/>
  <c r="O65" i="71"/>
  <c r="O66" i="71"/>
  <c r="D66" i="71"/>
  <c r="E216" i="3"/>
  <c r="E561" i="3"/>
  <c r="E337" i="3"/>
  <c r="E343" i="3"/>
  <c r="E384" i="3"/>
  <c r="E27" i="3"/>
  <c r="E414" i="3"/>
  <c r="E271" i="3"/>
  <c r="E318" i="3"/>
  <c r="E433" i="3"/>
  <c r="E527" i="3"/>
  <c r="E45" i="3"/>
  <c r="E253" i="3"/>
  <c r="E578" i="3"/>
  <c r="E260" i="3"/>
  <c r="E480" i="3"/>
  <c r="E213" i="3"/>
  <c r="E306" i="3"/>
  <c r="E155" i="3"/>
  <c r="E342" i="3"/>
  <c r="E510" i="3"/>
  <c r="AC7" i="37"/>
  <c r="F27" i="68"/>
  <c r="F45" i="68" s="1"/>
  <c r="Q73" i="15"/>
  <c r="F45" i="69"/>
  <c r="C29" i="69"/>
  <c r="D27" i="69" s="1"/>
  <c r="AA10" i="39"/>
  <c r="H10" i="40"/>
  <c r="AB10" i="40" s="1"/>
  <c r="J10" i="39"/>
  <c r="W10" i="39" s="1"/>
  <c r="F10" i="40"/>
  <c r="S10" i="40" s="1"/>
  <c r="H10" i="39"/>
  <c r="U10" i="39" s="1"/>
  <c r="E3" i="6"/>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130" i="3"/>
  <c r="E282" i="3"/>
  <c r="E443" i="3"/>
  <c r="E55" i="3"/>
  <c r="E156" i="3"/>
  <c r="E169" i="3"/>
  <c r="E153" i="3"/>
  <c r="E432" i="3"/>
  <c r="E475" i="3"/>
  <c r="E122" i="3"/>
  <c r="Y6" i="3"/>
  <c r="E582" i="3"/>
  <c r="E421" i="3"/>
  <c r="E398" i="3"/>
  <c r="E147" i="3"/>
  <c r="E455" i="3"/>
  <c r="E490" i="3"/>
  <c r="E243" i="3"/>
  <c r="E251" i="3"/>
  <c r="E144" i="3"/>
  <c r="E56" i="3"/>
  <c r="E576" i="3"/>
  <c r="E344" i="3"/>
  <c r="AN6" i="3"/>
  <c r="E418" i="3"/>
  <c r="E29" i="3"/>
  <c r="E379" i="3"/>
  <c r="E288" i="3"/>
  <c r="E98" i="3"/>
  <c r="E259" i="3"/>
  <c r="E19" i="3"/>
  <c r="E51" i="3"/>
  <c r="E101" i="3"/>
  <c r="E52" i="3"/>
  <c r="E43" i="3"/>
  <c r="E493" i="3"/>
  <c r="E452" i="3"/>
  <c r="E129" i="3"/>
  <c r="E300" i="3"/>
  <c r="I3" i="6"/>
  <c r="E295" i="3"/>
  <c r="I6" i="3"/>
  <c r="Q6" i="3"/>
  <c r="E254" i="3"/>
  <c r="E390" i="3"/>
  <c r="E272" i="3"/>
  <c r="E397" i="3"/>
  <c r="E532" i="3"/>
  <c r="E167" i="3"/>
  <c r="E373" i="3"/>
  <c r="E209" i="3"/>
  <c r="E65" i="3"/>
  <c r="E218" i="3"/>
  <c r="E339" i="3"/>
  <c r="E333" i="3"/>
  <c r="E83" i="3"/>
  <c r="E469" i="3"/>
  <c r="E332" i="3"/>
  <c r="E425" i="3"/>
  <c r="E539" i="3"/>
  <c r="E536" i="3"/>
  <c r="E442" i="3"/>
  <c r="E554" i="3"/>
  <c r="E95" i="3"/>
  <c r="E389" i="3"/>
  <c r="E64" i="3"/>
  <c r="E310" i="3"/>
  <c r="E233" i="3"/>
  <c r="E309" i="3"/>
  <c r="AL6" i="3"/>
  <c r="E235" i="3"/>
  <c r="E102" i="3"/>
  <c r="E173" i="3"/>
  <c r="E408" i="3"/>
  <c r="E420" i="3"/>
  <c r="E428" i="3"/>
  <c r="E49" i="3"/>
  <c r="E16" i="3"/>
  <c r="E543" i="3"/>
  <c r="AH6" i="3"/>
  <c r="E108"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199" i="3"/>
  <c r="E541" i="3"/>
  <c r="E435" i="3"/>
  <c r="E192" i="3"/>
  <c r="E76" i="3"/>
  <c r="E103" i="3"/>
  <c r="E23" i="3"/>
  <c r="E381" i="3"/>
  <c r="E21" i="3"/>
  <c r="E75" i="3"/>
  <c r="E522" i="3"/>
  <c r="E287" i="3"/>
  <c r="E534" i="3"/>
  <c r="E360" i="3"/>
  <c r="E104" i="3"/>
  <c r="E78" i="3"/>
  <c r="E370" i="3"/>
  <c r="E223" i="3"/>
  <c r="E486" i="3"/>
  <c r="E498" i="3"/>
  <c r="E202"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575" i="3"/>
  <c r="E449" i="3"/>
  <c r="E417" i="3"/>
  <c r="E241" i="3"/>
  <c r="E409" i="3"/>
  <c r="E267" i="3"/>
  <c r="E67" i="3"/>
  <c r="E63" i="3"/>
  <c r="E198" i="3"/>
  <c r="E18" i="3"/>
  <c r="E34" i="3"/>
  <c r="E22" i="3"/>
  <c r="E405" i="3"/>
  <c r="E497" i="3"/>
  <c r="E115" i="3"/>
  <c r="E220" i="3"/>
  <c r="E158" i="3"/>
  <c r="E105" i="3"/>
  <c r="E422" i="3"/>
  <c r="E401" i="3"/>
  <c r="E27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J5" i="15"/>
  <c r="J24" i="15" s="1"/>
  <c r="M17" i="15"/>
  <c r="Q52" i="15"/>
  <c r="F1" i="15"/>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40" i="71"/>
  <c r="D40" i="71"/>
  <c r="R36" i="36"/>
  <c r="C26" i="71"/>
  <c r="D26" i="71" s="1"/>
  <c r="D27" i="71"/>
  <c r="D56" i="71"/>
  <c r="T56" i="71"/>
  <c r="B40" i="1"/>
  <c r="L36" i="43" s="1"/>
  <c r="L37" i="43"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S7" i="37"/>
  <c r="I40" i="36"/>
  <c r="J40" i="36" s="1"/>
  <c r="S7" i="33"/>
  <c r="AA7" i="33"/>
  <c r="R48" i="33" s="1"/>
  <c r="G53" i="34"/>
  <c r="H53" i="34" s="1"/>
  <c r="G54" i="34"/>
  <c r="H54" i="34" s="1"/>
  <c r="G40" i="36"/>
  <c r="H40" i="36" s="1"/>
  <c r="G41" i="36"/>
  <c r="H41" i="36" s="1"/>
  <c r="G48" i="35"/>
  <c r="U7" i="33"/>
  <c r="AB7" i="33"/>
  <c r="T48" i="33" s="1"/>
  <c r="G48" i="33" s="1"/>
  <c r="C10" i="67"/>
  <c r="C53" i="15"/>
  <c r="C48" i="15" s="1"/>
  <c r="C66" i="15" s="1"/>
  <c r="C10" i="15"/>
  <c r="C5" i="15" s="1"/>
  <c r="C38" i="15" s="1"/>
  <c r="M27" i="67"/>
  <c r="F41" i="15"/>
  <c r="F41" i="67"/>
  <c r="M27" i="15"/>
  <c r="G19" i="80" l="1"/>
  <c r="U6" i="1" s="1"/>
  <c r="F23" i="80"/>
  <c r="B1" i="74"/>
  <c r="C30" i="37"/>
  <c r="C30" i="83"/>
  <c r="B14" i="74"/>
  <c r="F69" i="67"/>
  <c r="C29" i="68"/>
  <c r="D27" i="68" s="1"/>
  <c r="C47" i="68"/>
  <c r="D45" i="68" s="1"/>
  <c r="F25" i="12"/>
  <c r="C26" i="12" s="1"/>
  <c r="D25" i="12" s="1"/>
  <c r="AC6" i="3"/>
  <c r="H6" i="3"/>
  <c r="E6" i="3" s="1"/>
  <c r="D116" i="43"/>
  <c r="F22" i="68"/>
  <c r="C44" i="68" s="1"/>
  <c r="D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G63" i="40"/>
  <c r="F65" i="40"/>
  <c r="C37" i="36"/>
  <c r="C36" i="36"/>
  <c r="G58" i="21"/>
  <c r="C60" i="15"/>
  <c r="D10" i="69"/>
  <c r="C34" i="69"/>
  <c r="D10" i="68"/>
  <c r="F6" i="67"/>
  <c r="C17" i="67"/>
  <c r="C14" i="67"/>
  <c r="C17" i="15"/>
  <c r="C6" i="67" l="1"/>
  <c r="H30" i="83"/>
  <c r="J30" i="83"/>
  <c r="F30" i="83"/>
  <c r="F30" i="37"/>
  <c r="H30" i="37"/>
  <c r="J30" i="37"/>
  <c r="C26" i="11"/>
  <c r="D22" i="11" s="1"/>
  <c r="C44" i="11"/>
  <c r="D41" i="11" s="1"/>
  <c r="E54" i="34"/>
  <c r="F54" i="34" s="1"/>
  <c r="C26" i="68"/>
  <c r="D22" i="68" s="1"/>
  <c r="F41" i="68"/>
  <c r="C23" i="68"/>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I48" i="35"/>
  <c r="C48" i="33"/>
  <c r="C49" i="33"/>
  <c r="H58" i="21"/>
  <c r="E53" i="33"/>
  <c r="F53" i="33" s="1"/>
  <c r="E52" i="33"/>
  <c r="F52" i="33" s="1"/>
  <c r="C33" i="15"/>
  <c r="C33" i="67"/>
  <c r="C34" i="68"/>
  <c r="E6" i="76"/>
  <c r="C14" i="15"/>
  <c r="B6" i="76"/>
  <c r="S30" i="83" l="1"/>
  <c r="AA30" i="83"/>
  <c r="R42" i="83" s="1"/>
  <c r="AC30" i="37"/>
  <c r="V42" i="37" s="1"/>
  <c r="I42" i="37" s="1"/>
  <c r="W30" i="37"/>
  <c r="AC30" i="83"/>
  <c r="V42" i="83" s="1"/>
  <c r="I42" i="83" s="1"/>
  <c r="W30" i="83"/>
  <c r="AB30" i="37"/>
  <c r="T42" i="37" s="1"/>
  <c r="G42" i="37" s="1"/>
  <c r="U30" i="37"/>
  <c r="U30" i="83"/>
  <c r="AB30" i="83"/>
  <c r="T42" i="83" s="1"/>
  <c r="G42" i="83" s="1"/>
  <c r="G46" i="83" s="1"/>
  <c r="H46" i="83" s="1"/>
  <c r="AA30" i="37"/>
  <c r="R42" i="37" s="1"/>
  <c r="S30" i="37"/>
  <c r="C32" i="67"/>
  <c r="C5" i="67"/>
  <c r="C38" i="67"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R43" i="37" l="1"/>
  <c r="E42" i="37"/>
  <c r="G46" i="37"/>
  <c r="H46" i="37" s="1"/>
  <c r="G47" i="37"/>
  <c r="H47" i="37" s="1"/>
  <c r="I46" i="37"/>
  <c r="J46" i="37" s="1"/>
  <c r="I47" i="37"/>
  <c r="J47" i="37" s="1"/>
  <c r="E42" i="83"/>
  <c r="R43" i="83"/>
  <c r="G47" i="83"/>
  <c r="H47" i="83" s="1"/>
  <c r="I46" i="83"/>
  <c r="J46" i="83"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43" i="37" l="1"/>
  <c r="C42" i="37"/>
  <c r="C42" i="83"/>
  <c r="C43" i="83"/>
  <c r="E46" i="83"/>
  <c r="F46" i="83" s="1"/>
  <c r="E47" i="83"/>
  <c r="F47" i="83" s="1"/>
  <c r="I47" i="83"/>
  <c r="J47" i="83" s="1"/>
  <c r="E46" i="37"/>
  <c r="F46" i="37" s="1"/>
  <c r="E47" i="37"/>
  <c r="F47" i="37" s="1"/>
  <c r="D14" i="71"/>
  <c r="C13" i="71"/>
  <c r="W7" i="21"/>
  <c r="AA7" i="21"/>
  <c r="R48" i="21" s="1"/>
  <c r="R49" i="21" s="1"/>
  <c r="J7" i="35"/>
  <c r="W7" i="35" s="1"/>
  <c r="Q49" i="67"/>
  <c r="J14" i="67"/>
  <c r="J13" i="67" s="1"/>
  <c r="J23" i="67" s="1"/>
  <c r="C36" i="67"/>
  <c r="C57" i="67"/>
  <c r="C64" i="67" s="1"/>
  <c r="C13" i="67"/>
  <c r="Q70" i="67" s="1"/>
  <c r="C33" i="11"/>
  <c r="C39" i="11" s="1"/>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67"/>
  <c r="M21" i="15"/>
  <c r="AB20" i="1" l="1"/>
  <c r="B3" i="83"/>
  <c r="B2" i="83"/>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J20" i="67"/>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Z6" i="1" l="1"/>
  <c r="F49" i="67"/>
  <c r="C49" i="67" s="1"/>
  <c r="I42" i="35"/>
  <c r="J42" i="35" s="1"/>
  <c r="C11" i="71"/>
  <c r="T12" i="71"/>
  <c r="D12" i="71"/>
  <c r="U12" i="71"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M6" i="67"/>
  <c r="J6" i="67" l="1"/>
  <c r="C53" i="67"/>
  <c r="C48" i="67" s="1"/>
  <c r="C61" i="67"/>
  <c r="C10" i="71"/>
  <c r="D11" i="71"/>
  <c r="C80" i="67"/>
  <c r="C79" i="67" s="1"/>
  <c r="C40" i="67"/>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66" i="67" l="1"/>
  <c r="C60" i="67"/>
  <c r="C59" i="67" s="1"/>
  <c r="J18" i="67"/>
  <c r="J10" i="67"/>
  <c r="J5" i="67" s="1"/>
  <c r="J24" i="67" s="1"/>
  <c r="J19" i="67"/>
  <c r="D10" i="71"/>
  <c r="C9" i="71"/>
  <c r="L57" i="67"/>
  <c r="L60" i="67" s="1"/>
  <c r="L46" i="67" s="1"/>
  <c r="Q67" i="67"/>
  <c r="B2" i="33"/>
  <c r="B3" i="33" s="1"/>
  <c r="C83" i="67"/>
  <c r="C82" i="67" s="1"/>
  <c r="C43" i="67"/>
  <c r="C80" i="15"/>
  <c r="C79" i="15" s="1"/>
  <c r="C40" i="15"/>
  <c r="C46" i="15" s="1"/>
  <c r="H7" i="39"/>
  <c r="J7" i="39"/>
  <c r="S7" i="39"/>
  <c r="AA7" i="39"/>
  <c r="R47" i="39" s="1"/>
  <c r="O63" i="40"/>
  <c r="O65" i="40" s="1"/>
  <c r="N65" i="40"/>
  <c r="D2" i="36"/>
  <c r="D2" i="34"/>
  <c r="D2" i="35"/>
  <c r="L51" i="15"/>
  <c r="C58" i="67" l="1"/>
  <c r="C67" i="67" s="1"/>
  <c r="C68" i="67" s="1"/>
  <c r="C71" i="67" s="1"/>
  <c r="J17" i="67"/>
  <c r="J16" i="67" s="1"/>
  <c r="J25" i="67" s="1"/>
  <c r="J26" i="67" s="1"/>
  <c r="J29" i="67" s="1"/>
  <c r="D2" i="67" s="1"/>
  <c r="C8" i="71"/>
  <c r="D9" i="71"/>
  <c r="Q57" i="67"/>
  <c r="Q66" i="67"/>
  <c r="L57" i="15"/>
  <c r="L60" i="15" s="1"/>
  <c r="Q57" i="15" s="1"/>
  <c r="Q67" i="15"/>
  <c r="B2" i="36"/>
  <c r="B3" i="36" s="1"/>
  <c r="B2" i="35"/>
  <c r="B3" i="35" s="1"/>
  <c r="M3" i="35"/>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AO8" i="1"/>
  <c r="AO7" i="1"/>
  <c r="AO9" i="1"/>
  <c r="AO12" i="1"/>
  <c r="C45" i="67" l="1"/>
  <c r="C46" i="67" s="1"/>
  <c r="B2" i="67"/>
  <c r="B3" i="67"/>
  <c r="Q65" i="67"/>
  <c r="Q75" i="67" s="1"/>
  <c r="Q47" i="67"/>
  <c r="Q53" i="67" s="1"/>
  <c r="Q56" i="67"/>
  <c r="Q62" i="67" s="1"/>
  <c r="C7" i="71"/>
  <c r="D8"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 i="37"/>
  <c r="D19" i="9"/>
  <c r="AO6" i="1"/>
  <c r="D20" i="9"/>
  <c r="B2" i="37" l="1"/>
  <c r="B6" i="70"/>
  <c r="B2" i="70" s="1"/>
  <c r="B3" i="70" s="1"/>
  <c r="D102" i="9"/>
  <c r="D21" i="9"/>
  <c r="D103" i="9"/>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C21" i="9" l="1"/>
  <c r="D22" i="9"/>
  <c r="G19" i="9"/>
  <c r="G21" i="9" s="1"/>
  <c r="C102" i="9"/>
  <c r="B3" i="37"/>
  <c r="D6" i="71"/>
  <c r="C5" i="71"/>
  <c r="D5" i="71" s="1"/>
  <c r="M24" i="43" s="1"/>
  <c r="C42" i="40"/>
  <c r="C43" i="40"/>
  <c r="E47" i="40"/>
  <c r="F47" i="40" s="1"/>
  <c r="E46" i="40"/>
  <c r="F46" i="40" s="1"/>
  <c r="I47" i="40"/>
  <c r="J47" i="40" s="1"/>
  <c r="C20" i="9"/>
  <c r="C103" i="9" l="1"/>
  <c r="G20" i="9"/>
  <c r="B58" i="40"/>
  <c r="F58" i="40" s="1"/>
  <c r="B54" i="40"/>
  <c r="F54" i="40" s="1"/>
  <c r="B53" i="40"/>
  <c r="F53" i="40" s="1"/>
  <c r="B59" i="40"/>
  <c r="F59" i="40" s="1"/>
  <c r="B52" i="40"/>
  <c r="F52" i="40" s="1"/>
  <c r="B56" i="40"/>
  <c r="F56" i="40" s="1"/>
  <c r="B60" i="40"/>
  <c r="F60" i="40" s="1"/>
  <c r="B57" i="40"/>
  <c r="F57" i="40" s="1"/>
  <c r="B51" i="40"/>
  <c r="F51" i="40" s="1"/>
  <c r="F61" i="40"/>
  <c r="B2" i="40" s="1"/>
  <c r="B3" i="40" s="1"/>
  <c r="G23" i="9" l="1"/>
  <c r="D14" i="74" s="1"/>
  <c r="G14" i="74" s="1"/>
  <c r="C32" i="9"/>
  <c r="C35" i="9" s="1"/>
  <c r="C34" i="9" s="1"/>
  <c r="E14" i="74"/>
  <c r="B5" i="74" l="1"/>
  <c r="D5" i="74" s="1"/>
  <c r="F14" i="74"/>
  <c r="B6" i="74"/>
  <c r="D6" i="74" s="1"/>
  <c r="H5" i="52"/>
  <c r="C104" i="9"/>
  <c r="H119" i="9"/>
  <c r="H4" i="52"/>
  <c r="D54" i="9"/>
  <c r="D52" i="9"/>
  <c r="D53" i="9"/>
  <c r="N58" i="9"/>
  <c r="P57" i="9"/>
  <c r="L64" i="9"/>
  <c r="M64" i="9"/>
  <c r="B31" i="72"/>
  <c r="B32" i="72"/>
  <c r="B49" i="72"/>
  <c r="D9" i="52"/>
  <c r="D5" i="52"/>
  <c r="C78" i="9"/>
  <c r="C73" i="9"/>
  <c r="E97" i="9"/>
  <c r="E81" i="9"/>
  <c r="M48" i="9"/>
  <c r="C68" i="9"/>
  <c r="E4" i="52"/>
  <c r="B48" i="72"/>
  <c r="D8" i="52"/>
  <c r="D123" i="9"/>
  <c r="D56" i="9"/>
  <c r="M54" i="9"/>
  <c r="C105" i="9"/>
  <c r="I4" i="52"/>
  <c r="G4" i="52"/>
  <c r="B52" i="72"/>
  <c r="D122" i="9"/>
  <c r="B20" i="72"/>
  <c r="N61" i="9"/>
  <c r="N59" i="9"/>
  <c r="N60" i="9"/>
  <c r="B30" i="72"/>
  <c r="D13" i="53"/>
  <c r="D14" i="53"/>
  <c r="N57" i="9"/>
  <c r="L65" i="9"/>
  <c r="M65" i="9"/>
  <c r="L68" i="9"/>
  <c r="M68" i="9"/>
  <c r="D55" i="9"/>
  <c r="M53" i="9"/>
  <c r="F4" i="52"/>
  <c r="B51" i="72"/>
  <c r="C6" i="74"/>
  <c r="H108" i="9"/>
  <c r="D15" i="53"/>
  <c r="C5" i="74"/>
  <c r="D119" i="9"/>
  <c r="L67" i="9"/>
  <c r="M67" i="9"/>
  <c r="C81" i="9"/>
  <c r="C67" i="9"/>
  <c r="D59" i="9"/>
  <c r="M55" i="9"/>
  <c r="L63" i="9"/>
  <c r="M63" i="9"/>
  <c r="M69" i="9"/>
  <c r="N69" i="9"/>
  <c r="C93" i="9"/>
  <c r="C86" i="9"/>
  <c r="E118" i="9"/>
  <c r="D118" i="9"/>
  <c r="D4" i="52"/>
  <c r="B47" i="72"/>
  <c r="G118" i="9"/>
  <c r="F118" i="9"/>
  <c r="F119" i="9"/>
  <c r="F5" i="52"/>
  <c r="B53" i="72"/>
  <c r="C97" i="9"/>
  <c r="D58" i="9"/>
  <c r="C64" i="9"/>
  <c r="C63" i="9"/>
  <c r="H102" i="9"/>
  <c r="D7" i="53"/>
  <c r="B21" i="72"/>
  <c r="D5" i="53"/>
  <c r="D6" i="53"/>
  <c r="B22" i="72"/>
  <c r="C96" i="9"/>
  <c r="E96" i="9"/>
  <c r="C72" i="9"/>
  <c r="C79" i="9"/>
  <c r="C80" i="9"/>
  <c r="E80" i="9"/>
  <c r="H107" i="9"/>
  <c r="M49" i="9"/>
  <c r="L66" i="9"/>
  <c r="M66" i="9"/>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<sst xmlns="http://schemas.openxmlformats.org/spreadsheetml/2006/main" count="8369" uniqueCount="3546">
  <si>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</si>
  <si>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</si>
  <si>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</si>
  <si>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</si>
  <si>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</si>
  <si>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</si>
  <si>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</si>
  <si>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</si>
  <si>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</si>
  <si>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</si>
  <si>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</si>
  <si>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</si>
  <si>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</si>
  <si>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</si>
  <si>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</si>
  <si>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</si>
  <si>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</si>
  <si>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</si>
  <si>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</si>
  <si>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</si>
  <si>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</si>
  <si>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</si>
  <si>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</si>
  <si>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</si>
  <si>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</si>
  <si>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</si>
  <si>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</si>
  <si>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</si>
  <si>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</si>
  <si>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</si>
  <si>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</si>
  <si>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</si>
  <si>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</si>
  <si>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</si>
  <si>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</si>
  <si>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</si>
  <si>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</si>
  <si>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</si>
  <si>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</si>
  <si>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</si>
  <si>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</si>
  <si>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</si>
  <si>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</si>
  <si>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</si>
  <si>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</si>
  <si>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</si>
  <si>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</si>
  <si>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</si>
  <si>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</si>
  <si>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</si>
  <si>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</si>
  <si>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</si>
  <si>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</si>
  <si>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</si>
  <si>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</si>
  <si>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</si>
  <si>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</si>
  <si>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</si>
  <si>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</si>
  <si>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</si>
  <si>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</si>
  <si>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</si>
  <si>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</si>
  <si>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</si>
  <si>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</si>
  <si>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</si>
  <si>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</si>
  <si>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</si>
  <si>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</si>
  <si>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</si>
  <si>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</si>
  <si>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</si>
  <si>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</si>
  <si>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</si>
  <si>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</si>
  <si>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</si>
  <si>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</si>
  <si>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</si>
  <si>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</si>
  <si>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</si>
  <si>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</si>
  <si>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</si>
  <si>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</si>
  <si>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</si>
  <si>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</si>
  <si>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</si>
  <si>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</si>
  <si>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</si>
  <si>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</si>
  <si>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</si>
  <si>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</si>
  <si>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</si>
  <si>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</si>
  <si>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</si>
  <si>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</si>
  <si>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</si>
  <si>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</si>
  <si>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</si>
  <si>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</si>
  <si>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</si>
  <si>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</si>
  <si>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</si>
  <si>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</si>
  <si>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</si>
  <si>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</si>
  <si>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</si>
  <si>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</si>
  <si>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</si>
  <si>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</si>
  <si>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</si>
  <si>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</si>
  <si>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</si>
  <si>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</si>
  <si>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</si>
  <si>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</si>
  <si>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</si>
  <si>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</si>
  <si>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</si>
  <si>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</si>
  <si>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</si>
  <si>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</si>
  <si>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</si>
  <si>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</si>
  <si>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</si>
  <si>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</si>
  <si>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</si>
  <si>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</si>
  <si>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</si>
  <si>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</si>
  <si>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</si>
  <si>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</si>
  <si>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</si>
  <si>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</si>
  <si>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</si>
  <si>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</si>
  <si>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</si>
  <si>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</si>
  <si>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</si>
  <si>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</si>
  <si>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</si>
  <si>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</si>
  <si>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</si>
  <si>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</si>
  <si>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</si>
  <si>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</si>
  <si>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</si>
  <si>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</si>
  <si>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</si>
  <si>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</si>
  <si>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</si>
  <si>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</si>
  <si>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</si>
  <si>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</si>
  <si>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</si>
  <si>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</si>
  <si>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</si>
  <si>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</si>
  <si>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</si>
  <si>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</si>
  <si>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</si>
  <si>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</si>
  <si>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</si>
  <si>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</si>
  <si>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</si>
  <si>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</si>
  <si>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</si>
  <si>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</si>
  <si>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</si>
  <si>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</si>
  <si>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</si>
  <si>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</si>
  <si>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</si>
  <si>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</si>
  <si>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</si>
  <si>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</si>
  <si>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</si>
  <si>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</si>
  <si>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</si>
  <si>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</si>
  <si>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</si>
  <si>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</si>
  <si>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</si>
  <si>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</si>
  <si>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</si>
  <si>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</si>
  <si>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</si>
  <si>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</si>
  <si>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</si>
  <si>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</si>
  <si>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</si>
  <si>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</si>
  <si>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</si>
  <si>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</si>
  <si>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</si>
  <si>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</si>
  <si>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</si>
  <si>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</si>
  <si>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</si>
  <si>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</si>
  <si>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</si>
  <si>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</si>
  <si>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</si>
  <si>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</si>
  <si>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</si>
  <si>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</si>
  <si>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</si>
  <si>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</si>
  <si>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</si>
  <si>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</si>
  <si>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</si>
  <si>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</si>
  <si>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</si>
  <si>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</si>
  <si>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</si>
  <si>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</si>
  <si>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</si>
  <si>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</si>
  <si>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</si>
  <si>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</si>
  <si>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</si>
  <si>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</si>
  <si>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</si>
  <si>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</si>
  <si>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</si>
  <si>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</si>
  <si>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</si>
  <si>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</si>
  <si>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</si>
  <si>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</si>
  <si>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</si>
  <si>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</si>
  <si>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</si>
  <si>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</si>
  <si>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</si>
  <si>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</si>
  <si>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</si>
  <si>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</si>
  <si>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</si>
  <si>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</si>
  <si>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</si>
  <si>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</si>
  <si>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</si>
  <si>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</si>
  <si>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</si>
  <si>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</si>
  <si>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</si>
  <si>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</si>
  <si>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</si>
  <si>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</si>
  <si>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</si>
  <si>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</si>
  <si>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</si>
  <si>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</si>
  <si>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</si>
  <si>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</si>
  <si>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</si>
  <si>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</si>
  <si>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</si>
  <si>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</si>
  <si>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</si>
  <si>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</si>
  <si>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</si>
  <si>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</si>
  <si>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</si>
  <si>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</si>
  <si>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</si>
  <si>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</si>
  <si>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</si>
  <si>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</si>
  <si>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</si>
  <si>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</si>
  <si>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</si>
  <si>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</si>
  <si>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</si>
  <si>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</si>
  <si>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</si>
  <si>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</si>
  <si>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</si>
  <si>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</si>
  <si>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</si>
  <si>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</si>
  <si>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</si>
  <si>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</si>
  <si>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</si>
  <si>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</si>
  <si>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</si>
  <si>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</si>
  <si>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</si>
  <si>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</si>
  <si>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</si>
  <si>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</si>
  <si>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</si>
  <si>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</si>
  <si>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</si>
  <si>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</si>
  <si>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</si>
  <si>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</si>
  <si>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</si>
  <si>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</si>
  <si>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</si>
  <si>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</si>
  <si>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</si>
  <si>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</si>
  <si>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</si>
  <si>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</si>
  <si>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</si>
  <si>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</si>
  <si>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</si>
  <si>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</si>
  <si>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</si>
  <si>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</si>
  <si>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</si>
  <si>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</si>
  <si>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</si>
  <si>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</si>
  <si>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</si>
  <si>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</si>
  <si>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</si>
  <si>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</si>
  <si>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</si>
  <si>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</si>
  <si>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</si>
  <si>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</si>
  <si>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</si>
  <si>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</si>
  <si>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</si>
  <si>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</si>
  <si>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</si>
  <si>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</si>
  <si>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</si>
  <si>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</si>
  <si>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</si>
  <si>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</si>
  <si>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</si>
  <si>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</si>
  <si>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</si>
  <si>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</si>
  <si>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</si>
  <si>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</si>
  <si>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</si>
  <si>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</si>
  <si>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</si>
  <si>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</si>
  <si>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</si>
  <si>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</si>
  <si>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</si>
  <si>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</si>
  <si>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</si>
  <si>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</si>
  <si>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</si>
  <si>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</si>
  <si>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</si>
  <si>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</si>
  <si>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</si>
  <si>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</si>
  <si>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</si>
  <si>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</si>
  <si>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</si>
  <si>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</si>
  <si>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</si>
  <si>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</si>
  <si>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</si>
  <si>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</si>
  <si>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</si>
  <si>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</si>
  <si>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</si>
  <si>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</si>
  <si>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</si>
  <si>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</si>
  <si>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</si>
  <si>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</si>
  <si>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</si>
  <si>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</si>
  <si>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</si>
  <si>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</si>
  <si>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</si>
  <si>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</si>
  <si>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</si>
  <si>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</si>
  <si>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</si>
  <si>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</si>
  <si>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</si>
  <si>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</si>
  <si>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</si>
  <si>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</si>
  <si>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</si>
  <si>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</si>
  <si>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</si>
  <si>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</si>
  <si>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</si>
  <si>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</si>
  <si>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</si>
  <si>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</si>
  <si>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</si>
  <si>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</si>
  <si>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</si>
  <si>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</si>
  <si>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</si>
  <si>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</si>
  <si>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</si>
  <si>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</si>
  <si>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</si>
  <si>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</si>
  <si>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</si>
  <si>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</si>
  <si>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</si>
  <si>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</si>
  <si>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</si>
  <si>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</si>
  <si>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</si>
  <si>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</si>
  <si>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</si>
  <si>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</si>
  <si>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</si>
  <si>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</si>
  <si>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</si>
  <si>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</si>
  <si>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</si>
  <si>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</si>
  <si>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</si>
  <si>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</si>
  <si>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</si>
  <si>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</si>
  <si>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</si>
  <si>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</si>
  <si>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</si>
  <si>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</si>
  <si>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</si>
  <si>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</si>
  <si>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</si>
  <si>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</si>
  <si>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</si>
  <si>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</si>
  <si>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</si>
  <si>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</si>
  <si>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</si>
  <si>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</si>
  <si>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</si>
  <si>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</si>
  <si>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</si>
  <si>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</si>
  <si>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</si>
  <si>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</si>
  <si>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</si>
  <si>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</si>
  <si>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</si>
  <si>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</si>
  <si>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</si>
  <si>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</si>
  <si>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</si>
  <si>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</si>
  <si>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</si>
  <si>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</si>
  <si>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</si>
  <si>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</si>
  <si>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</si>
  <si>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</si>
  <si>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</si>
  <si>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</si>
  <si>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</si>
  <si>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</si>
  <si>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</si>
  <si>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</si>
  <si>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</si>
  <si>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</si>
  <si>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</si>
  <si>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</si>
  <si>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</si>
  <si>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</si>
  <si>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</si>
  <si>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</si>
  <si>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</si>
  <si>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</si>
  <si>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</si>
  <si>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</si>
  <si>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</si>
  <si>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</si>
  <si>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</si>
  <si>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</si>
  <si>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</si>
  <si>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</si>
  <si>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</si>
  <si>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</si>
  <si>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</si>
  <si>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</si>
  <si>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</si>
  <si>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</si>
  <si>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</si>
  <si>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</si>
  <si>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</si>
  <si>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</si>
  <si>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</si>
  <si>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</si>
  <si>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</si>
  <si>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</si>
  <si>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</si>
  <si>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</si>
  <si>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</si>
  <si>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</si>
  <si>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</si>
  <si>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</si>
  <si>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</si>
  <si>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</si>
  <si>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</si>
  <si>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</si>
  <si>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</si>
  <si>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</si>
  <si>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</si>
  <si>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</si>
  <si>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</si>
  <si>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</si>
  <si>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</si>
  <si>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</si>
  <si>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</si>
  <si>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</si>
  <si>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</si>
  <si>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</si>
  <si>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</si>
  <si>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</si>
  <si>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</si>
  <si>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</si>
  <si>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</si>
  <si>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</si>
  <si>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</si>
  <si>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</si>
  <si>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</si>
  <si>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</si>
  <si>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</si>
  <si>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</si>
  <si>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</si>
  <si>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</si>
  <si>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</si>
  <si>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</si>
  <si>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</si>
  <si>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</si>
  <si>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</si>
  <si>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</si>
  <si>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</si>
  <si>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</si>
  <si>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</si>
  <si>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</si>
  <si>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</si>
  <si>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</si>
  <si>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</si>
  <si>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</si>
  <si>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</si>
  <si>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</si>
  <si>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</si>
  <si>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</si>
  <si>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</si>
  <si>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</si>
  <si>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</si>
  <si>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</si>
  <si>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</si>
  <si>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</si>
  <si>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</si>
  <si>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</si>
  <si>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</si>
  <si>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</si>
  <si>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</si>
  <si>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</si>
  <si>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</si>
  <si>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</si>
  <si>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</si>
  <si>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</si>
  <si>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</si>
  <si>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</si>
  <si>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</si>
  <si>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</si>
  <si>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</si>
  <si>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</si>
  <si>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</si>
  <si>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</si>
  <si>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</si>
  <si>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</si>
  <si>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</si>
  <si>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</si>
  <si>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</si>
  <si>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</si>
  <si>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</si>
  <si>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</si>
  <si>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</si>
  <si>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</si>
  <si>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</si>
  <si>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</si>
  <si>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</si>
  <si>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</si>
  <si>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</si>
  <si>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</si>
  <si>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</si>
  <si>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</si>
  <si>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</si>
  <si>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</si>
  <si>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</si>
  <si>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</si>
  <si>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</si>
  <si>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</si>
  <si>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</si>
  <si>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</si>
  <si>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</si>
  <si>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</si>
  <si>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</si>
  <si>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</si>
  <si>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</si>
  <si>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</si>
  <si>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</si>
  <si>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</si>
  <si>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</si>
  <si>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</si>
  <si>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</si>
  <si>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</si>
  <si>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</si>
  <si>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</si>
  <si>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</si>
  <si>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</si>
  <si>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</si>
  <si>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</si>
  <si>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</si>
  <si>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</si>
  <si>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</si>
  <si>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</si>
  <si>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</si>
  <si>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</si>
  <si>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</si>
  <si>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</si>
  <si>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</si>
  <si>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</si>
  <si>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</si>
  <si>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</si>
  <si>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</si>
  <si>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</si>
  <si>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</si>
  <si>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</si>
  <si>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</si>
  <si>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</si>
  <si>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</si>
  <si>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</si>
  <si>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</si>
  <si>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</si>
  <si>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</si>
  <si>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</si>
  <si>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</si>
  <si>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</si>
  <si>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</si>
  <si>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</si>
  <si>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</si>
  <si>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</si>
  <si>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</si>
  <si>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</si>
  <si>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</si>
  <si>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</si>
  <si>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</si>
  <si>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</si>
  <si>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</si>
  <si>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</si>
  <si>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</si>
  <si>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</si>
  <si>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</si>
  <si>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</si>
  <si>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</si>
  <si>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</si>
  <si>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</si>
  <si>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</si>
  <si>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</si>
  <si>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</si>
  <si>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</si>
  <si>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</si>
  <si>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</si>
  <si>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</si>
  <si>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</si>
  <si>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</si>
  <si>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</si>
  <si>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</si>
  <si>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</si>
  <si>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</si>
  <si>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</si>
  <si>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</si>
  <si>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</si>
  <si>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</si>
  <si>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</si>
  <si>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</si>
  <si>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</si>
  <si>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</si>
  <si>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</si>
  <si>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</si>
  <si>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</si>
  <si>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</si>
  <si>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</si>
  <si>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</si>
  <si>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</si>
  <si>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</si>
  <si>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</si>
  <si>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</si>
  <si>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</si>
  <si>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</si>
  <si>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</si>
  <si>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</si>
  <si>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</si>
  <si>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</si>
  <si>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</si>
  <si>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</si>
  <si>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</si>
  <si>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</si>
  <si>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</si>
  <si>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</si>
  <si>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</si>
  <si>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</si>
  <si>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</si>
  <si>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</si>
  <si>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</si>
  <si>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</si>
  <si>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</si>
  <si>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</si>
  <si>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</si>
  <si>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</si>
  <si>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</si>
  <si>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</si>
  <si>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</si>
  <si>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</si>
  <si>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</si>
  <si>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</si>
  <si>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</si>
  <si>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</si>
  <si>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</si>
  <si>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</si>
  <si>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</si>
  <si>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</si>
  <si>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</si>
  <si>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</si>
  <si>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</si>
  <si>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</si>
  <si>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</si>
  <si>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</si>
  <si>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</si>
  <si>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</si>
  <si>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</si>
  <si>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</si>
  <si>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</si>
  <si>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</si>
  <si>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</si>
  <si>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</si>
  <si>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</si>
  <si>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</si>
  <si>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</si>
  <si>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</si>
  <si>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</si>
  <si>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</si>
  <si>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</si>
  <si>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</si>
  <si>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</si>
  <si>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</si>
  <si>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</si>
  <si>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</si>
  <si>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</si>
  <si>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</si>
  <si>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</si>
  <si>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</si>
  <si>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</si>
  <si>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</si>
  <si>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</si>
  <si>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</si>
  <si>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</si>
  <si>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</si>
  <si>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</si>
  <si>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</si>
  <si>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</si>
  <si>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</si>
  <si>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</si>
  <si>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</si>
  <si>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</si>
  <si>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</si>
  <si>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</si>
  <si>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</si>
  <si>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</si>
  <si>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</si>
  <si>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</si>
  <si>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</si>
  <si>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</si>
  <si>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</si>
  <si>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</si>
  <si>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</si>
  <si>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</si>
  <si>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</si>
  <si>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</si>
  <si>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</si>
  <si>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</si>
  <si>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</si>
  <si>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</si>
  <si>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</si>
  <si>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</si>
  <si>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</si>
  <si>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</si>
  <si>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</si>
  <si>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</si>
  <si>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</si>
  <si>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</si>
  <si>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</si>
  <si>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</si>
  <si>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</si>
  <si>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</si>
  <si>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</si>
  <si>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</si>
  <si>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</si>
  <si>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</si>
  <si>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</si>
  <si>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</si>
  <si>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</si>
  <si>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</si>
  <si>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</si>
  <si>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</si>
  <si>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</si>
  <si>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</si>
  <si>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</si>
  <si>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</si>
  <si>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</si>
  <si>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</si>
  <si>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</si>
  <si>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</si>
  <si>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</si>
  <si>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</si>
  <si>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</si>
  <si>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</si>
  <si>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</si>
  <si>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</si>
  <si>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</si>
  <si>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</si>
  <si>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</si>
  <si>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</si>
  <si>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</si>
  <si>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</si>
  <si>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</si>
  <si>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</si>
  <si>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</si>
  <si>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</si>
  <si>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</si>
  <si>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</si>
  <si>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</si>
  <si>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</si>
  <si>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</si>
  <si>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</si>
  <si>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</si>
  <si>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</si>
  <si>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</si>
  <si>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</si>
  <si>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</si>
  <si>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</si>
  <si>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</si>
  <si>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</si>
  <si>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</si>
  <si>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</si>
  <si>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</si>
  <si>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</si>
  <si>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</si>
  <si>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</si>
  <si>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</si>
  <si>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</si>
  <si>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</si>
  <si>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</si>
  <si>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</si>
  <si>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</si>
  <si>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</si>
  <si>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</si>
  <si>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</si>
  <si>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</si>
  <si>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</si>
  <si>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</si>
  <si>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</si>
  <si>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</si>
  <si>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</si>
  <si>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</si>
  <si>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</si>
  <si>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</si>
  <si>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</si>
  <si>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</si>
  <si>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</si>
  <si>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</si>
  <si>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</si>
  <si>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</si>
  <si>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</si>
  <si>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</si>
  <si>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</si>
  <si>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</si>
  <si>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</si>
  <si>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</si>
  <si>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</si>
  <si>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</si>
  <si>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</si>
  <si>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</si>
  <si>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</si>
  <si>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</si>
  <si>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</si>
  <si>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</si>
  <si>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</si>
  <si>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</si>
  <si>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</si>
  <si>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</si>
  <si>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</si>
  <si>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</si>
  <si>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</si>
  <si>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</si>
  <si>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</si>
  <si>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</si>
  <si>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</si>
  <si>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</si>
  <si>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</si>
  <si>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</si>
  <si>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</si>
  <si>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</si>
  <si>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</si>
  <si>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</si>
  <si>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</si>
  <si>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</si>
  <si>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</si>
  <si>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</si>
  <si>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</si>
  <si>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</si>
  <si>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</si>
  <si>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</si>
  <si>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</si>
  <si>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</si>
  <si>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</si>
  <si>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</si>
  <si>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</si>
  <si>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</si>
  <si>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</si>
  <si>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</si>
  <si>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</si>
  <si>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</si>
  <si>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</si>
  <si>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</si>
  <si>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</si>
  <si>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</si>
  <si>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</si>
  <si>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</si>
  <si>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</si>
  <si>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</si>
  <si>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</si>
  <si>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</si>
  <si>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</si>
  <si>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</si>
  <si>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</si>
  <si>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</si>
  <si>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</si>
  <si>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</si>
  <si>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</si>
  <si>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</si>
  <si>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</si>
  <si>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</si>
  <si>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</si>
  <si>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</si>
  <si>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</si>
  <si>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</si>
  <si>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</si>
  <si>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</si>
  <si>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</si>
  <si>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</si>
  <si>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</si>
  <si>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</si>
  <si>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</si>
  <si>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</si>
  <si>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</si>
  <si>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</si>
  <si>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</si>
  <si>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</si>
  <si>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</si>
  <si>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</si>
  <si>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</si>
  <si>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</si>
  <si>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</si>
  <si>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</si>
  <si>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</si>
  <si>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</si>
  <si>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</si>
  <si>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</si>
  <si>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</si>
  <si>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</si>
  <si>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</si>
  <si>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</si>
  <si>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</si>
  <si>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</si>
  <si>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</si>
  <si>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</si>
  <si>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</si>
  <si>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</si>
  <si>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</si>
  <si>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</si>
  <si>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</si>
  <si>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</si>
  <si>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</si>
  <si>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</si>
  <si>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</si>
  <si>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</si>
  <si>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</si>
  <si>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</si>
  <si>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</si>
  <si>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</si>
  <si>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</si>
  <si>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</si>
  <si>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</si>
  <si>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</si>
  <si>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</si>
  <si>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</si>
  <si>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</si>
  <si>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</si>
  <si>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</si>
  <si>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</si>
  <si>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</si>
  <si>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</si>
  <si>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</si>
  <si>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</si>
  <si>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</si>
  <si>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</si>
  <si>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</si>
  <si>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</si>
  <si>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</si>
  <si>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</si>
  <si>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</si>
  <si>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</si>
  <si>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</si>
  <si>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</si>
  <si>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</si>
  <si>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</si>
  <si>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</si>
  <si>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</si>
  <si>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</si>
  <si>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</si>
  <si>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</si>
  <si>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</si>
  <si>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</si>
  <si>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</si>
  <si>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</si>
  <si>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</si>
  <si>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</si>
  <si>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</si>
  <si>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</si>
  <si>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</si>
  <si>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</si>
  <si>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</si>
  <si>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</si>
  <si>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</si>
  <si>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</si>
  <si>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</si>
  <si>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</si>
  <si>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</si>
  <si>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</si>
  <si>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</si>
  <si>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</si>
  <si>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</si>
  <si>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</si>
  <si>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</si>
  <si>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</si>
  <si>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</si>
  <si>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</si>
  <si>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</si>
  <si>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</si>
  <si>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</si>
  <si>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</si>
  <si>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</si>
  <si>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</si>
  <si>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</si>
  <si>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</si>
  <si>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</si>
  <si>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</si>
  <si>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</si>
  <si>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</si>
  <si>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</si>
  <si>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</si>
  <si>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</si>
  <si>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</si>
  <si>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</si>
  <si>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</si>
  <si>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</si>
  <si>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</si>
  <si>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</si>
  <si>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</si>
  <si>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</si>
  <si>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</si>
  <si>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</si>
  <si>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</si>
  <si>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</si>
  <si>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</si>
  <si>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</si>
  <si>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</si>
  <si>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</si>
  <si>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</si>
  <si>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</si>
  <si>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</si>
  <si>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</si>
  <si>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</si>
  <si>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</si>
  <si>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</si>
  <si>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</si>
  <si>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</si>
  <si>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</si>
  <si>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</si>
  <si>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</si>
  <si>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</si>
  <si>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</si>
  <si>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</si>
  <si>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</si>
  <si>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</si>
  <si>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</si>
  <si>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</si>
  <si>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</si>
  <si>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</si>
  <si>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</si>
  <si>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</si>
  <si>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</si>
  <si>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</si>
  <si>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</si>
  <si>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</si>
  <si>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</si>
  <si>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</si>
  <si>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</si>
  <si>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</si>
  <si>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</si>
  <si>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</si>
  <si>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</si>
  <si>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</si>
  <si>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</si>
  <si>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</si>
  <si>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</si>
  <si>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</si>
  <si>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</si>
  <si>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</si>
  <si>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</si>
  <si>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</si>
  <si>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</si>
  <si>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</si>
  <si>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</si>
  <si>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</si>
  <si>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</si>
  <si>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</si>
  <si>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</si>
  <si>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</si>
  <si>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</si>
  <si>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</si>
  <si>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</si>
  <si>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</si>
  <si>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</si>
  <si>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</si>
  <si>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</si>
  <si>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</si>
  <si>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</si>
  <si>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</si>
  <si>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</si>
  <si>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</si>
  <si>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</si>
  <si>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</si>
  <si>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</si>
  <si>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</si>
  <si>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</si>
  <si>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</si>
  <si>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</si>
  <si>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</si>
  <si>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</si>
  <si>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</si>
  <si>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</si>
  <si>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</si>
  <si>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</si>
  <si>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</si>
  <si>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</si>
  <si>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</si>
  <si>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</si>
  <si>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</si>
  <si>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</si>
  <si>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</si>
  <si>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</si>
  <si>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</si>
  <si>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</si>
  <si>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</si>
  <si>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</si>
  <si>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</si>
  <si>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</si>
  <si>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</si>
  <si>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</si>
  <si>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</si>
  <si>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</si>
  <si>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</si>
  <si>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</si>
  <si>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</si>
  <si>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</si>
  <si>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</si>
  <si>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</si>
  <si>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</si>
  <si>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</si>
  <si>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</si>
  <si>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</si>
  <si>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</si>
  <si>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</si>
  <si>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</si>
  <si>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</si>
  <si>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</si>
  <si>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</si>
  <si>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</si>
  <si>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</si>
  <si>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</si>
  <si>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</si>
  <si>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</si>
  <si>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</si>
  <si>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</si>
  <si>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</si>
  <si>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</si>
  <si>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</si>
  <si>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</si>
  <si>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</si>
  <si>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</si>
  <si>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</si>
  <si>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</si>
  <si>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</si>
  <si>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</si>
  <si>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</si>
  <si>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</si>
  <si>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</si>
  <si>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</si>
  <si>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</si>
  <si>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</si>
  <si>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</si>
  <si>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</si>
  <si>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</si>
  <si>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</si>
  <si>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</si>
  <si>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</si>
  <si>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</si>
  <si>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</si>
  <si>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</si>
  <si>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</si>
  <si>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</si>
  <si>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</si>
  <si>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</si>
  <si>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</si>
  <si>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</si>
  <si>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</si>
  <si>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</si>
  <si>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</si>
  <si>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</si>
  <si>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</si>
  <si>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</si>
  <si>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</si>
  <si>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</si>
  <si>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</si>
  <si>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</si>
  <si>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</si>
  <si>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</si>
  <si>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</si>
  <si>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</si>
  <si>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</si>
  <si>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</si>
  <si>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</si>
  <si>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</si>
  <si>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</si>
  <si>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</si>
  <si>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</si>
  <si>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</si>
  <si>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</si>
  <si>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</si>
  <si>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</si>
  <si>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</si>
  <si>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</si>
  <si>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</si>
  <si>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</si>
  <si>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</si>
  <si>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</si>
  <si>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</si>
  <si>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</si>
  <si>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</si>
  <si>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</si>
  <si>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</si>
  <si>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</si>
  <si>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</si>
  <si>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</si>
  <si>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</si>
  <si>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</si>
  <si>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</si>
  <si>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</si>
  <si>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</si>
  <si>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</si>
  <si>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</si>
  <si>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</si>
  <si>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</si>
  <si>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</si>
  <si>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</si>
  <si>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</si>
  <si>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</si>
  <si>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</si>
  <si>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</si>
  <si>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</si>
  <si>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</si>
  <si>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</si>
  <si>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</si>
  <si>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</si>
  <si>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</si>
  <si>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</si>
  <si>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</si>
  <si>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</si>
  <si>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</si>
  <si>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</si>
  <si>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</si>
  <si>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</si>
  <si>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</si>
  <si>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</si>
  <si>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</si>
  <si>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</si>
  <si>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</si>
  <si>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</si>
  <si>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</si>
  <si>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</si>
  <si>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</si>
  <si>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</si>
  <si>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</si>
  <si>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</si>
  <si>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</si>
  <si>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</si>
  <si>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</si>
  <si>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</si>
  <si>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</si>
  <si>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</si>
  <si>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</si>
  <si>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</si>
  <si>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</si>
  <si>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</si>
  <si>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</si>
  <si>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</si>
  <si>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</si>
  <si>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</si>
  <si>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</si>
  <si>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</si>
  <si>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</si>
  <si>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</si>
  <si>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</si>
  <si>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</si>
  <si>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</si>
  <si>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</si>
  <si>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</si>
  <si>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</si>
  <si>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</si>
  <si>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</si>
  <si>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</si>
  <si>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</si>
  <si>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</si>
  <si>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</si>
  <si>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</si>
  <si>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</si>
  <si>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</si>
  <si>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</si>
  <si>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</si>
  <si>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</si>
  <si>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</si>
  <si>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</si>
  <si>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</si>
  <si>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</si>
  <si>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</si>
  <si>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</si>
  <si>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</si>
  <si>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</si>
  <si>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</si>
  <si>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</si>
  <si>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</si>
  <si>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</si>
  <si>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</si>
  <si>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</si>
  <si>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</si>
  <si>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</si>
  <si>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</si>
  <si>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</si>
  <si>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</si>
  <si>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</si>
  <si>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</si>
  <si>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</si>
  <si>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</si>
  <si>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</si>
  <si>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</si>
  <si>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</si>
  <si>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</si>
  <si>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</si>
  <si>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</si>
  <si>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</si>
  <si>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</si>
  <si>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</si>
  <si>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</si>
  <si>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</si>
  <si>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</si>
  <si>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</si>
  <si>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</si>
  <si>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</si>
  <si>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</si>
  <si>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</si>
  <si>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</si>
  <si>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</si>
  <si>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</si>
  <si>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</si>
  <si>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</si>
  <si>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</si>
  <si>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</si>
  <si>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</si>
  <si>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</si>
  <si>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</si>
  <si>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</si>
  <si>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</si>
  <si>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</si>
  <si>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</si>
  <si>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</si>
  <si>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</si>
  <si>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</si>
  <si>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</si>
  <si>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</si>
  <si>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</si>
  <si>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</si>
  <si>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</si>
  <si>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</si>
  <si>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</si>
  <si>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</si>
  <si>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</si>
  <si>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</si>
  <si>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</si>
  <si>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</si>
  <si>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</si>
  <si>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</si>
  <si>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</si>
  <si>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</si>
  <si>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</si>
  <si>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</si>
  <si>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</si>
  <si>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</si>
  <si>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</si>
  <si>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</si>
  <si>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</si>
  <si>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</si>
  <si>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</si>
  <si>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</si>
  <si>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</si>
  <si>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</si>
  <si>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</si>
  <si>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</si>
  <si>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</si>
  <si>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</si>
  <si>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</si>
  <si>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</si>
  <si>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</si>
  <si>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</si>
  <si>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</si>
  <si>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</si>
  <si>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</si>
  <si>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</si>
  <si>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</si>
  <si>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</si>
  <si>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</si>
  <si>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</si>
  <si>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</si>
  <si>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</si>
  <si>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</si>
  <si>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</si>
  <si>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</si>
  <si>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</si>
  <si>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</si>
  <si>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</si>
  <si>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</si>
  <si>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</si>
  <si>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</si>
  <si>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</si>
  <si>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</si>
  <si>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</si>
  <si>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</si>
  <si>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</si>
  <si>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</si>
  <si>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</si>
  <si>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</si>
  <si>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</si>
  <si>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</si>
  <si>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</si>
  <si>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</si>
  <si>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</si>
  <si>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</si>
  <si>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</si>
  <si>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</si>
  <si>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</si>
  <si>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</si>
  <si>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</si>
  <si>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</si>
  <si>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</si>
  <si>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</si>
  <si>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</si>
  <si>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</si>
  <si>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</si>
  <si>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</si>
  <si>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</si>
  <si>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</si>
  <si>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</si>
  <si>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</si>
  <si>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</si>
  <si>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</si>
  <si>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</si>
  <si>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</si>
  <si>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</si>
  <si>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</si>
  <si>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</si>
  <si>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</si>
  <si>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</si>
  <si>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</si>
  <si>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</si>
  <si>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</si>
  <si>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</si>
  <si>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</si>
  <si>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</si>
  <si>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</si>
  <si>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</si>
  <si>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</si>
  <si>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</si>
  <si>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</si>
  <si>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</si>
  <si>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</si>
  <si>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</si>
  <si>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</si>
  <si>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</si>
  <si>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</si>
  <si>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</si>
  <si>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</si>
  <si>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</si>
  <si>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</si>
  <si>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</si>
  <si>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</si>
  <si>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</si>
  <si>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</si>
  <si>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</si>
  <si>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</si>
  <si>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</si>
  <si>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</si>
  <si>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</si>
  <si>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</si>
  <si>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</si>
  <si>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</si>
  <si>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</si>
  <si>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</si>
  <si>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</si>
  <si>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</si>
  <si>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</si>
  <si>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</si>
  <si>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</si>
  <si>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</si>
  <si>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</si>
  <si>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</si>
  <si>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</si>
  <si>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</si>
  <si>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</si>
  <si>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</si>
  <si>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</si>
  <si>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</si>
  <si>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</si>
  <si>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</si>
  <si>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</si>
  <si>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</si>
  <si>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</si>
  <si>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</si>
  <si>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</si>
  <si>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</si>
  <si>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</si>
  <si>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</si>
  <si>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</si>
  <si>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</si>
  <si>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</si>
  <si>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</si>
  <si>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</si>
  <si>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</si>
  <si>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</si>
  <si>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</si>
  <si>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</si>
  <si>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</si>
  <si>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</si>
  <si>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</si>
  <si>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</si>
  <si>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</si>
  <si>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</si>
  <si>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</si>
  <si>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</si>
  <si>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</si>
  <si>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</si>
  <si>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</si>
  <si>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</si>
  <si>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</si>
  <si>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</si>
  <si>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</si>
  <si>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</si>
  <si>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</si>
  <si>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</si>
  <si>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</si>
  <si>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</si>
  <si>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</si>
  <si>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</si>
  <si>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</si>
  <si>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</si>
  <si>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</si>
  <si>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</si>
  <si>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</si>
  <si>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</si>
  <si>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</si>
  <si>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</si>
  <si>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</si>
  <si>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</si>
  <si>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</si>
  <si>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</si>
  <si>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</si>
  <si>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</si>
  <si>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</si>
  <si>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</si>
  <si>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</si>
  <si>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</si>
  <si>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</si>
  <si>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</si>
  <si>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</si>
  <si>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</si>
  <si>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</si>
  <si>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</si>
  <si>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</si>
  <si>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</si>
  <si>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</si>
  <si>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</si>
  <si>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</si>
  <si>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</si>
  <si>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</si>
  <si>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</si>
  <si>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</si>
  <si>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</si>
  <si>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</si>
  <si>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</si>
  <si>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</si>
  <si>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</si>
  <si>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</si>
  <si>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</si>
  <si>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</si>
  <si>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</si>
  <si>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</si>
  <si>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</si>
  <si>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</si>
  <si>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</si>
  <si>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</si>
  <si>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</si>
  <si>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</si>
  <si>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</si>
  <si>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</si>
  <si>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</si>
  <si>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</si>
  <si>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</si>
  <si>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</si>
  <si>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</si>
  <si>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</si>
  <si>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</si>
  <si>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</si>
  <si>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</si>
  <si>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</si>
  <si>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</si>
  <si>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</si>
  <si>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</si>
  <si>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</si>
  <si>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</si>
  <si>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</si>
  <si>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</si>
  <si>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</si>
  <si>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</si>
  <si>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</si>
  <si>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</si>
  <si>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</si>
  <si>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</si>
  <si>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</si>
  <si>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</si>
  <si>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</si>
  <si>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</si>
  <si>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</si>
  <si>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</si>
  <si>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</si>
  <si>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</si>
  <si>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</si>
  <si>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</si>
  <si>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</si>
  <si>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</si>
  <si>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</si>
  <si>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</si>
  <si>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</si>
  <si>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</si>
  <si>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</si>
  <si>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</si>
  <si>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</si>
  <si>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</si>
  <si>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</si>
  <si>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</si>
  <si>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</si>
  <si>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</si>
  <si>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</si>
  <si>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</si>
  <si>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</si>
  <si>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</si>
  <si>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</si>
  <si>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</si>
  <si>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</si>
  <si>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</si>
  <si>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</si>
  <si>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</si>
  <si>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</si>
  <si>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</si>
  <si>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</si>
  <si>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</si>
  <si>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</si>
  <si>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</si>
  <si>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</si>
  <si>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</si>
  <si>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</si>
  <si>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</si>
  <si>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</si>
  <si>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</si>
  <si>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</si>
  <si>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</si>
  <si>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</si>
  <si>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</si>
  <si>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</si>
  <si>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</si>
  <si>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</si>
  <si>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</si>
  <si>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</si>
  <si>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</si>
  <si>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</si>
  <si>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</si>
  <si>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</si>
  <si>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</si>
  <si>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</si>
  <si>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</si>
  <si>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</si>
  <si>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</si>
  <si>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</si>
  <si>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</si>
  <si>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</si>
  <si>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</si>
  <si>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</si>
  <si>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</si>
  <si>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</si>
  <si>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</si>
  <si>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</si>
  <si>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</si>
  <si>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</si>
  <si>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</si>
  <si>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</si>
  <si>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</si>
  <si>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</si>
  <si>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</si>
  <si>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</si>
  <si>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</si>
  <si>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</si>
  <si>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</si>
  <si>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</si>
  <si>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</si>
  <si>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</si>
  <si>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</si>
  <si>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</si>
  <si>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</si>
  <si>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</si>
  <si>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</si>
  <si>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</si>
  <si>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</si>
  <si>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</si>
  <si>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</si>
  <si>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</si>
  <si>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</si>
  <si>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</si>
  <si>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</si>
  <si>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</si>
  <si>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</si>
  <si>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</si>
  <si>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</si>
  <si>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</si>
  <si>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</si>
  <si>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</si>
  <si>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</si>
  <si>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</si>
  <si>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</si>
  <si>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</si>
  <si>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</si>
  <si>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</si>
  <si>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</si>
  <si>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</si>
  <si>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</si>
  <si>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</si>
  <si>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</si>
  <si>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</si>
  <si>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</si>
  <si>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</si>
  <si>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</si>
  <si>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</si>
  <si>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</si>
  <si>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</si>
  <si>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</si>
  <si>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</si>
  <si>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</si>
  <si>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</si>
  <si>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</si>
  <si>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</si>
  <si>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</si>
  <si>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</si>
  <si>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</si>
  <si>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</si>
  <si>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</si>
  <si>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</si>
  <si>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</si>
  <si>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</si>
  <si>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</si>
  <si>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</si>
  <si>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</si>
  <si>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</si>
  <si>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</si>
  <si>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</si>
  <si>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</si>
  <si>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</si>
  <si>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</si>
  <si>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</si>
  <si>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</si>
  <si>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</si>
  <si>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</si>
  <si>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</si>
  <si>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</si>
  <si>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</si>
  <si>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</si>
  <si>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</si>
  <si>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</si>
  <si>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</si>
  <si>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</si>
  <si>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</si>
  <si>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</si>
  <si>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</si>
  <si>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</si>
  <si>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</si>
  <si>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</si>
  <si>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</si>
  <si>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</si>
  <si>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</si>
  <si>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</si>
  <si>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</si>
  <si>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</si>
  <si>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</si>
  <si>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</si>
  <si>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</si>
  <si>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</si>
  <si>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</si>
  <si>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</si>
  <si>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</si>
  <si>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</si>
  <si>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</si>
  <si>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</si>
  <si>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</si>
  <si>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</si>
  <si>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</si>
  <si>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</si>
  <si>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</si>
  <si>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</si>
  <si>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</si>
  <si>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</si>
  <si>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</si>
  <si>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</si>
  <si>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</si>
  <si>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</si>
  <si>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</si>
  <si>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</si>
  <si>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</si>
  <si>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</si>
  <si>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</si>
  <si>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</si>
  <si>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</si>
  <si>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</si>
  <si>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</si>
  <si>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</si>
  <si>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</si>
  <si>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</si>
  <si>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</si>
  <si>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</si>
  <si>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</si>
  <si>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</si>
  <si>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</si>
  <si>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</si>
  <si>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</si>
  <si>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</si>
  <si>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</si>
  <si>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</si>
  <si>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</si>
  <si>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</si>
  <si>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</si>
  <si>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</si>
  <si>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</si>
  <si>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</si>
  <si>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</si>
  <si>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</si>
  <si>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</si>
  <si>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</si>
  <si>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</si>
  <si>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</si>
  <si>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</si>
  <si>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</si>
  <si>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</si>
  <si>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</si>
  <si>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</si>
  <si>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</si>
  <si>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</si>
  <si>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</si>
  <si>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</si>
  <si>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</si>
  <si>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</si>
  <si>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</si>
  <si>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</si>
  <si>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</si>
  <si>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</si>
  <si>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</si>
  <si>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</si>
  <si>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</si>
  <si>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</si>
  <si>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</si>
  <si>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</si>
  <si>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</si>
  <si>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</si>
  <si>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</si>
  <si>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</si>
  <si>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</si>
  <si>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</si>
  <si>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</si>
  <si>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</si>
  <si>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</si>
  <si>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</si>
  <si>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</si>
  <si>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</si>
  <si>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</si>
  <si>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</si>
  <si>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</si>
  <si>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</si>
  <si>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</si>
  <si>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</si>
  <si>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</si>
  <si>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</si>
  <si>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</si>
  <si>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</si>
  <si>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</si>
  <si>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</si>
  <si>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</si>
  <si>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</si>
  <si>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</si>
  <si>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</si>
  <si>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</si>
  <si>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</si>
  <si>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</si>
  <si>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</si>
  <si>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</si>
  <si>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</si>
  <si>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</si>
  <si>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</si>
  <si>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</si>
  <si>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</si>
  <si>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</si>
  <si>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</si>
  <si>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</si>
  <si>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</si>
  <si>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</si>
  <si>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</si>
  <si>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</si>
  <si>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</si>
  <si>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</si>
  <si>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</si>
  <si>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</si>
  <si>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</si>
  <si>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</si>
  <si>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</si>
  <si>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</si>
  <si>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</si>
  <si>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</si>
  <si>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</si>
  <si>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</si>
  <si>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</si>
  <si>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</si>
  <si>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</si>
  <si>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</si>
  <si>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</si>
  <si>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</si>
  <si>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</si>
  <si>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</si>
  <si>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</si>
  <si>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</si>
  <si>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</si>
  <si>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</si>
  <si>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</si>
  <si>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</si>
  <si>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</si>
  <si>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</si>
  <si>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</si>
  <si>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</si>
  <si>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</si>
  <si>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</si>
  <si>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</si>
  <si>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</si>
  <si>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</si>
  <si>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</si>
  <si>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</si>
  <si>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</si>
  <si>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</si>
  <si>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</si>
  <si>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</si>
  <si>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</si>
  <si>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</si>
  <si>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</si>
  <si>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</si>
  <si>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</si>
  <si>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</si>
  <si>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</si>
  <si>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</si>
  <si>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</si>
  <si>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</si>
  <si>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</si>
  <si>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</si>
  <si>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</si>
  <si>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</si>
  <si>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</si>
  <si>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</si>
  <si>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</si>
  <si>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</si>
  <si>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</si>
  <si>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</si>
  <si>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</si>
  <si>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</si>
  <si>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</si>
  <si>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</si>
  <si>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</si>
  <si>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</si>
  <si>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</si>
  <si>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</si>
  <si>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</si>
  <si>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</si>
  <si>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</si>
  <si>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</si>
  <si>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</si>
  <si>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</si>
  <si>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</si>
  <si>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</si>
  <si>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</si>
  <si>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</si>
  <si>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</si>
  <si>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</si>
  <si>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</si>
  <si>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</si>
  <si>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</si>
  <si>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</si>
  <si>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</si>
  <si>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</si>
  <si>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</si>
  <si>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</si>
  <si>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</si>
  <si>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</si>
  <si>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</si>
  <si>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</si>
  <si>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</si>
  <si>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</si>
  <si>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</si>
  <si>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</si>
  <si>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</si>
  <si>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</si>
  <si>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</si>
  <si>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</si>
  <si>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</si>
  <si>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</si>
  <si>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</si>
  <si>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</si>
  <si>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</si>
  <si>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</si>
  <si>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</si>
  <si>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</si>
  <si>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</si>
  <si>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</si>
  <si>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</si>
  <si>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</si>
  <si>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</si>
  <si>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</si>
  <si>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</si>
  <si>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</si>
  <si>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</si>
  <si>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</si>
  <si>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</si>
  <si>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</si>
  <si>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</si>
  <si>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</si>
  <si>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</si>
  <si>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</si>
  <si>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</si>
  <si>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</si>
  <si>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</si>
  <si>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</si>
  <si>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</si>
  <si>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</si>
  <si>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</si>
  <si>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</si>
  <si>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</si>
  <si>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</si>
  <si>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</si>
  <si>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</si>
  <si>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</si>
  <si>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</si>
  <si>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</si>
  <si>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</si>
  <si>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</si>
  <si>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</si>
  <si>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</si>
  <si>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</si>
  <si>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</si>
  <si>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</si>
  <si>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</si>
  <si>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</si>
  <si>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</si>
  <si>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</si>
  <si>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</si>
  <si>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</si>
  <si>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</si>
  <si>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</si>
  <si>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</si>
  <si>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</si>
  <si>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</si>
  <si>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</si>
  <si>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</si>
  <si>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</si>
  <si>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</si>
  <si>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</si>
  <si>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</si>
  <si>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</si>
  <si>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</si>
  <si>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</si>
  <si>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</si>
  <si>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</si>
  <si>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</si>
  <si>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</si>
  <si>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</si>
  <si>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</si>
  <si>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</si>
  <si>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</si>
  <si>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</si>
  <si>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</si>
  <si>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</si>
  <si>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</si>
  <si>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</si>
  <si>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</si>
  <si>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</si>
  <si>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</si>
  <si>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</si>
  <si>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</si>
  <si>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</si>
  <si>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</si>
  <si>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</si>
  <si>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</si>
  <si>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</si>
  <si>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</si>
  <si>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</si>
  <si>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</si>
  <si>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</si>
  <si>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</si>
  <si>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</si>
  <si>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</si>
  <si>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</si>
  <si>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</si>
  <si>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</si>
  <si>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</si>
  <si>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</si>
  <si>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</si>
  <si>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</si>
  <si>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</si>
  <si>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</si>
  <si>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</si>
  <si>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</si>
  <si>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</si>
  <si>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</si>
  <si>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</si>
  <si>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</si>
  <si>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</si>
  <si>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</si>
  <si>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</si>
  <si>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</si>
  <si>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</si>
  <si>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</si>
  <si>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</si>
  <si>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</si>
  <si>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</si>
  <si>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</si>
  <si>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</si>
  <si>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</si>
  <si>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</si>
  <si>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</si>
  <si>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</si>
  <si>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</si>
  <si>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</si>
  <si>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</si>
  <si>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</si>
  <si>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</si>
  <si>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</si>
  <si>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</si>
  <si>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</si>
  <si>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</si>
  <si>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</si>
  <si>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</si>
  <si>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</si>
  <si>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</si>
  <si>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</si>
  <si>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</si>
  <si>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</si>
  <si>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</si>
  <si>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</si>
  <si>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</si>
  <si>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</si>
  <si>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</si>
  <si>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</si>
  <si>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</si>
  <si>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</si>
  <si>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</si>
  <si>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</si>
  <si>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</si>
  <si>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</si>
  <si>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</si>
  <si>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</si>
  <si>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</si>
  <si>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</si>
  <si>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</si>
  <si>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</si>
  <si>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</si>
  <si>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</si>
  <si>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</si>
  <si>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</si>
  <si>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</si>
  <si>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</si>
  <si>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</si>
  <si>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</si>
  <si>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</si>
  <si>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</si>
  <si>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</si>
  <si>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</si>
  <si>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</si>
  <si>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</si>
  <si>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</si>
  <si>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</si>
  <si>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</si>
  <si>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</si>
  <si>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</si>
  <si>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</si>
  <si>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</si>
  <si>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</si>
  <si>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</si>
  <si>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</si>
  <si>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</si>
  <si>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</si>
  <si>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</si>
  <si>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</si>
  <si>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</si>
  <si>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</si>
  <si>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</si>
  <si>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</si>
  <si>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</si>
  <si>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</si>
  <si>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</si>
  <si>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</si>
  <si>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</si>
  <si>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</si>
  <si>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</si>
  <si>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</si>
  <si>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</si>
  <si>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</si>
  <si>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</si>
  <si>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</si>
  <si>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</si>
  <si>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</si>
  <si>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</si>
  <si>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</si>
  <si>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</si>
  <si>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</si>
  <si>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</si>
  <si>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</si>
  <si>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</si>
  <si>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</si>
  <si>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</si>
  <si>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</si>
  <si>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</si>
  <si>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</si>
  <si>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</si>
  <si>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</si>
  <si>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</si>
  <si>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</si>
  <si>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</si>
  <si>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</si>
  <si>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</si>
  <si>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</si>
  <si>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</si>
  <si>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</si>
  <si>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</si>
  <si>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</si>
  <si>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</si>
  <si>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</si>
  <si>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</si>
  <si>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</si>
  <si>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</si>
  <si>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</si>
  <si>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</si>
  <si>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</si>
  <si>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</si>
  <si>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</si>
  <si>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</si>
  <si>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</si>
  <si>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</si>
  <si>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</si>
  <si>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</si>
  <si>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</si>
  <si>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</si>
  <si>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</si>
  <si>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</si>
  <si>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</si>
  <si>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</si>
  <si>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</si>
  <si>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</si>
  <si>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</si>
  <si>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</si>
  <si>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</si>
  <si>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</si>
  <si>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</si>
  <si>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</si>
  <si>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</si>
  <si>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</si>
  <si>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</si>
  <si>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</si>
  <si>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</si>
  <si>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</si>
  <si>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</si>
  <si>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</si>
  <si>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</si>
  <si>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</si>
  <si>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</si>
  <si>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</si>
  <si>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</si>
  <si>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</si>
  <si>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</si>
  <si>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</si>
  <si>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</si>
  <si>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</si>
  <si>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</si>
  <si>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</si>
  <si>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</si>
  <si>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</si>
  <si>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</si>
  <si>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</si>
  <si>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</si>
  <si>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</si>
  <si>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</si>
  <si>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</si>
  <si>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</si>
  <si>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</si>
  <si>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</si>
  <si>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</si>
  <si>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</si>
  <si>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</si>
  <si>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</si>
  <si>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</si>
  <si>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</si>
  <si>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</si>
  <si>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</si>
  <si>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</si>
  <si>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</si>
  <si>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</si>
  <si>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</si>
  <si>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</si>
  <si>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</si>
  <si>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</si>
  <si>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</si>
  <si>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</si>
  <si>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</si>
  <si>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</si>
  <si>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</si>
  <si>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</si>
  <si>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</si>
  <si>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</si>
  <si>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</si>
  <si>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</si>
  <si>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</si>
  <si>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</si>
  <si>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</si>
  <si>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</si>
  <si>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</si>
  <si>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</si>
  <si>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</si>
  <si>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</si>
  <si>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</si>
  <si>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</si>
  <si>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</si>
  <si>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</si>
  <si>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</si>
  <si>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</si>
  <si>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</si>
  <si>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</si>
  <si>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</si>
  <si>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</si>
  <si>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</si>
  <si>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</si>
  <si>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</si>
  <si>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</si>
  <si>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</si>
  <si>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</si>
  <si>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</si>
  <si>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</si>
  <si>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</si>
  <si>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</si>
  <si>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</si>
  <si>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</si>
  <si>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</si>
  <si>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</si>
  <si>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</si>
  <si>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</si>
  <si>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</si>
  <si>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</si>
  <si>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</si>
  <si>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</si>
  <si>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</si>
  <si>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</si>
  <si>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</si>
  <si>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</si>
  <si>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</si>
  <si>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</si>
  <si>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</si>
  <si>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</si>
  <si>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</si>
  <si>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</si>
  <si>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</si>
  <si>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</si>
  <si>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</si>
  <si>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</si>
  <si>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</si>
  <si>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</si>
  <si>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</si>
  <si>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</si>
  <si>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</si>
  <si>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</si>
  <si>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</si>
  <si>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</si>
  <si>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</si>
  <si>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</si>
  <si>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</si>
  <si>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</si>
  <si>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</si>
  <si>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</si>
  <si>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</si>
  <si>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</si>
  <si>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</si>
  <si>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</si>
  <si>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</si>
  <si>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</si>
  <si>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</si>
  <si>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</si>
  <si>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</si>
  <si>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</si>
  <si>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</si>
  <si>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</si>
  <si>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</si>
  <si>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</si>
  <si>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</si>
  <si>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</si>
  <si>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</si>
  <si>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</si>
  <si>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</si>
  <si>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</si>
  <si>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</si>
  <si>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</si>
  <si>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</si>
  <si>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</si>
  <si>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</si>
  <si>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</si>
  <si>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</si>
  <si>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</si>
  <si>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</si>
  <si>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</si>
  <si>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</si>
  <si>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</si>
  <si>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</si>
  <si>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</si>
  <si>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</si>
  <si>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</si>
  <si>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</si>
  <si>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</si>
  <si>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</si>
  <si>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</si>
  <si>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</si>
  <si>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</si>
  <si>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</si>
  <si>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</si>
  <si>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</si>
  <si>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</si>
  <si>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</si>
  <si>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</si>
  <si>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</si>
  <si>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</si>
  <si>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</si>
  <si>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</si>
  <si>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</si>
  <si>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</si>
  <si>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</si>
  <si>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</si>
  <si>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</si>
  <si>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</si>
  <si>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</si>
  <si>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</si>
  <si>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</si>
  <si>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</si>
  <si>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</si>
  <si>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</si>
  <si>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</si>
  <si>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</si>
  <si>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</si>
  <si>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</si>
  <si>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</si>
  <si>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</si>
  <si>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</si>
  <si>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</si>
  <si>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</si>
  <si>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</si>
  <si>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</si>
  <si>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</si>
  <si>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</si>
  <si>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</si>
  <si>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</si>
  <si>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</si>
  <si>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</si>
  <si>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</si>
  <si>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</si>
  <si>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</si>
  <si>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</si>
  <si>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</si>
  <si>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</si>
  <si>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</si>
  <si>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</si>
  <si>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</si>
  <si>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</si>
  <si>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</si>
  <si>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</si>
  <si>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</si>
  <si>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</si>
  <si>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</si>
  <si>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</si>
  <si>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</si>
  <si>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</si>
  <si>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</si>
  <si>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</si>
  <si>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</si>
  <si>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</si>
  <si>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</si>
  <si>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</si>
  <si>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</si>
  <si>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</si>
  <si>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</si>
  <si>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</si>
  <si>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</si>
  <si>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</si>
  <si>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</si>
  <si>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</si>
  <si>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</si>
  <si>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</si>
  <si>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</si>
  <si>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</si>
  <si>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</si>
  <si>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</si>
  <si>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</si>
  <si>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</si>
  <si>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</si>
  <si>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</si>
  <si>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</si>
  <si>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</si>
  <si>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</si>
  <si>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</si>
  <si>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</si>
  <si>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</si>
  <si>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</si>
  <si>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</si>
  <si>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</si>
  <si>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</si>
  <si>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</si>
  <si>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</si>
  <si>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</si>
  <si>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</si>
  <si>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</si>
  <si>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</si>
  <si>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</si>
  <si>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</si>
  <si>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</si>
  <si>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</si>
  <si>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</si>
  <si>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</si>
  <si>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</si>
  <si>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</si>
  <si>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</si>
  <si>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</si>
  <si>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</si>
  <si>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</si>
  <si>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</si>
  <si>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</si>
  <si>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</si>
  <si>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</si>
  <si>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</si>
  <si>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</si>
  <si>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</si>
  <si>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</si>
  <si>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</si>
  <si>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</si>
  <si>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</si>
  <si>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</si>
  <si>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</si>
  <si>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</si>
  <si>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</si>
  <si>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</si>
  <si>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</si>
  <si>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</si>
  <si>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</si>
  <si>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</si>
  <si>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</si>
  <si>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</si>
  <si>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</si>
  <si>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</si>
  <si>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</si>
  <si>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</si>
  <si>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</si>
  <si>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</si>
  <si>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</si>
  <si>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</si>
  <si>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</si>
  <si>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</si>
  <si>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</si>
  <si>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</si>
  <si>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</si>
  <si>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</si>
  <si>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</si>
  <si>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</si>
  <si>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</si>
  <si>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</si>
  <si>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</si>
  <si>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</si>
  <si>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</si>
  <si>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</si>
  <si>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</si>
  <si>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</si>
  <si>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</si>
  <si>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</si>
  <si>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</si>
  <si>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</si>
  <si>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</si>
  <si>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</si>
  <si>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</si>
  <si>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</si>
  <si>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</si>
  <si>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</si>
  <si>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</si>
  <si>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</si>
  <si>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</si>
  <si>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</si>
  <si>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</si>
  <si>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</si>
  <si>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</si>
  <si>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</si>
  <si>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</si>
  <si>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</si>
  <si>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</si>
  <si>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</si>
  <si>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</si>
  <si>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</si>
  <si>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</si>
  <si>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</si>
  <si>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</si>
  <si>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</si>
  <si>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</si>
  <si>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</si>
  <si>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</si>
  <si>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</si>
  <si>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</si>
  <si>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</si>
  <si>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</si>
  <si>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</si>
  <si>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</si>
  <si>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</si>
  <si>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</si>
  <si>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</si>
  <si>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</si>
  <si>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</si>
  <si>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</si>
  <si>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</si>
  <si>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</si>
  <si>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</si>
  <si>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</si>
  <si>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</si>
  <si>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</si>
  <si>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</si>
  <si>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</si>
  <si>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</si>
  <si>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</si>
  <si>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</si>
  <si>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</si>
  <si>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</si>
  <si>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</si>
  <si>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</si>
  <si>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</si>
  <si>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</si>
  <si>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</si>
  <si>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</si>
  <si>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</si>
  <si>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</si>
  <si>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</si>
  <si>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</si>
  <si>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</si>
  <si>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</si>
  <si>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</si>
  <si>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</si>
  <si>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</si>
  <si>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</si>
  <si>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</si>
  <si>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</si>
  <si>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</si>
  <si>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</si>
  <si>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</si>
  <si>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</si>
  <si>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</si>
  <si>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</si>
  <si>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</si>
  <si>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</si>
  <si>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</si>
  <si>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</si>
  <si>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</si>
  <si>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</si>
  <si>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</si>
  <si>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</si>
  <si>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</si>
  <si>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</si>
  <si>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</si>
  <si>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</si>
  <si>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</si>
  <si>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</si>
  <si>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</si>
  <si>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</si>
  <si>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</si>
  <si>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</si>
  <si>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</si>
  <si>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</si>
  <si>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</si>
  <si>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</si>
  <si>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</si>
  <si>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</si>
  <si>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</si>
  <si>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</si>
  <si>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</si>
  <si>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</si>
  <si>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</si>
  <si>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</si>
  <si>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</si>
  <si>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</si>
  <si>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</si>
  <si>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</si>
  <si>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</si>
  <si>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</si>
  <si>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</si>
  <si>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</si>
  <si>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</si>
  <si>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</si>
  <si>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</si>
  <si>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</si>
  <si>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</si>
  <si>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</si>
  <si>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</si>
  <si>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</si>
  <si>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</si>
  <si>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</si>
  <si>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</si>
  <si>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</si>
  <si>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</si>
  <si>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</si>
  <si>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</si>
  <si>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</si>
  <si>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</si>
  <si>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</si>
  <si>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</si>
  <si>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</si>
  <si>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</si>
  <si>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</si>
  <si>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</si>
  <si>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</si>
  <si>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</si>
  <si>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</si>
  <si>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</si>
  <si>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</si>
  <si>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</si>
  <si>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</si>
  <si>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</si>
  <si>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</si>
  <si>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</si>
  <si>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</si>
  <si>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</si>
  <si>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</si>
  <si>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</si>
  <si>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</si>
  <si>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</si>
  <si>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</si>
  <si>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</si>
  <si>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</si>
  <si>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</si>
  <si>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</si>
  <si>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</si>
  <si>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</si>
  <si>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</si>
  <si>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</si>
  <si>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</si>
  <si>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</si>
  <si>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</si>
  <si>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</si>
  <si>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</si>
  <si>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</si>
  <si>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</si>
  <si>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</si>
  <si>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</si>
  <si>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</si>
  <si>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</si>
  <si>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</si>
  <si>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</si>
  <si>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</si>
  <si>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</si>
  <si>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</si>
  <si>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</si>
  <si>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</si>
  <si>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</si>
  <si>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</si>
  <si>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</si>
  <si>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</si>
  <si>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</si>
  <si>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</si>
  <si>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</si>
  <si>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</si>
  <si>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</si>
  <si>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</si>
  <si>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</si>
  <si>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</si>
  <si>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</si>
  <si>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</si>
  <si>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</si>
  <si>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</si>
  <si>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</si>
  <si>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</si>
  <si>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</si>
  <si>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</si>
  <si>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</si>
  <si>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</si>
  <si>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</si>
  <si>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</si>
  <si>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</si>
  <si>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</si>
  <si>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</si>
  <si>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</si>
  <si>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</si>
  <si>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</si>
  <si>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</si>
  <si>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</si>
  <si>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</si>
  <si>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</si>
  <si>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</si>
  <si>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</si>
  <si>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</si>
  <si>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</si>
  <si>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</si>
  <si>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</si>
  <si>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</si>
  <si>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</si>
  <si>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</si>
  <si>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</si>
  <si>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</si>
  <si>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</si>
  <si>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</si>
  <si>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</si>
  <si>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</si>
  <si>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</si>
  <si>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</si>
  <si>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</si>
  <si>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</si>
  <si>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</si>
  <si>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</si>
  <si>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</si>
  <si>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</si>
  <si>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</si>
  <si>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</si>
  <si>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</si>
  <si>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</si>
  <si>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</si>
  <si>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</si>
  <si>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</si>
  <si>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</si>
  <si>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</si>
  <si>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</si>
  <si>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</si>
  <si>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</si>
  <si>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</si>
  <si>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</si>
  <si>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</si>
  <si>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</si>
  <si>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</si>
  <si>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</si>
  <si>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</si>
  <si>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</si>
  <si>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</si>
  <si>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</si>
  <si>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</si>
  <si>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</si>
  <si>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</si>
  <si>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</si>
  <si>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</si>
  <si>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</si>
  <si>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</si>
  <si>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</si>
  <si>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</si>
  <si>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</si>
  <si>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</si>
  <si>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</si>
  <si>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</si>
  <si>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</si>
  <si>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</si>
  <si>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</si>
  <si>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</si>
  <si>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</si>
  <si>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</si>
  <si>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</si>
  <si>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</si>
  <si>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</si>
  <si>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</si>
  <si>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</si>
  <si>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</si>
  <si>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</si>
  <si>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</si>
  <si>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</si>
  <si>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</si>
  <si>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</si>
  <si>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</si>
  <si>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</si>
  <si>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</si>
  <si>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</si>
  <si>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</si>
  <si>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</si>
  <si>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</si>
  <si>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</si>
  <si>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</si>
  <si>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</si>
  <si>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</si>
  <si>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</si>
  <si>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</si>
  <si>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</si>
  <si>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</si>
  <si>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</si>
  <si>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</si>
  <si>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</si>
  <si>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</si>
  <si>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</si>
  <si>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</si>
  <si>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</si>
  <si>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</si>
  <si>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</si>
  <si>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</si>
  <si>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</si>
  <si>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</si>
  <si>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</si>
  <si>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</si>
  <si>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</si>
  <si>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</si>
  <si>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</si>
  <si>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</si>
  <si>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</si>
  <si>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</si>
  <si>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</si>
  <si>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</si>
  <si>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</si>
  <si>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</si>
  <si>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</si>
  <si>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</si>
  <si>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</si>
  <si>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</si>
  <si>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</si>
  <si>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</si>
  <si>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</si>
  <si>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</si>
  <si>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</si>
  <si>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</si>
  <si>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</si>
  <si>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</si>
  <si>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</si>
  <si>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</si>
  <si>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</si>
  <si>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</si>
  <si>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</si>
  <si>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</si>
  <si>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</si>
  <si>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</si>
  <si>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</si>
  <si>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</si>
  <si>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</si>
  <si>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</si>
  <si>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</si>
  <si>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</si>
  <si>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</si>
  <si>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</si>
  <si>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</si>
  <si>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</si>
  <si>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</si>
  <si>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</si>
  <si>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</si>
  <si>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</si>
  <si>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</si>
  <si>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</si>
  <si>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</si>
  <si>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</si>
  <si>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</si>
  <si>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</si>
  <si>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</si>
  <si>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</si>
  <si>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</si>
  <si>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</si>
  <si>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</si>
  <si>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</si>
  <si>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</si>
  <si>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</si>
  <si>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</si>
  <si>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</si>
  <si>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</si>
  <si>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</si>
  <si>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</si>
  <si>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</si>
  <si>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</si>
  <si>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</si>
  <si>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</si>
  <si>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</si>
  <si>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</si>
  <si>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</si>
  <si>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</si>
  <si>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</si>
  <si>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</si>
  <si>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</si>
  <si>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</si>
  <si>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</si>
  <si>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</si>
  <si>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</si>
  <si>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</si>
  <si>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</si>
  <si>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</si>
  <si>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</si>
  <si>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</si>
  <si>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</si>
  <si>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</si>
  <si>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</si>
  <si>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</si>
  <si>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</si>
  <si>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</si>
  <si>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</si>
  <si>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</si>
  <si>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</si>
  <si>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</si>
  <si>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</si>
  <si>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</si>
  <si>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</si>
  <si>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</si>
  <si>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</si>
  <si>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</si>
  <si>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</si>
  <si>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</si>
  <si>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</si>
  <si>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</si>
  <si>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</si>
  <si>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</si>
  <si>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</si>
  <si>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</si>
  <si>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</si>
  <si>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</si>
  <si>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</si>
  <si>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</si>
  <si>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</si>
  <si>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</si>
  <si>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</si>
  <si>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</si>
  <si>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</si>
  <si>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</si>
  <si>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</si>
  <si>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</si>
  <si>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</si>
  <si>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</si>
  <si>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</si>
  <si>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</si>
  <si>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</si>
  <si>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</si>
  <si>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</si>
  <si>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</si>
  <si>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</si>
  <si>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</si>
  <si>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</si>
  <si>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</si>
  <si>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</si>
  <si>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</si>
  <si>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</si>
  <si>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</si>
  <si>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</si>
  <si>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</si>
  <si>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</si>
  <si>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</si>
  <si>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</si>
  <si>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</si>
  <si>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</si>
  <si>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</si>
  <si>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</si>
  <si>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</si>
  <si>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</si>
  <si>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</si>
  <si>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</si>
  <si>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</si>
  <si>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</si>
  <si>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</si>
  <si>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</si>
  <si>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</si>
  <si>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</si>
  <si>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</si>
  <si>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</si>
  <si>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</si>
  <si>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</si>
  <si>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</si>
  <si>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</si>
  <si>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</si>
  <si>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</si>
  <si>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</si>
  <si>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</si>
  <si>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</si>
  <si>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</si>
  <si>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</si>
  <si>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</si>
  <si>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</si>
  <si>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</si>
  <si>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</si>
  <si>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</si>
  <si>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</si>
  <si>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</si>
  <si>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</si>
  <si>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</si>
  <si>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</si>
  <si>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</si>
  <si>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</si>
  <si>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</si>
  <si>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</si>
  <si>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</si>
  <si>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</si>
  <si>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</si>
  <si>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</si>
  <si>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</si>
  <si>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</si>
  <si>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</si>
  <si>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</si>
  <si>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</si>
  <si>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</si>
  <si>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</si>
  <si>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</si>
  <si>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</si>
  <si>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</si>
  <si>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</si>
  <si>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</si>
  <si>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</si>
  <si>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</si>
  <si>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</si>
  <si>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</si>
  <si>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</si>
  <si>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</si>
  <si>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</si>
  <si>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</si>
  <si>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</si>
  <si>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</si>
  <si>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</si>
  <si>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</si>
  <si>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</si>
  <si>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</si>
  <si>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</si>
  <si>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</si>
  <si>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</si>
  <si>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</si>
  <si>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</si>
  <si>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</si>
  <si>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</si>
  <si>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</si>
  <si>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</si>
  <si>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</si>
  <si>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</si>
  <si>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</si>
  <si>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</si>
  <si>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</si>
  <si>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</si>
  <si>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</si>
  <si>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</si>
  <si>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</si>
  <si>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</si>
  <si>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</si>
  <si>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</si>
  <si>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</si>
  <si>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</si>
  <si>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</si>
  <si>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</si>
  <si>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</si>
  <si>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</si>
  <si>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</si>
  <si>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</si>
  <si>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</si>
  <si>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</si>
  <si>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</si>
  <si>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</si>
  <si>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</si>
  <si>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</si>
  <si>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</si>
  <si>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</si>
  <si>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</si>
  <si>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</si>
  <si>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</si>
  <si>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</si>
  <si>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</si>
  <si>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</si>
  <si>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</si>
  <si>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</si>
  <si>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</si>
  <si>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</si>
  <si>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</si>
  <si>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</si>
  <si>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</si>
  <si>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</si>
  <si>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</si>
  <si>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</si>
  <si>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</si>
  <si>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</si>
  <si>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</si>
  <si>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</si>
  <si>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</si>
  <si>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</si>
  <si>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</si>
  <si>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</si>
  <si>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</si>
  <si>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</si>
  <si>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</si>
  <si>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</si>
  <si>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</si>
  <si>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</si>
  <si>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</si>
  <si>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</si>
  <si>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</si>
  <si>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</si>
  <si>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</si>
  <si>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</si>
  <si>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</si>
  <si>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</si>
  <si>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</si>
  <si>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</si>
  <si>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</si>
  <si>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</si>
  <si>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</si>
  <si>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</si>
  <si>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</si>
  <si>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</si>
  <si>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</si>
  <si>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</si>
  <si>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</si>
  <si>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</si>
  <si>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</si>
  <si>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</si>
  <si>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</si>
  <si>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</si>
  <si>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</si>
  <si>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</si>
  <si>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</si>
  <si>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</si>
  <si>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</si>
  <si>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</si>
  <si>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</si>
  <si>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</si>
  <si>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</si>
  <si>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</si>
  <si>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</si>
  <si>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</si>
  <si>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</si>
  <si>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</si>
  <si>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</si>
  <si>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</si>
  <si>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</si>
  <si>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</si>
  <si>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</si>
  <si>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</si>
  <si>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</si>
  <si>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</si>
  <si>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</si>
  <si>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</si>
  <si>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</si>
  <si>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</si>
  <si>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</si>
  <si>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</si>
  <si>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</si>
  <si>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</si>
  <si>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</si>
  <si>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</si>
  <si>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</si>
  <si>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</si>
  <si>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</si>
  <si>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</si>
  <si>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</si>
  <si>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</si>
  <si>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</si>
  <si>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</si>
  <si>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</si>
  <si>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</si>
  <si>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</si>
  <si>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</si>
  <si>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</si>
  <si>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</si>
  <si>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</si>
  <si>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</si>
  <si>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</si>
  <si>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</si>
  <si>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</si>
  <si>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</si>
  <si>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</si>
  <si>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</si>
  <si>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</si>
  <si>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</si>
  <si>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</si>
  <si>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</si>
  <si>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</si>
  <si>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</si>
  <si>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</si>
  <si>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</si>
  <si>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</si>
  <si>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</si>
  <si>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</si>
  <si>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</si>
  <si>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</si>
  <si>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</si>
  <si>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</si>
  <si>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</si>
  <si>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</si>
  <si>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</si>
  <si>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</si>
  <si>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</si>
  <si>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</si>
  <si>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</si>
  <si>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</si>
  <si>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</si>
  <si>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</si>
  <si>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</si>
  <si>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</si>
  <si>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</si>
  <si>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</si>
  <si>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</si>
  <si>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</si>
  <si>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</si>
  <si>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</si>
  <si>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</si>
  <si>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</si>
  <si>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</si>
  <si>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</si>
  <si>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</si>
  <si>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</si>
  <si>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</si>
  <si>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</si>
  <si>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</si>
  <si>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</si>
  <si>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</si>
  <si>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</si>
  <si>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</si>
  <si>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</si>
  <si>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</si>
  <si>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</si>
  <si>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</si>
  <si>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</si>
  <si>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</si>
  <si>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</si>
  <si>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</si>
  <si>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</si>
  <si>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</si>
  <si>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</si>
  <si>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</si>
  <si>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</si>
  <si>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</si>
  <si>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</si>
  <si>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</si>
  <si>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</si>
  <si>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</si>
  <si>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</si>
  <si>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</si>
  <si>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</si>
  <si>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</si>
  <si>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</si>
  <si>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</si>
  <si>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</si>
  <si>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</si>
  <si>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</si>
  <si>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</si>
  <si>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</si>
  <si>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</si>
  <si>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</si>
  <si>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</si>
  <si>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</si>
  <si>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</si>
  <si>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</si>
  <si>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</si>
  <si>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</si>
  <si>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</si>
  <si>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</si>
  <si>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</si>
  <si>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</si>
  <si>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</si>
  <si>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</si>
  <si>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</si>
  <si>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</si>
  <si>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</si>
  <si>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</si>
  <si>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</si>
  <si>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</si>
  <si>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</si>
  <si>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</si>
  <si>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</si>
  <si>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</si>
  <si>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</si>
  <si>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</si>
  <si>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</si>
  <si>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</si>
  <si>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</si>
  <si>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</si>
  <si>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</si>
  <si>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</si>
  <si>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</si>
  <si>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工业项目</t>
  </si>
  <si>
    <t>无</t>
  </si>
  <si>
    <t>否</t>
  </si>
  <si>
    <t>现房</t>
  </si>
  <si>
    <t>Ⅷ-通州环保园</t>
  </si>
  <si>
    <t>自定义容积率</t>
  </si>
  <si>
    <r>
      <t>1层</t>
    </r>
    <r>
      <rPr>
        <sz val="11"/>
        <color theme="1"/>
        <rFont val="宋体"/>
        <family val="3"/>
        <charset val="134"/>
        <scheme val="minor"/>
      </rPr>
      <t>101</t>
    </r>
    <phoneticPr fontId="134" type="noConversion"/>
  </si>
  <si>
    <t>2层201</t>
    <phoneticPr fontId="134" type="noConversion"/>
  </si>
  <si>
    <t>3层301</t>
    <phoneticPr fontId="134" type="noConversion"/>
  </si>
  <si>
    <t>4层401</t>
    <phoneticPr fontId="134" type="noConversion"/>
  </si>
  <si>
    <t>层高</t>
    <phoneticPr fontId="134" type="noConversion"/>
  </si>
  <si>
    <t>建筑面积</t>
    <phoneticPr fontId="134" type="noConversion"/>
  </si>
  <si>
    <t>郑燚</t>
  </si>
  <si>
    <r>
      <rPr>
        <sz val="10"/>
        <color theme="9" tint="-0.249977111117893"/>
        <rFont val="宋体"/>
        <family val="3"/>
        <charset val="134"/>
      </rPr>
      <t>通州区环科中路</t>
    </r>
    <r>
      <rPr>
        <sz val="10"/>
        <color theme="9" tint="-0.249977111117893"/>
        <rFont val="Arial"/>
        <family val="2"/>
      </rPr>
      <t>16</t>
    </r>
    <r>
      <rPr>
        <sz val="10"/>
        <color theme="9" tint="-0.249977111117893"/>
        <rFont val="宋体"/>
        <family val="3"/>
        <charset val="134"/>
      </rPr>
      <t>号</t>
    </r>
    <r>
      <rPr>
        <sz val="10"/>
        <color theme="9" tint="-0.249977111117893"/>
        <rFont val="Arial"/>
        <family val="2"/>
      </rPr>
      <t>22</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厂房用房</t>
    </r>
    <phoneticPr fontId="6" type="noConversion"/>
  </si>
  <si>
    <t>是</t>
  </si>
  <si>
    <t>地上</t>
  </si>
  <si>
    <t>工业</t>
    <phoneticPr fontId="7" type="noConversion"/>
  </si>
  <si>
    <t>成新度</t>
  </si>
  <si>
    <t>收益法 (元)</t>
  </si>
  <si>
    <t>https://zhengfu.bjtzh.gov.cn/bjtz/xxfb/202308/1670775.shtml</t>
    <phoneticPr fontId="3" type="noConversion"/>
  </si>
  <si>
    <t>押一</t>
  </si>
  <si>
    <t>钢混</t>
  </si>
  <si>
    <t>非生产用房</t>
  </si>
  <si>
    <t>比较法-工业</t>
  </si>
  <si>
    <t>单套模式</t>
  </si>
  <si>
    <t>售价</t>
  </si>
  <si>
    <t>正常</t>
  </si>
  <si>
    <t>工业</t>
    <phoneticPr fontId="31" type="noConversion"/>
  </si>
  <si>
    <t>挂牌</t>
  </si>
  <si>
    <t>挂牌</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</si>
  <si>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</si>
  <si>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</si>
  <si>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</si>
  <si>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</si>
  <si>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</si>
  <si>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工业立项办公楼</t>
  </si>
  <si>
    <t>工业立项办公楼</t>
    <phoneticPr fontId="31" type="noConversion"/>
  </si>
  <si>
    <t>钢混</t>
    <phoneticPr fontId="31" type="noConversion"/>
  </si>
  <si>
    <t>精装修</t>
    <phoneticPr fontId="31" type="noConversion"/>
  </si>
  <si>
    <t>普通装修</t>
  </si>
  <si>
    <t>普通装修</t>
    <phoneticPr fontId="31" type="noConversion"/>
  </si>
  <si>
    <t>简单装修</t>
  </si>
  <si>
    <t>简单装修</t>
    <phoneticPr fontId="31" type="noConversion"/>
  </si>
  <si>
    <t>毛坯</t>
    <phoneticPr fontId="31" type="noConversion"/>
  </si>
  <si>
    <t>专业</t>
  </si>
  <si>
    <t>专业</t>
    <phoneticPr fontId="31" type="noConversion"/>
  </si>
  <si>
    <t>七通</t>
  </si>
  <si>
    <t>七通</t>
    <phoneticPr fontId="31" type="noConversion"/>
  </si>
  <si>
    <t>六通</t>
  </si>
  <si>
    <t>六通</t>
    <phoneticPr fontId="31" type="noConversion"/>
  </si>
  <si>
    <t>五通</t>
    <phoneticPr fontId="31" type="noConversion"/>
  </si>
  <si>
    <t>一般</t>
  </si>
  <si>
    <t>较好</t>
  </si>
  <si>
    <t>较差</t>
  </si>
  <si>
    <t>层高</t>
    <phoneticPr fontId="31" type="noConversion"/>
  </si>
  <si>
    <t>标准层高</t>
    <phoneticPr fontId="31" type="noConversion"/>
  </si>
  <si>
    <t>较高层高</t>
    <phoneticPr fontId="31" type="noConversion"/>
  </si>
  <si>
    <t>马驹桥镇</t>
    <phoneticPr fontId="3" type="noConversion"/>
  </si>
  <si>
    <t>租金</t>
  </si>
  <si>
    <r>
      <t>含税，不含物业费，物业费0</t>
    </r>
    <r>
      <rPr>
        <sz val="11"/>
        <color theme="1"/>
        <rFont val="宋体"/>
        <family val="3"/>
        <charset val="134"/>
        <scheme val="minor"/>
      </rPr>
      <t>.2元/平·天</t>
    </r>
    <phoneticPr fontId="134" type="noConversion"/>
  </si>
  <si>
    <t>联东U谷</t>
    <phoneticPr fontId="3" type="noConversion"/>
  </si>
  <si>
    <r>
      <t>5.8</t>
    </r>
    <r>
      <rPr>
        <sz val="11"/>
        <color indexed="8"/>
        <rFont val="宋体"/>
        <family val="3"/>
        <charset val="134"/>
      </rPr>
      <t>米</t>
    </r>
    <phoneticPr fontId="31" type="noConversion"/>
  </si>
  <si>
    <r>
      <t>6</t>
    </r>
    <r>
      <rPr>
        <sz val="11"/>
        <rFont val="宋体"/>
        <family val="3"/>
        <charset val="134"/>
      </rPr>
      <t>米</t>
    </r>
    <phoneticPr fontId="31" type="noConversion"/>
  </si>
  <si>
    <r>
      <t>4</t>
    </r>
    <r>
      <rPr>
        <sz val="11"/>
        <color indexed="8"/>
        <rFont val="宋体"/>
        <family val="3"/>
        <charset val="134"/>
      </rPr>
      <t>米左右</t>
    </r>
    <phoneticPr fontId="31" type="noConversion"/>
  </si>
  <si>
    <r>
      <t>5</t>
    </r>
    <r>
      <rPr>
        <sz val="11"/>
        <color indexed="8"/>
        <rFont val="宋体"/>
        <family val="3"/>
        <charset val="134"/>
      </rPr>
      <t>米</t>
    </r>
    <phoneticPr fontId="31" type="noConversion"/>
  </si>
  <si>
    <t>租金内涵</t>
    <phoneticPr fontId="134" type="noConversion"/>
  </si>
  <si>
    <t>含税，含物业费</t>
    <phoneticPr fontId="134" type="noConversion"/>
  </si>
  <si>
    <r>
      <t>5</t>
    </r>
    <r>
      <rPr>
        <sz val="11"/>
        <color indexed="8"/>
        <rFont val="宋体"/>
        <family val="3"/>
        <charset val="134"/>
      </rPr>
      <t>米</t>
    </r>
    <phoneticPr fontId="134" type="noConversion"/>
  </si>
  <si>
    <r>
      <t>6</t>
    </r>
    <r>
      <rPr>
        <sz val="11"/>
        <color indexed="8"/>
        <rFont val="宋体"/>
        <family val="3"/>
        <charset val="134"/>
      </rPr>
      <t>米</t>
    </r>
    <phoneticPr fontId="134" type="noConversion"/>
  </si>
  <si>
    <r>
      <t>5.8</t>
    </r>
    <r>
      <rPr>
        <sz val="11"/>
        <color indexed="8"/>
        <rFont val="宋体"/>
        <family val="3"/>
        <charset val="134"/>
      </rPr>
      <t>米</t>
    </r>
    <phoneticPr fontId="134" type="noConversion"/>
  </si>
  <si>
    <t>联东U谷</t>
    <phoneticPr fontId="3" type="noConversion"/>
  </si>
  <si>
    <t>租赁建筑面积</t>
    <phoneticPr fontId="134" type="noConversion"/>
  </si>
  <si>
    <t>年租金</t>
    <phoneticPr fontId="134" type="noConversion"/>
  </si>
  <si>
    <r>
      <t>2</t>
    </r>
    <r>
      <rPr>
        <sz val="11"/>
        <color theme="1"/>
        <rFont val="宋体"/>
        <family val="3"/>
        <charset val="134"/>
        <scheme val="minor"/>
      </rPr>
      <t>021/1/4至2021年4/3为免租期</t>
    </r>
    <phoneticPr fontId="134" type="noConversion"/>
  </si>
  <si>
    <t>天数</t>
    <phoneticPr fontId="134" type="noConversion"/>
  </si>
  <si>
    <t>反推日租金</t>
    <phoneticPr fontId="134" type="noConversion"/>
  </si>
  <si>
    <t>楼层</t>
    <phoneticPr fontId="134" type="noConversion"/>
  </si>
  <si>
    <t>4层</t>
    <phoneticPr fontId="134" type="noConversion"/>
  </si>
  <si>
    <t>租赁面积</t>
    <phoneticPr fontId="134" type="noConversion"/>
  </si>
  <si>
    <t>租赁户号</t>
    <phoneticPr fontId="134" type="noConversion"/>
  </si>
  <si>
    <t>租赁起始日</t>
    <phoneticPr fontId="134" type="noConversion"/>
  </si>
  <si>
    <t>反推日租金</t>
    <phoneticPr fontId="134" type="noConversion"/>
  </si>
  <si>
    <t>租赁终止日</t>
    <phoneticPr fontId="134" type="noConversion"/>
  </si>
  <si>
    <t>2024/4/4至2024年5/3为免租期</t>
    <phoneticPr fontId="134" type="noConversion"/>
  </si>
  <si>
    <t>2025/5/4至2025年6/3为免租期</t>
    <phoneticPr fontId="134" type="noConversion"/>
  </si>
  <si>
    <t>2026/6/4至2026年7/3为免租期</t>
    <phoneticPr fontId="134" type="noConversion"/>
  </si>
  <si>
    <t>价值时点</t>
    <phoneticPr fontId="134" type="noConversion"/>
  </si>
  <si>
    <t>不含物业费</t>
    <phoneticPr fontId="134" type="noConversion"/>
  </si>
  <si>
    <t>含物业费</t>
    <phoneticPr fontId="134" type="noConversion"/>
  </si>
  <si>
    <t>2024/8/21至2024年8/31为免租期</t>
    <phoneticPr fontId="134" type="noConversion"/>
  </si>
  <si>
    <t>分摊至各楼层年租金</t>
    <phoneticPr fontId="134" type="noConversion"/>
  </si>
  <si>
    <t>中介分租-租赁合同</t>
    <phoneticPr fontId="134" type="noConversion"/>
  </si>
  <si>
    <t>委托租赁协议（业主委托中介整体出租，即业主实际收益，租金不含物业费，物业费3.9元/平·月（0.13元/平·天））</t>
    <phoneticPr fontId="134" type="noConversion"/>
  </si>
  <si>
    <t>剩余租赁期</t>
  </si>
  <si>
    <t>剩余租赁期</t>
    <phoneticPr fontId="134" type="noConversion"/>
  </si>
  <si>
    <t>备注</t>
    <phoneticPr fontId="134" type="noConversion"/>
  </si>
  <si>
    <r>
      <t>第三年开始每2年递增</t>
    </r>
    <r>
      <rPr>
        <sz val="11"/>
        <color theme="1"/>
        <rFont val="宋体"/>
        <family val="3"/>
        <charset val="134"/>
        <scheme val="minor"/>
      </rPr>
      <t>3%</t>
    </r>
    <phoneticPr fontId="134" type="noConversion"/>
  </si>
  <si>
    <t>涨幅</t>
    <phoneticPr fontId="134" type="noConversion"/>
  </si>
  <si>
    <t>无</t>
    <phoneticPr fontId="134" type="noConversion"/>
  </si>
  <si>
    <t>1层</t>
    <phoneticPr fontId="134" type="noConversion"/>
  </si>
  <si>
    <t>证载建筑面积</t>
    <phoneticPr fontId="134" type="noConversion"/>
  </si>
  <si>
    <t>出租率</t>
    <phoneticPr fontId="134" type="noConversion"/>
  </si>
  <si>
    <t>保证金90829</t>
    <phoneticPr fontId="134" type="noConversion"/>
  </si>
  <si>
    <t>保证金25000</t>
    <phoneticPr fontId="134" type="noConversion"/>
  </si>
  <si>
    <t>2层</t>
    <phoneticPr fontId="134" type="noConversion"/>
  </si>
  <si>
    <t>3层</t>
    <phoneticPr fontId="134" type="noConversion"/>
  </si>
  <si>
    <t>保证金51008.75</t>
    <phoneticPr fontId="134" type="noConversion"/>
  </si>
  <si>
    <t>年物业费</t>
    <phoneticPr fontId="134" type="noConversion"/>
  </si>
  <si>
    <t>保证金9000</t>
    <phoneticPr fontId="134" type="noConversion"/>
  </si>
  <si>
    <t>保证金17109</t>
    <phoneticPr fontId="134" type="noConversion"/>
  </si>
  <si>
    <t>保证金10500</t>
    <phoneticPr fontId="134" type="noConversion"/>
  </si>
  <si>
    <t>405、406</t>
    <phoneticPr fontId="134" type="noConversion"/>
  </si>
  <si>
    <t>保证金5000</t>
    <phoneticPr fontId="134" type="noConversion"/>
  </si>
  <si>
    <t>含物业费0.13元/平·天</t>
    <phoneticPr fontId="134" type="noConversion"/>
  </si>
  <si>
    <t>保证金12917</t>
    <phoneticPr fontId="134" type="noConversion"/>
  </si>
  <si>
    <t>保证金65262</t>
    <phoneticPr fontId="134" type="noConversion"/>
  </si>
  <si>
    <t>市场租金</t>
  </si>
  <si>
    <t>直线</t>
  </si>
  <si>
    <t>合同到期后成新</t>
  </si>
  <si>
    <t>不含物业费</t>
    <phoneticPr fontId="3" type="noConversion"/>
  </si>
  <si>
    <t>自定义</t>
  </si>
  <si>
    <t>需扣减承租人权益</t>
  </si>
  <si>
    <t>较高层高</t>
    <phoneticPr fontId="31" type="noConversion"/>
  </si>
  <si>
    <t>4层合计</t>
    <phoneticPr fontId="134" type="noConversion"/>
  </si>
  <si>
    <t>合同到期</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</si>
</sst>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1"/>
      <color rgb="FFFF0000"/>
      <name val="宋体"/>
      <family val="3"/>
      <charset val="134"/>
      <scheme val="minor"/>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8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95" fillId="0" borderId="0" xfId="0" applyFont="1">
      <alignment vertical="center"/>
    </xf>
    <xf numFmtId="0" fontId="272" fillId="12" borderId="0" xfId="19" applyFill="1" applyAlignment="1" applyProtection="1">
      <alignment horizontal="center"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12" borderId="0" xfId="0" applyFont="1" applyFill="1" applyAlignment="1" applyProtection="1">
      <alignment vertical="center"/>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5" fillId="0" borderId="0" xfId="0" applyFont="1" applyAlignment="1">
      <alignment horizontal="left" vertical="center"/>
    </xf>
    <xf numFmtId="14" fontId="0" fillId="0" borderId="0" xfId="0" applyNumberFormat="1" applyAlignment="1">
      <alignment horizontal="left" vertical="center"/>
    </xf>
    <xf numFmtId="179" fontId="0" fillId="0" borderId="0" xfId="0" applyNumberFormat="1" applyAlignment="1">
      <alignment horizontal="left" vertical="center"/>
    </xf>
    <xf numFmtId="14" fontId="273" fillId="0" borderId="0" xfId="0" applyNumberFormat="1" applyFont="1" applyAlignment="1">
      <alignment horizontal="left" vertical="center"/>
    </xf>
    <xf numFmtId="0" fontId="95" fillId="0" borderId="18" xfId="0" applyFont="1" applyBorder="1" applyAlignment="1">
      <alignment horizontal="left" vertical="center"/>
    </xf>
    <xf numFmtId="0" fontId="95" fillId="0" borderId="0" xfId="0" applyFont="1" applyBorder="1" applyAlignment="1">
      <alignment horizontal="left" vertical="center"/>
    </xf>
    <xf numFmtId="0" fontId="0" fillId="0" borderId="56" xfId="0" applyBorder="1" applyAlignment="1">
      <alignment horizontal="left" vertical="center"/>
    </xf>
    <xf numFmtId="0" fontId="0" fillId="0" borderId="18" xfId="0" applyBorder="1" applyAlignment="1">
      <alignment horizontal="left" vertical="center"/>
    </xf>
    <xf numFmtId="14" fontId="0" fillId="0" borderId="0" xfId="0" applyNumberFormat="1" applyBorder="1" applyAlignment="1">
      <alignment horizontal="left" vertical="center"/>
    </xf>
    <xf numFmtId="0" fontId="0" fillId="0" borderId="0" xfId="0" applyBorder="1" applyAlignment="1">
      <alignment horizontal="left" vertical="center"/>
    </xf>
    <xf numFmtId="179" fontId="0" fillId="0" borderId="0" xfId="0" applyNumberFormat="1" applyBorder="1" applyAlignment="1">
      <alignment horizontal="left" vertical="center"/>
    </xf>
    <xf numFmtId="14" fontId="273" fillId="0" borderId="0" xfId="0" applyNumberFormat="1" applyFont="1" applyBorder="1" applyAlignment="1">
      <alignment horizontal="left" vertical="center"/>
    </xf>
    <xf numFmtId="0" fontId="0" fillId="0" borderId="47" xfId="0" applyBorder="1" applyAlignment="1">
      <alignment horizontal="left" vertical="center"/>
    </xf>
    <xf numFmtId="179" fontId="0" fillId="0" borderId="47" xfId="0" applyNumberFormat="1" applyBorder="1" applyAlignment="1">
      <alignment horizontal="left" vertical="center"/>
    </xf>
    <xf numFmtId="0" fontId="0" fillId="0" borderId="43" xfId="0" applyBorder="1" applyAlignment="1">
      <alignment horizontal="left" vertical="center"/>
    </xf>
    <xf numFmtId="179" fontId="0" fillId="0" borderId="0" xfId="0" applyNumberFormat="1" applyFill="1" applyBorder="1" applyAlignment="1">
      <alignment horizontal="left" vertical="center"/>
    </xf>
    <xf numFmtId="0" fontId="95" fillId="0" borderId="56" xfId="0" applyFont="1" applyBorder="1" applyAlignment="1">
      <alignment horizontal="left" vertical="center"/>
    </xf>
    <xf numFmtId="0" fontId="95" fillId="0" borderId="0" xfId="0" applyFont="1" applyBorder="1" applyAlignment="1">
      <alignment horizontal="left" vertical="center" wrapText="1"/>
    </xf>
    <xf numFmtId="0" fontId="0" fillId="0" borderId="0" xfId="0" applyBorder="1" applyAlignment="1">
      <alignment horizontal="left" vertical="center" wrapText="1"/>
    </xf>
    <xf numFmtId="0" fontId="95" fillId="0" borderId="56" xfId="0" applyFont="1" applyBorder="1" applyAlignment="1">
      <alignment horizontal="left" vertical="center" wrapText="1"/>
    </xf>
    <xf numFmtId="0" fontId="0" fillId="0" borderId="42" xfId="0" applyBorder="1" applyAlignment="1">
      <alignment horizontal="left" vertical="center"/>
    </xf>
    <xf numFmtId="0" fontId="95" fillId="0" borderId="47" xfId="0" applyFont="1" applyBorder="1" applyAlignment="1">
      <alignment horizontal="left" vertical="center"/>
    </xf>
    <xf numFmtId="9" fontId="0" fillId="0" borderId="18" xfId="17" applyFont="1" applyBorder="1" applyAlignment="1">
      <alignment horizontal="left" vertical="center"/>
    </xf>
    <xf numFmtId="14" fontId="95" fillId="0" borderId="0" xfId="0" applyNumberFormat="1" applyFont="1" applyAlignment="1">
      <alignment horizontal="left" vertical="center"/>
    </xf>
    <xf numFmtId="187" fontId="0" fillId="0" borderId="0" xfId="0" applyNumberFormat="1" applyBorder="1" applyAlignment="1">
      <alignment horizontal="left" vertical="center"/>
    </xf>
    <xf numFmtId="187" fontId="0" fillId="0" borderId="0" xfId="0" applyNumberFormat="1" applyFill="1" applyBorder="1" applyAlignment="1">
      <alignment horizontal="left" vertical="center"/>
    </xf>
    <xf numFmtId="187" fontId="0" fillId="0" borderId="47" xfId="0" applyNumberFormat="1" applyBorder="1" applyAlignment="1">
      <alignment horizontal="left" vertical="center"/>
    </xf>
    <xf numFmtId="187" fontId="95" fillId="0" borderId="0" xfId="0" applyNumberFormat="1" applyFont="1" applyAlignment="1">
      <alignment horizontal="left" vertical="center"/>
    </xf>
    <xf numFmtId="187" fontId="0" fillId="0" borderId="0" xfId="0" applyNumberFormat="1" applyAlignment="1">
      <alignment horizontal="left" vertical="center"/>
    </xf>
    <xf numFmtId="0" fontId="273" fillId="0" borderId="0" xfId="0" applyFont="1" applyAlignment="1">
      <alignment horizontal="left" vertical="center"/>
    </xf>
    <xf numFmtId="187" fontId="273" fillId="0" borderId="0" xfId="0" applyNumberFormat="1" applyFont="1" applyAlignment="1">
      <alignment horizontal="left" vertical="center"/>
    </xf>
    <xf numFmtId="0" fontId="274" fillId="0" borderId="0" xfId="0" applyFont="1" applyAlignment="1">
      <alignment horizontal="left" vertical="center"/>
    </xf>
    <xf numFmtId="0" fontId="95" fillId="0" borderId="0" xfId="0" applyNumberFormat="1" applyFont="1" applyAlignment="1">
      <alignment horizontal="left" vertical="center"/>
    </xf>
    <xf numFmtId="187" fontId="274" fillId="0" borderId="0" xfId="0" applyNumberFormat="1" applyFont="1" applyAlignment="1">
      <alignment horizontal="left" vertical="center"/>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95" fillId="0" borderId="0" xfId="0" applyFont="1" applyAlignment="1">
      <alignment horizontal="center" vertical="center"/>
    </xf>
    <xf numFmtId="0" fontId="0" fillId="0" borderId="0" xfId="0" applyAlignment="1">
      <alignment horizontal="center" vertical="center"/>
    </xf>
    <xf numFmtId="0" fontId="95" fillId="0" borderId="16" xfId="0" applyFont="1" applyBorder="1" applyAlignment="1">
      <alignment horizontal="center" vertical="center"/>
    </xf>
    <xf numFmtId="0" fontId="95" fillId="0" borderId="19" xfId="0" applyFont="1" applyBorder="1" applyAlignment="1">
      <alignment horizontal="center" vertical="center"/>
    </xf>
    <xf numFmtId="0" fontId="95" fillId="0" borderId="31" xfId="0" applyFont="1" applyBorder="1" applyAlignment="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275077</xdr:colOff>
      <xdr:row>34</xdr:row>
      <xdr:rowOff>161219</xdr:rowOff>
    </xdr:to>
    <xdr:pic>
      <xdr:nvPicPr>
        <xdr:cNvPr id="5" name="图片 4"/>
        <xdr:cNvPicPr>
          <a:picLocks noChangeAspect="1"/>
        </xdr:cNvPicPr>
      </xdr:nvPicPr>
      <xdr:blipFill>
        <a:blip xmlns:r="http://schemas.openxmlformats.org/officeDocument/2006/relationships" r:embed="rId1"/>
        <a:stretch>
          <a:fillRect/>
        </a:stretch>
      </xdr:blipFill>
      <xdr:spPr>
        <a:xfrm>
          <a:off x="0" y="11144250"/>
          <a:ext cx="9190477" cy="5647619"/>
        </a:xfrm>
        <a:prstGeom prst="rect">
          <a:avLst/>
        </a:prstGeom>
      </xdr:spPr>
    </xdr:pic>
    <xdr:clientData/>
  </xdr:twoCellAnchor>
  <xdr:twoCellAnchor editAs="oneCell">
    <xdr:from>
      <xdr:col>0</xdr:col>
      <xdr:colOff>9525</xdr:colOff>
      <xdr:row>35</xdr:row>
      <xdr:rowOff>9525</xdr:rowOff>
    </xdr:from>
    <xdr:to>
      <xdr:col>10</xdr:col>
      <xdr:colOff>151525</xdr:colOff>
      <xdr:row>62</xdr:row>
      <xdr:rowOff>47042</xdr:rowOff>
    </xdr:to>
    <xdr:pic>
      <xdr:nvPicPr>
        <xdr:cNvPr id="6" name="图片 5"/>
        <xdr:cNvPicPr>
          <a:picLocks noChangeAspect="1"/>
        </xdr:cNvPicPr>
      </xdr:nvPicPr>
      <xdr:blipFill>
        <a:blip xmlns:r="http://schemas.openxmlformats.org/officeDocument/2006/relationships" r:embed="rId2"/>
        <a:stretch>
          <a:fillRect/>
        </a:stretch>
      </xdr:blipFill>
      <xdr:spPr>
        <a:xfrm>
          <a:off x="9525" y="16811625"/>
          <a:ext cx="7000000" cy="4666667"/>
        </a:xfrm>
        <a:prstGeom prst="rect">
          <a:avLst/>
        </a:prstGeom>
      </xdr:spPr>
    </xdr:pic>
    <xdr:clientData/>
  </xdr:twoCellAnchor>
  <xdr:twoCellAnchor editAs="oneCell">
    <xdr:from>
      <xdr:col>0</xdr:col>
      <xdr:colOff>0</xdr:colOff>
      <xdr:row>64</xdr:row>
      <xdr:rowOff>0</xdr:rowOff>
    </xdr:from>
    <xdr:to>
      <xdr:col>12</xdr:col>
      <xdr:colOff>579924</xdr:colOff>
      <xdr:row>96</xdr:row>
      <xdr:rowOff>123124</xdr:rowOff>
    </xdr:to>
    <xdr:pic>
      <xdr:nvPicPr>
        <xdr:cNvPr id="7" name="图片 6"/>
        <xdr:cNvPicPr>
          <a:picLocks noChangeAspect="1"/>
        </xdr:cNvPicPr>
      </xdr:nvPicPr>
      <xdr:blipFill>
        <a:blip xmlns:r="http://schemas.openxmlformats.org/officeDocument/2006/relationships" r:embed="rId3"/>
        <a:stretch>
          <a:fillRect/>
        </a:stretch>
      </xdr:blipFill>
      <xdr:spPr>
        <a:xfrm>
          <a:off x="0" y="21774150"/>
          <a:ext cx="8809524" cy="5609524"/>
        </a:xfrm>
        <a:prstGeom prst="rect">
          <a:avLst/>
        </a:prstGeom>
      </xdr:spPr>
    </xdr:pic>
    <xdr:clientData/>
  </xdr:twoCellAnchor>
  <xdr:twoCellAnchor editAs="oneCell">
    <xdr:from>
      <xdr:col>0</xdr:col>
      <xdr:colOff>0</xdr:colOff>
      <xdr:row>97</xdr:row>
      <xdr:rowOff>0</xdr:rowOff>
    </xdr:from>
    <xdr:to>
      <xdr:col>10</xdr:col>
      <xdr:colOff>370572</xdr:colOff>
      <xdr:row>121</xdr:row>
      <xdr:rowOff>37581</xdr:rowOff>
    </xdr:to>
    <xdr:pic>
      <xdr:nvPicPr>
        <xdr:cNvPr id="8" name="图片 7"/>
        <xdr:cNvPicPr>
          <a:picLocks noChangeAspect="1"/>
        </xdr:cNvPicPr>
      </xdr:nvPicPr>
      <xdr:blipFill>
        <a:blip xmlns:r="http://schemas.openxmlformats.org/officeDocument/2006/relationships" r:embed="rId4"/>
        <a:stretch>
          <a:fillRect/>
        </a:stretch>
      </xdr:blipFill>
      <xdr:spPr>
        <a:xfrm>
          <a:off x="0" y="27432000"/>
          <a:ext cx="7228572" cy="4152381"/>
        </a:xfrm>
        <a:prstGeom prst="rect">
          <a:avLst/>
        </a:prstGeom>
      </xdr:spPr>
    </xdr:pic>
    <xdr:clientData/>
  </xdr:twoCellAnchor>
  <xdr:twoCellAnchor editAs="oneCell">
    <xdr:from>
      <xdr:col>0</xdr:col>
      <xdr:colOff>0</xdr:colOff>
      <xdr:row>122</xdr:row>
      <xdr:rowOff>0</xdr:rowOff>
    </xdr:from>
    <xdr:to>
      <xdr:col>12</xdr:col>
      <xdr:colOff>656115</xdr:colOff>
      <xdr:row>154</xdr:row>
      <xdr:rowOff>161219</xdr:rowOff>
    </xdr:to>
    <xdr:pic>
      <xdr:nvPicPr>
        <xdr:cNvPr id="9" name="图片 8"/>
        <xdr:cNvPicPr>
          <a:picLocks noChangeAspect="1"/>
        </xdr:cNvPicPr>
      </xdr:nvPicPr>
      <xdr:blipFill>
        <a:blip xmlns:r="http://schemas.openxmlformats.org/officeDocument/2006/relationships" r:embed="rId5"/>
        <a:stretch>
          <a:fillRect/>
        </a:stretch>
      </xdr:blipFill>
      <xdr:spPr>
        <a:xfrm>
          <a:off x="0" y="31718250"/>
          <a:ext cx="8885715" cy="5647619"/>
        </a:xfrm>
        <a:prstGeom prst="rect">
          <a:avLst/>
        </a:prstGeom>
      </xdr:spPr>
    </xdr:pic>
    <xdr:clientData/>
  </xdr:twoCellAnchor>
  <xdr:twoCellAnchor editAs="oneCell">
    <xdr:from>
      <xdr:col>0</xdr:col>
      <xdr:colOff>0</xdr:colOff>
      <xdr:row>155</xdr:row>
      <xdr:rowOff>47625</xdr:rowOff>
    </xdr:from>
    <xdr:to>
      <xdr:col>10</xdr:col>
      <xdr:colOff>675334</xdr:colOff>
      <xdr:row>184</xdr:row>
      <xdr:rowOff>85099</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37423725"/>
          <a:ext cx="7533334" cy="5009524"/>
        </a:xfrm>
        <a:prstGeom prst="rect">
          <a:avLst/>
        </a:prstGeom>
      </xdr:spPr>
    </xdr:pic>
    <xdr:clientData/>
  </xdr:twoCellAnchor>
  <xdr:twoCellAnchor editAs="oneCell">
    <xdr:from>
      <xdr:col>0</xdr:col>
      <xdr:colOff>0</xdr:colOff>
      <xdr:row>185</xdr:row>
      <xdr:rowOff>0</xdr:rowOff>
    </xdr:from>
    <xdr:to>
      <xdr:col>13</xdr:col>
      <xdr:colOff>46505</xdr:colOff>
      <xdr:row>217</xdr:row>
      <xdr:rowOff>161219</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42519600"/>
          <a:ext cx="8961905" cy="5647619"/>
        </a:xfrm>
        <a:prstGeom prst="rect">
          <a:avLst/>
        </a:prstGeom>
      </xdr:spPr>
    </xdr:pic>
    <xdr:clientData/>
  </xdr:twoCellAnchor>
  <xdr:twoCellAnchor editAs="oneCell">
    <xdr:from>
      <xdr:col>0</xdr:col>
      <xdr:colOff>0</xdr:colOff>
      <xdr:row>218</xdr:row>
      <xdr:rowOff>0</xdr:rowOff>
    </xdr:from>
    <xdr:to>
      <xdr:col>10</xdr:col>
      <xdr:colOff>418191</xdr:colOff>
      <xdr:row>246</xdr:row>
      <xdr:rowOff>66067</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48177450"/>
          <a:ext cx="7276191" cy="4866667"/>
        </a:xfrm>
        <a:prstGeom prst="rect">
          <a:avLst/>
        </a:prstGeom>
      </xdr:spPr>
    </xdr:pic>
    <xdr:clientData/>
  </xdr:twoCellAnchor>
  <xdr:twoCellAnchor editAs="oneCell">
    <xdr:from>
      <xdr:col>0</xdr:col>
      <xdr:colOff>0</xdr:colOff>
      <xdr:row>248</xdr:row>
      <xdr:rowOff>0</xdr:rowOff>
    </xdr:from>
    <xdr:to>
      <xdr:col>12</xdr:col>
      <xdr:colOff>560877</xdr:colOff>
      <xdr:row>281</xdr:row>
      <xdr:rowOff>46912</xdr:rowOff>
    </xdr:to>
    <xdr:pic>
      <xdr:nvPicPr>
        <xdr:cNvPr id="13" name="图片 12"/>
        <xdr:cNvPicPr>
          <a:picLocks noChangeAspect="1"/>
        </xdr:cNvPicPr>
      </xdr:nvPicPr>
      <xdr:blipFill>
        <a:blip xmlns:r="http://schemas.openxmlformats.org/officeDocument/2006/relationships" r:embed="rId9"/>
        <a:stretch>
          <a:fillRect/>
        </a:stretch>
      </xdr:blipFill>
      <xdr:spPr>
        <a:xfrm>
          <a:off x="0" y="53320950"/>
          <a:ext cx="8790477" cy="5704762"/>
        </a:xfrm>
        <a:prstGeom prst="rect">
          <a:avLst/>
        </a:prstGeom>
      </xdr:spPr>
    </xdr:pic>
    <xdr:clientData/>
  </xdr:twoCellAnchor>
  <xdr:twoCellAnchor editAs="oneCell">
    <xdr:from>
      <xdr:col>0</xdr:col>
      <xdr:colOff>0</xdr:colOff>
      <xdr:row>282</xdr:row>
      <xdr:rowOff>0</xdr:rowOff>
    </xdr:from>
    <xdr:to>
      <xdr:col>10</xdr:col>
      <xdr:colOff>361048</xdr:colOff>
      <xdr:row>309</xdr:row>
      <xdr:rowOff>27993</xdr:rowOff>
    </xdr:to>
    <xdr:pic>
      <xdr:nvPicPr>
        <xdr:cNvPr id="14" name="图片 13"/>
        <xdr:cNvPicPr>
          <a:picLocks noChangeAspect="1"/>
        </xdr:cNvPicPr>
      </xdr:nvPicPr>
      <xdr:blipFill>
        <a:blip xmlns:r="http://schemas.openxmlformats.org/officeDocument/2006/relationships" r:embed="rId10"/>
        <a:stretch>
          <a:fillRect/>
        </a:stretch>
      </xdr:blipFill>
      <xdr:spPr>
        <a:xfrm>
          <a:off x="0" y="59150250"/>
          <a:ext cx="7219048" cy="46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589363</xdr:colOff>
      <xdr:row>26</xdr:row>
      <xdr:rowOff>94681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04763" cy="4552381"/>
        </a:xfrm>
        <a:prstGeom prst="rect">
          <a:avLst/>
        </a:prstGeom>
      </xdr:spPr>
    </xdr:pic>
    <xdr:clientData/>
  </xdr:twoCellAnchor>
  <xdr:twoCellAnchor editAs="oneCell">
    <xdr:from>
      <xdr:col>0</xdr:col>
      <xdr:colOff>0</xdr:colOff>
      <xdr:row>27</xdr:row>
      <xdr:rowOff>0</xdr:rowOff>
    </xdr:from>
    <xdr:to>
      <xdr:col>9</xdr:col>
      <xdr:colOff>142086</xdr:colOff>
      <xdr:row>46</xdr:row>
      <xdr:rowOff>94831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6314286" cy="3352381"/>
        </a:xfrm>
        <a:prstGeom prst="rect">
          <a:avLst/>
        </a:prstGeom>
      </xdr:spPr>
    </xdr:pic>
    <xdr:clientData/>
  </xdr:twoCellAnchor>
  <xdr:twoCellAnchor editAs="oneCell">
    <xdr:from>
      <xdr:col>9</xdr:col>
      <xdr:colOff>200025</xdr:colOff>
      <xdr:row>26</xdr:row>
      <xdr:rowOff>57150</xdr:rowOff>
    </xdr:from>
    <xdr:to>
      <xdr:col>16</xdr:col>
      <xdr:colOff>380378</xdr:colOff>
      <xdr:row>51</xdr:row>
      <xdr:rowOff>113757</xdr:rowOff>
    </xdr:to>
    <xdr:pic>
      <xdr:nvPicPr>
        <xdr:cNvPr id="4" name="图片 3"/>
        <xdr:cNvPicPr>
          <a:picLocks noChangeAspect="1"/>
        </xdr:cNvPicPr>
      </xdr:nvPicPr>
      <xdr:blipFill>
        <a:blip xmlns:r="http://schemas.openxmlformats.org/officeDocument/2006/relationships" r:embed="rId3"/>
        <a:stretch>
          <a:fillRect/>
        </a:stretch>
      </xdr:blipFill>
      <xdr:spPr>
        <a:xfrm>
          <a:off x="6372225" y="4514850"/>
          <a:ext cx="4980953" cy="4342857"/>
        </a:xfrm>
        <a:prstGeom prst="rect">
          <a:avLst/>
        </a:prstGeom>
      </xdr:spPr>
    </xdr:pic>
    <xdr:clientData/>
  </xdr:twoCellAnchor>
  <xdr:twoCellAnchor editAs="oneCell">
    <xdr:from>
      <xdr:col>0</xdr:col>
      <xdr:colOff>0</xdr:colOff>
      <xdr:row>52</xdr:row>
      <xdr:rowOff>0</xdr:rowOff>
    </xdr:from>
    <xdr:to>
      <xdr:col>12</xdr:col>
      <xdr:colOff>332305</xdr:colOff>
      <xdr:row>75</xdr:row>
      <xdr:rowOff>56650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915400"/>
          <a:ext cx="8561905" cy="4000000"/>
        </a:xfrm>
        <a:prstGeom prst="rect">
          <a:avLst/>
        </a:prstGeom>
      </xdr:spPr>
    </xdr:pic>
    <xdr:clientData/>
  </xdr:twoCellAnchor>
  <xdr:twoCellAnchor editAs="oneCell">
    <xdr:from>
      <xdr:col>0</xdr:col>
      <xdr:colOff>0</xdr:colOff>
      <xdr:row>76</xdr:row>
      <xdr:rowOff>0</xdr:rowOff>
    </xdr:from>
    <xdr:to>
      <xdr:col>8</xdr:col>
      <xdr:colOff>313600</xdr:colOff>
      <xdr:row>99</xdr:row>
      <xdr:rowOff>123317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030200"/>
          <a:ext cx="5800000" cy="4066667"/>
        </a:xfrm>
        <a:prstGeom prst="rect">
          <a:avLst/>
        </a:prstGeom>
      </xdr:spPr>
    </xdr:pic>
    <xdr:clientData/>
  </xdr:twoCellAnchor>
  <xdr:twoCellAnchor editAs="oneCell">
    <xdr:from>
      <xdr:col>8</xdr:col>
      <xdr:colOff>333375</xdr:colOff>
      <xdr:row>76</xdr:row>
      <xdr:rowOff>104775</xdr:rowOff>
    </xdr:from>
    <xdr:to>
      <xdr:col>17</xdr:col>
      <xdr:colOff>427842</xdr:colOff>
      <xdr:row>88</xdr:row>
      <xdr:rowOff>28328</xdr:rowOff>
    </xdr:to>
    <xdr:pic>
      <xdr:nvPicPr>
        <xdr:cNvPr id="7" name="图片 6"/>
        <xdr:cNvPicPr>
          <a:picLocks noChangeAspect="1"/>
        </xdr:cNvPicPr>
      </xdr:nvPicPr>
      <xdr:blipFill>
        <a:blip xmlns:r="http://schemas.openxmlformats.org/officeDocument/2006/relationships" r:embed="rId6"/>
        <a:stretch>
          <a:fillRect/>
        </a:stretch>
      </xdr:blipFill>
      <xdr:spPr>
        <a:xfrm>
          <a:off x="5819775" y="13134975"/>
          <a:ext cx="6266667" cy="1980953"/>
        </a:xfrm>
        <a:prstGeom prst="rect">
          <a:avLst/>
        </a:prstGeom>
      </xdr:spPr>
    </xdr:pic>
    <xdr:clientData/>
  </xdr:twoCellAnchor>
  <xdr:twoCellAnchor editAs="oneCell">
    <xdr:from>
      <xdr:col>0</xdr:col>
      <xdr:colOff>0</xdr:colOff>
      <xdr:row>101</xdr:row>
      <xdr:rowOff>0</xdr:rowOff>
    </xdr:from>
    <xdr:to>
      <xdr:col>13</xdr:col>
      <xdr:colOff>170315</xdr:colOff>
      <xdr:row>132</xdr:row>
      <xdr:rowOff>132669</xdr:rowOff>
    </xdr:to>
    <xdr:pic>
      <xdr:nvPicPr>
        <xdr:cNvPr id="9" name="图片 8"/>
        <xdr:cNvPicPr>
          <a:picLocks noChangeAspect="1"/>
        </xdr:cNvPicPr>
      </xdr:nvPicPr>
      <xdr:blipFill>
        <a:blip xmlns:r="http://schemas.openxmlformats.org/officeDocument/2006/relationships" r:embed="rId7"/>
        <a:stretch>
          <a:fillRect/>
        </a:stretch>
      </xdr:blipFill>
      <xdr:spPr>
        <a:xfrm>
          <a:off x="0" y="17316450"/>
          <a:ext cx="9085715" cy="5447619"/>
        </a:xfrm>
        <a:prstGeom prst="rect">
          <a:avLst/>
        </a:prstGeom>
      </xdr:spPr>
    </xdr:pic>
    <xdr:clientData/>
  </xdr:twoCellAnchor>
  <xdr:twoCellAnchor editAs="oneCell">
    <xdr:from>
      <xdr:col>0</xdr:col>
      <xdr:colOff>0</xdr:colOff>
      <xdr:row>133</xdr:row>
      <xdr:rowOff>0</xdr:rowOff>
    </xdr:from>
    <xdr:to>
      <xdr:col>10</xdr:col>
      <xdr:colOff>342000</xdr:colOff>
      <xdr:row>154</xdr:row>
      <xdr:rowOff>66217</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22802850"/>
          <a:ext cx="7200000" cy="36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379753</xdr:colOff>
      <xdr:row>33</xdr:row>
      <xdr:rowOff>27886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980953" cy="5514286"/>
        </a:xfrm>
        <a:prstGeom prst="rect">
          <a:avLst/>
        </a:prstGeom>
      </xdr:spPr>
    </xdr:pic>
    <xdr:clientData/>
  </xdr:twoCellAnchor>
  <xdr:twoCellAnchor editAs="oneCell">
    <xdr:from>
      <xdr:col>0</xdr:col>
      <xdr:colOff>0</xdr:colOff>
      <xdr:row>37</xdr:row>
      <xdr:rowOff>0</xdr:rowOff>
    </xdr:from>
    <xdr:to>
      <xdr:col>12</xdr:col>
      <xdr:colOff>160877</xdr:colOff>
      <xdr:row>64</xdr:row>
      <xdr:rowOff>37517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8390477" cy="4666667"/>
        </a:xfrm>
        <a:prstGeom prst="rect">
          <a:avLst/>
        </a:prstGeom>
      </xdr:spPr>
    </xdr:pic>
    <xdr:clientData/>
  </xdr:twoCellAnchor>
  <xdr:twoCellAnchor editAs="oneCell">
    <xdr:from>
      <xdr:col>0</xdr:col>
      <xdr:colOff>0</xdr:colOff>
      <xdr:row>66</xdr:row>
      <xdr:rowOff>0</xdr:rowOff>
    </xdr:from>
    <xdr:to>
      <xdr:col>12</xdr:col>
      <xdr:colOff>56115</xdr:colOff>
      <xdr:row>97</xdr:row>
      <xdr:rowOff>161241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315700"/>
          <a:ext cx="8285715" cy="5476191"/>
        </a:xfrm>
        <a:prstGeom prst="rect">
          <a:avLst/>
        </a:prstGeom>
      </xdr:spPr>
    </xdr:pic>
    <xdr:clientData/>
  </xdr:twoCellAnchor>
  <xdr:twoCellAnchor editAs="oneCell">
    <xdr:from>
      <xdr:col>0</xdr:col>
      <xdr:colOff>0</xdr:colOff>
      <xdr:row>98</xdr:row>
      <xdr:rowOff>0</xdr:rowOff>
    </xdr:from>
    <xdr:to>
      <xdr:col>11</xdr:col>
      <xdr:colOff>551439</xdr:colOff>
      <xdr:row>127</xdr:row>
      <xdr:rowOff>142236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802100"/>
          <a:ext cx="8095239" cy="5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https://zhengfu.bjtzh.gov.cn/bjtz/xxfb/202308/1670775.shtml"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北京市通州区环科中路16号22幢1层101厂房用房房地产抵押价值预评估</v>
      </c>
    </row>
    <row r="3" spans="1:2" s="1203" customFormat="1">
      <c r="A3" s="1201" t="s">
        <v>523</v>
      </c>
      <c r="B3" s="1202">
        <f>'预评函-封皮'!B40</f>
        <v>0</v>
      </c>
    </row>
    <row r="4" spans="1:2" s="1203" customFormat="1">
      <c r="A4" s="1201" t="s">
        <v>524</v>
      </c>
      <c r="B4" s="1202" t="str">
        <f ca="1">'预评函-封皮'!B46</f>
        <v>郑燚（注册号：1120070131)、（注册号：0)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受贵公司委托，我公司对北京市通州区环科中路16号22幢1层101厂房用房房地产抵押价值进行了预评估。</v>
      </c>
    </row>
    <row r="7" spans="1:2" s="1203" customFormat="1">
      <c r="A7" s="1201" t="s">
        <v>566</v>
      </c>
      <c r="B7" s="1202" t="str">
        <f>'预评函-1'!A7</f>
        <v>估价对象为北京市通州区环科中路16号22幢1层101厂房用房房地产，为所有。根据《国有土地使用证》[]，估价对象（分摊）出让国有建设用地使用权面积为0平方米，建筑面积为585.52平方米。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通州区环科中路16号22幢1层101厂房用房房地产,属开发建设的工业项目，该项目尚在开发建设中。根据《国有土地使用证》[]，估价对象（分摊）出让国有建设用地使用权面积为0平方米，规划建筑面积为585.52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通州区环科中路16号22幢1层101厂房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2025年9月24日（评估专业人员实地查勘之日）</v>
      </c>
    </row>
    <row r="13" spans="1:2" s="1203" customFormat="1">
      <c r="A13" s="1201" t="s">
        <v>529</v>
      </c>
      <c r="B13" s="1202"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北京市通州区环科中路16号22幢1层101厂房用房房地产</v>
      </c>
    </row>
    <row r="42" spans="1:2" s="1203" customFormat="1">
      <c r="A42" s="1201" t="s">
        <v>590</v>
      </c>
      <c r="B42" s="1202" t="str">
        <f>'预评函-3'!B2</f>
        <v>建筑面积</v>
      </c>
    </row>
    <row r="43" spans="1:2" s="1203" customFormat="1">
      <c r="A43" s="1201" t="s">
        <v>591</v>
      </c>
      <c r="B43" s="1202">
        <f>'预评函-3'!B4</f>
        <v>585.52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环科中路16号22幢1层101厂房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7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3"/>
      <c r="B54" s="1554" t="s">
        <v>385</v>
      </c>
      <c r="C54" s="1551" t="s">
        <v>583</v>
      </c>
    </row>
    <row r="55" spans="1:4">
      <c r="A55" s="3573"/>
      <c r="B55" s="1554" t="s">
        <v>386</v>
      </c>
      <c r="C55" s="1551" t="s">
        <v>584</v>
      </c>
    </row>
    <row r="56" spans="1:4">
      <c r="A56" s="3573"/>
      <c r="B56" s="1554" t="s">
        <v>387</v>
      </c>
      <c r="C56" s="1551" t="s">
        <v>588</v>
      </c>
    </row>
    <row r="57" spans="1:4">
      <c r="A57" s="357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74" t="s">
        <v>2580</v>
      </c>
      <c r="J2" s="3574"/>
      <c r="K2" s="3574"/>
      <c r="L2" s="3574"/>
      <c r="M2" s="3574"/>
      <c r="N2" s="3574"/>
      <c r="O2" s="3574"/>
      <c r="P2" s="3574"/>
      <c r="Q2" s="3574"/>
      <c r="R2" s="3574"/>
    </row>
    <row r="3" spans="1:18">
      <c r="A3" s="3020" t="s">
        <v>2501</v>
      </c>
      <c r="B3" s="3021">
        <f>项目基本情况!D3</f>
        <v>45924</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1.23</v>
      </c>
      <c r="D5" s="3025">
        <f>IF(ISERROR(ROUND(POWER(1+E5,A5-C5)*(POWER(1+E5,C5)-1)/(POWER(1+E5,A5)-1),3)),0,ROUND(POWER(1+E5,A5-C5)*(POWER(1+E5,C5)-1)/(POWER(1+E5,A5)-1),4))</f>
        <v>5.9499999999999997E-2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11.24</v>
      </c>
      <c r="D6" s="3025">
        <f>IF(ISERROR(ROUND(POWER(1+E6,A6-C6)*(POWER(1+E6,C6)-1)/(POWER(1+E6,A6)-1),3)),0,ROUND(POWER(1+E6,A6-C6)*(POWER(1+E6,C6)-1)/(POWER(1+E6,A6)-1),4))</f>
        <v>0.41489999999999999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31.25</v>
      </c>
      <c r="D7" s="3025">
        <f>IF(ISERROR(ROUND(POWER(1+E7,A7-C7)*(POWER(1+E7,C7)-1)/(POWER(1+E7,A7)-1),3)),0,ROUND(POWER(1+E7,A7-C7)*(POWER(1+E7,C7)-1)/(POWER(1+E7,A7)-1),4))</f>
        <v>0.75490000000000002</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1" sqref="G2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83" t="str">
        <f>IF(B10="北京市","北京市",C10)&amp;F10&amp;IF(结果表!G1="在建","出让国有建设用地使用权及在建建筑物",IF(结果表!G1="土地","出让国有建设用地使用权",))&amp;B9&amp;"预评估"</f>
        <v>北京市通州区环科中路16号22幢1层101厂房用房房地产抵押价值预评估</v>
      </c>
      <c r="C1" s="3584"/>
      <c r="D1" s="3584"/>
      <c r="E1" s="3584"/>
      <c r="F1" s="3584"/>
      <c r="G1" s="3584"/>
      <c r="H1" s="3584"/>
      <c r="I1" s="358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北京市通州区环科中路16号22幢1层101厂房用房房地产抵押价值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北京市通州区环科中路16号22幢1层101厂房用房房地产</v>
      </c>
      <c r="T2" s="1745"/>
      <c r="U2" s="1745"/>
      <c r="V2" s="1745"/>
      <c r="W2" s="1745"/>
      <c r="X2" s="1745"/>
      <c r="Y2" s="1745"/>
      <c r="Z2" s="1745"/>
      <c r="AA2" s="1745"/>
      <c r="AB2" s="1745"/>
    </row>
    <row r="3" spans="1:30">
      <c r="A3" s="302" t="s">
        <v>2170</v>
      </c>
      <c r="B3" s="2373">
        <v>45924</v>
      </c>
      <c r="C3" s="2374" t="s">
        <v>2171</v>
      </c>
      <c r="D3" s="2373">
        <f>B3</f>
        <v>45924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3433</v>
      </c>
      <c r="C4" s="2376">
        <f ca="1">SUMIF(注册房地产估价师,B4,估价师及机构信息!B3:B24)</f>
        <v>1120070131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3417</v>
      </c>
      <c r="C8" s="2390"/>
      <c r="D8" s="3586" t="s">
        <v>2177</v>
      </c>
      <c r="E8" s="2391" t="s">
        <v>3418</v>
      </c>
      <c r="F8" s="2392"/>
      <c r="G8" s="2663"/>
      <c r="H8" s="2663"/>
      <c r="I8" s="2663"/>
      <c r="J8" s="2439"/>
      <c r="K8" s="2614"/>
      <c r="L8" s="2613"/>
      <c r="M8" s="2613"/>
      <c r="N8" s="2439"/>
      <c r="O8" s="2450"/>
      <c r="P8" s="2439"/>
      <c r="Q8" s="2439"/>
      <c r="R8" s="2439"/>
    </row>
    <row r="9" spans="1:30" ht="13.5" thickBot="1">
      <c r="A9" s="2393" t="s">
        <v>2178</v>
      </c>
      <c r="B9" s="2394" t="s">
        <v>3418</v>
      </c>
      <c r="C9" s="2395"/>
      <c r="D9" s="3587"/>
      <c r="E9" s="2394"/>
      <c r="F9" s="2396"/>
      <c r="G9" s="2665"/>
      <c r="H9" s="2665"/>
      <c r="I9" s="2665"/>
      <c r="J9" s="2439"/>
      <c r="K9" s="2616"/>
      <c r="L9" s="2613"/>
      <c r="M9" s="2613"/>
      <c r="N9" s="2439"/>
      <c r="O9" s="2450"/>
      <c r="P9" s="2439"/>
      <c r="Q9" s="2439"/>
      <c r="R9" s="2439"/>
    </row>
    <row r="10" spans="1:30" ht="13.5" thickTop="1">
      <c r="A10" s="2397" t="s">
        <v>2179</v>
      </c>
      <c r="B10" s="2398" t="s">
        <v>3419</v>
      </c>
      <c r="C10" s="2399"/>
      <c r="D10" s="2382"/>
      <c r="E10" s="2400" t="s">
        <v>2180</v>
      </c>
      <c r="F10" s="2666" t="s">
        <v>3434</v>
      </c>
      <c r="G10" s="2667"/>
      <c r="H10" s="2668"/>
      <c r="I10" s="2669"/>
      <c r="J10" s="2439"/>
      <c r="K10" s="2616"/>
      <c r="L10" s="2613"/>
      <c r="M10" s="2613"/>
      <c r="N10" s="2439"/>
      <c r="O10" s="2450"/>
      <c r="P10" s="2439"/>
      <c r="Q10" s="2439"/>
      <c r="R10" s="2439"/>
    </row>
    <row r="11" spans="1:30">
      <c r="A11" s="2401" t="s">
        <v>2181</v>
      </c>
      <c r="B11" s="2402" t="s">
        <v>3420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v>57525</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31.78</v>
      </c>
      <c r="I15" s="2410" t="str">
        <f>IF(A13="出让",IF(I13="","",ROUNDDOWN(MIN((I13-$D$3)/365,I14),2)),I14)</f>
        <v/>
      </c>
      <c r="J15" s="3064"/>
      <c r="K15" s="2451"/>
      <c r="L15" s="2451"/>
      <c r="M15" s="2509"/>
      <c r="N15" s="2451"/>
      <c r="O15" s="2509"/>
      <c r="P15" s="2439"/>
      <c r="Q15" s="2439"/>
      <c r="AD15" s="1745"/>
    </row>
    <row r="16" spans="1:30">
      <c r="A16" s="2400" t="s">
        <v>2193</v>
      </c>
      <c r="B16" s="3593"/>
      <c r="C16" s="3594"/>
      <c r="D16" s="3595"/>
      <c r="E16" s="2413" t="s">
        <v>2194</v>
      </c>
      <c r="F16" s="3596"/>
      <c r="G16" s="3597"/>
      <c r="H16" s="3597"/>
      <c r="I16" s="3598"/>
      <c r="J16" s="2439"/>
      <c r="K16" s="2617"/>
      <c r="L16" s="2451"/>
      <c r="M16" s="2451"/>
      <c r="N16" s="2509"/>
      <c r="O16" s="2451"/>
      <c r="P16" s="2509"/>
      <c r="Q16" s="2439"/>
      <c r="R16" s="2439"/>
    </row>
    <row r="17" spans="1:28">
      <c r="A17" s="313" t="s">
        <v>2195</v>
      </c>
      <c r="B17" s="302" t="s">
        <v>2196</v>
      </c>
      <c r="C17" s="8">
        <f>'数据-汇总表'!E3</f>
        <v>585.52</v>
      </c>
      <c r="D17" s="2322" t="s">
        <v>2197</v>
      </c>
      <c r="E17" s="3599" t="s">
        <v>2198</v>
      </c>
      <c r="F17" s="3600"/>
      <c r="G17" s="3600"/>
      <c r="H17" s="3600"/>
      <c r="I17" s="360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602" t="s">
        <v>2202</v>
      </c>
      <c r="F18" s="3603"/>
      <c r="G18" s="3603"/>
      <c r="H18" s="3603"/>
      <c r="I18" s="360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89" t="s">
        <v>2206</v>
      </c>
      <c r="C20" s="3590"/>
      <c r="D20" s="3591" t="s">
        <v>2207</v>
      </c>
      <c r="E20" s="3592"/>
      <c r="F20" s="2647" t="s">
        <v>1056</v>
      </c>
      <c r="G20" s="2664"/>
      <c r="H20" s="2664"/>
      <c r="I20" s="2664"/>
      <c r="J20" s="2439"/>
      <c r="K20" s="358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8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8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76" t="s">
        <v>2214</v>
      </c>
      <c r="B27" s="320" t="s">
        <v>2215</v>
      </c>
      <c r="C27" s="2416" t="s">
        <v>3421</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76"/>
      <c r="B28" s="302" t="s">
        <v>2216</v>
      </c>
      <c r="C28" s="2418" t="s">
        <v>3422</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76"/>
      <c r="B29" s="302" t="s">
        <v>2217</v>
      </c>
      <c r="C29" s="2420" t="s">
        <v>3423</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77"/>
      <c r="B30" s="302" t="s">
        <v>2218</v>
      </c>
      <c r="C30" s="3578"/>
      <c r="D30" s="3579"/>
      <c r="E30" s="2664"/>
      <c r="F30" s="2664"/>
      <c r="G30" s="2664"/>
      <c r="H30" s="2664"/>
      <c r="I30" s="2664"/>
      <c r="J30" s="2439"/>
      <c r="K30" s="2616"/>
      <c r="L30" s="2613"/>
      <c r="M30" s="2613"/>
      <c r="N30" s="2439"/>
      <c r="O30" s="2450"/>
      <c r="P30" s="2439"/>
      <c r="Q30" s="2439"/>
      <c r="R30" s="2439"/>
      <c r="S30" s="2439"/>
      <c r="T30" s="2439"/>
      <c r="U30" s="2439"/>
      <c r="V30" s="2439"/>
    </row>
    <row r="31" spans="1:28">
      <c r="A31" s="3580" t="s">
        <v>2219</v>
      </c>
      <c r="B31" s="2422" t="s">
        <v>3424</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8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8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75" t="s">
        <v>2228</v>
      </c>
      <c r="T34" s="2428" t="str">
        <f>NUMBERSTRING(7-K34,1)&amp;"通"</f>
        <v>七通</v>
      </c>
      <c r="U34" s="2439"/>
      <c r="V34" s="2439"/>
    </row>
    <row r="35" spans="1:30">
      <c r="A35" s="2429"/>
      <c r="B35" s="3582" t="s">
        <v>2229</v>
      </c>
      <c r="C35" s="3582"/>
      <c r="D35" s="3582"/>
      <c r="E35" s="358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305</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3425</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585.52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585.52</v>
      </c>
      <c r="H5" s="13">
        <f t="shared" ref="H5:AT5" si="0">SUM(H13:H656)</f>
        <v>585.52</v>
      </c>
      <c r="I5" s="13">
        <f t="shared" si="0"/>
        <v>585.52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585.52</v>
      </c>
      <c r="BA5" s="15">
        <f t="shared" si="1"/>
        <v>585.52</v>
      </c>
      <c r="BB5" s="15">
        <f t="shared" si="1"/>
        <v>585.52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3436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3435</v>
      </c>
      <c r="E13" s="13">
        <f>IF($C$3="是",ROUND($A$3*G13/$B$3,2),ROUND($A$3*(G13-AT13)/$B$3,2))</f>
        <v>0</v>
      </c>
      <c r="F13" s="29"/>
      <c r="G13" s="30">
        <f>H13+AC13+AT13</f>
        <v>585.52</v>
      </c>
      <c r="H13" s="17">
        <f>SUMIF(I$12:AB$12,"总值",I13:AB13)</f>
        <v>585.52</v>
      </c>
      <c r="I13" s="1626">
        <v>585.52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585.52</v>
      </c>
      <c r="BA13" s="13">
        <f>SUM(BB13:BK13)</f>
        <v>585.52</v>
      </c>
      <c r="BB13" s="13">
        <f>IF($D13="是",I13-J13,0)</f>
        <v>585.52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14" t="s">
        <v>1131</v>
      </c>
      <c r="B2" s="3614"/>
      <c r="C2" s="3614"/>
      <c r="D2" s="796" t="s">
        <v>1107</v>
      </c>
      <c r="E2" s="1639" t="s">
        <v>1108</v>
      </c>
      <c r="F2" s="2659"/>
      <c r="G2" s="2650"/>
      <c r="H2" s="2651"/>
      <c r="I2" s="2325" t="s">
        <v>1132</v>
      </c>
      <c r="J2" s="2659"/>
      <c r="K2" s="2659"/>
      <c r="L2" s="2659"/>
      <c r="M2" s="2659"/>
      <c r="N2" s="2661"/>
      <c r="O2" s="2659"/>
      <c r="P2" s="2659"/>
    </row>
    <row r="3" spans="1:16" ht="15.75" thickBot="1">
      <c r="A3" s="3615" t="s">
        <v>1105</v>
      </c>
      <c r="B3" s="3615"/>
      <c r="C3" s="3615"/>
      <c r="D3" s="43">
        <f>'数据-基础表'!AY6</f>
        <v>0</v>
      </c>
      <c r="E3" s="43">
        <f>'数据-基础表'!AZ5</f>
        <v>585.52</v>
      </c>
      <c r="F3" s="2659"/>
      <c r="G3" s="1145"/>
      <c r="H3" s="1026" t="s">
        <v>1106</v>
      </c>
      <c r="I3" s="855" t="e">
        <f>ROUND('数据-基础表'!B3/'数据-基础表'!A3,2)</f>
        <v>#DIV/0!</v>
      </c>
      <c r="J3" s="2659"/>
      <c r="K3" s="2659"/>
      <c r="L3" s="2659"/>
      <c r="M3" s="2659"/>
      <c r="N3" s="2661"/>
      <c r="O3" s="2659"/>
      <c r="P3" s="2659"/>
    </row>
    <row r="4" spans="1:16" ht="15">
      <c r="A4" s="3616"/>
      <c r="B4" s="3617"/>
      <c r="C4" s="361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619" t="s">
        <v>1110</v>
      </c>
      <c r="C5" s="361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619" t="s">
        <v>1111</v>
      </c>
      <c r="C6" s="3619"/>
      <c r="D6" s="45">
        <f>ROUND($D$3*E6/$E$3,2)</f>
        <v>0</v>
      </c>
      <c r="E6" s="46">
        <f>E3-E5</f>
        <v>585.52</v>
      </c>
      <c r="F6" s="2659"/>
      <c r="G6" s="2653" t="s">
        <v>1112</v>
      </c>
      <c r="H6" s="1146" t="s">
        <v>1113</v>
      </c>
      <c r="I6" s="2654" t="e">
        <f>ROUND(F31/D31,2)</f>
        <v>#DIV/0!</v>
      </c>
      <c r="J6" s="2659"/>
      <c r="K6" s="2659"/>
      <c r="L6" s="2659"/>
      <c r="M6" s="2659"/>
      <c r="N6" s="2659"/>
      <c r="O6" s="2659"/>
      <c r="P6" s="2659"/>
    </row>
    <row r="7" spans="1:16" ht="15.75" thickBot="1">
      <c r="A7" s="3611"/>
      <c r="B7" s="3612"/>
      <c r="C7" s="3613"/>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585.52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585.52</v>
      </c>
      <c r="F16" s="2659"/>
      <c r="G16" s="2660"/>
      <c r="H16" s="1648" t="s">
        <v>1135</v>
      </c>
      <c r="I16" s="1649"/>
      <c r="J16" s="1139"/>
      <c r="K16" s="3608" t="s">
        <v>1135</v>
      </c>
      <c r="L16" s="3609"/>
      <c r="M16" s="3609"/>
      <c r="N16" s="3609"/>
      <c r="O16" s="3609"/>
      <c r="P16" s="3610"/>
    </row>
    <row r="17" spans="1:19" ht="15">
      <c r="A17" s="1650" t="s">
        <v>1136</v>
      </c>
      <c r="B17" s="1651" t="s">
        <v>1137</v>
      </c>
      <c r="C17" s="1652" t="s">
        <v>1138</v>
      </c>
      <c r="D17" s="1653" t="s">
        <v>1126</v>
      </c>
      <c r="E17" s="1654" t="s">
        <v>1127</v>
      </c>
      <c r="F17" s="1655"/>
      <c r="G17" s="1656"/>
      <c r="H17" s="1657" t="s">
        <v>1139</v>
      </c>
      <c r="I17" s="1658" t="s">
        <v>1124</v>
      </c>
      <c r="J17" s="1139"/>
      <c r="K17" s="3605" t="s">
        <v>1140</v>
      </c>
      <c r="L17" s="3606"/>
      <c r="M17" s="3607"/>
      <c r="N17" s="3605" t="s">
        <v>1141</v>
      </c>
      <c r="O17" s="3606"/>
      <c r="P17" s="360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3437</v>
      </c>
      <c r="D19" s="45">
        <f>ROUND($D$3*E19/$E$3,2)</f>
        <v>0</v>
      </c>
      <c r="E19" s="53">
        <f t="shared" ref="E19:E26" si="1">SUM(F19:G19)</f>
        <v>585.52</v>
      </c>
      <c r="F19" s="2795">
        <f>'数据-基础表'!I13</f>
        <v>585.52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585.52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585.52</v>
      </c>
      <c r="F27" s="1140">
        <f>IF(SUM(F19:F26)=E8,SUM(F19:F26),"地上面积有误")</f>
        <v>585.52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585.52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585.52</v>
      </c>
      <c r="F31" s="677">
        <f>F27+F30</f>
        <v>585.52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45924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3438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57525</v>
      </c>
      <c r="F6" s="64">
        <f>SUMIF(项目基本情况!C$12:I$12,C6,项目基本情况!C$15:I$15)</f>
        <v>31.78</v>
      </c>
      <c r="G6" s="65">
        <f>IF(ISERROR(ROUND(POWER(1+H6,D6-F6)*(POWER(1+H6,F6)-1)/(POWER(1+H6,D6)-1),3)),0,ROUND(POWER(1+H6,D6-F6)*(POWER(1+H6,F6)-1)/(POWER(1+H6,D6)-1),3))</f>
        <v>0.86299999999999999</v>
      </c>
      <c r="H6" s="732">
        <v>0.05</v>
      </c>
      <c r="I6" s="732">
        <v>5.5E-2</v>
      </c>
      <c r="J6" s="66">
        <v>7.0000000000000007E-2</v>
      </c>
      <c r="K6" s="1030">
        <f>SUMIF('数据-汇总表'!C$19:C$33,A6,'数据-汇总表'!E$19:E$33)</f>
        <v>585.52</v>
      </c>
      <c r="L6" s="733">
        <v>3300</v>
      </c>
      <c r="M6" s="67">
        <f t="shared" ref="M6:M14" si="0">ROUND(K6*L6/10000,0)</f>
        <v>193</v>
      </c>
      <c r="N6" s="731">
        <f>ROUND(1-(1-0%)*(2025-N18)/60,2)</f>
        <v>0.77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f>租赁合同!G19</f>
        <v>0.98063999999999996</v>
      </c>
      <c r="V6" s="70">
        <v>0</v>
      </c>
      <c r="W6" s="70">
        <v>0</v>
      </c>
      <c r="X6" s="1040"/>
      <c r="Y6" s="71">
        <f>N6</f>
        <v>0.77</v>
      </c>
      <c r="Z6" s="72">
        <f>ROUND(AB20*(1+AA6)^AF6,2)</f>
        <v>1.64</v>
      </c>
      <c r="AA6" s="66">
        <v>1.4999999999999999E-2</v>
      </c>
      <c r="AB6" s="66">
        <v>0.1</v>
      </c>
      <c r="AC6" s="1040"/>
      <c r="AD6" s="73">
        <f>AB22</f>
        <v>0.73</v>
      </c>
      <c r="AE6" s="1041">
        <f ca="1">IF(AN6="",0,SUMIF(INDIRECT("'"&amp;AN6&amp;"'"&amp;"!E:E"),$AE$5,INDIRECT("'"&amp;AN6&amp;"'"&amp;"!F:F")))</f>
        <v>31.78</v>
      </c>
      <c r="AF6" s="1348">
        <f>AB19</f>
        <v>1.77</v>
      </c>
      <c r="AG6" s="138">
        <f ca="1">IF(AF6="",0,AE6-AF6)</f>
        <v>30.01</v>
      </c>
      <c r="AH6" s="74"/>
      <c r="AI6" s="76">
        <v>365</v>
      </c>
      <c r="AJ6" s="77"/>
      <c r="AK6" s="78">
        <v>3.0000000000000001E-3</v>
      </c>
      <c r="AL6" s="79">
        <v>1E-3</v>
      </c>
      <c r="AM6" s="80">
        <v>0.01</v>
      </c>
      <c r="AN6" s="1715" t="s">
        <v>3439</v>
      </c>
      <c r="AO6" s="52">
        <f ca="1">SUMIF(INDIRECT("'"&amp;AN6&amp;"'"&amp;"!A:A"),"总价",INDIRECT("'"&amp;AN6&amp;"'"&amp;"!B:B"))</f>
        <v>427.43090000000001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hidden="1">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0.86299999999999999</v>
      </c>
      <c r="H16" s="90">
        <f>ROUND(SUMPRODUCT(H6:H13,K6:K13)/SUMPRODUCT((H6:H13&gt;0)*(K6:K13)),3)</f>
        <v>0.05</v>
      </c>
      <c r="I16" s="91"/>
      <c r="J16" s="91"/>
      <c r="K16" s="92">
        <f>SUM(K6:K15)</f>
        <v>585.52</v>
      </c>
      <c r="L16" s="93">
        <f>ROUND(M16*10000/SUM(K6:K14),0)</f>
        <v>3296</v>
      </c>
      <c r="M16" s="93">
        <f>SUM(M6:M14)</f>
        <v>193</v>
      </c>
      <c r="N16" s="94">
        <f>ROUND(SUMPRODUCT(M6:M14,N6:N14)/M16,3)</f>
        <v>0.77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2011</v>
      </c>
      <c r="O18" s="2671"/>
      <c r="P18" s="2671"/>
      <c r="Q18" s="2671"/>
      <c r="R18" s="2671"/>
      <c r="S18" s="2671"/>
      <c r="T18" s="2671"/>
      <c r="U18" s="3532" t="s">
        <v>3540</v>
      </c>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3532" t="s">
        <v>3514</v>
      </c>
      <c r="AA19" s="2671"/>
      <c r="AB19" s="2671">
        <f>租赁合同!D16</f>
        <v>1.77</v>
      </c>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3532" t="s">
        <v>3537</v>
      </c>
      <c r="AA20" s="2671"/>
      <c r="AB20" s="2671">
        <f>'租金比较法-工业'!C43</f>
        <v>1.6</v>
      </c>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3532"/>
      <c r="AA21" s="2671"/>
      <c r="AB21" s="3532" t="s">
        <v>3538</v>
      </c>
      <c r="AC21" s="3532"/>
      <c r="AD21" s="3532"/>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3532" t="s">
        <v>3539</v>
      </c>
      <c r="AA22" s="2671"/>
      <c r="AB22" s="2671">
        <f>ROUND(1-(1-0%)*(2027-N18)/60,2)</f>
        <v>0.73</v>
      </c>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3485" t="s">
        <v>3440</v>
      </c>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3.1300000000000001E-2</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3495" t="s">
        <v>3478</v>
      </c>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hyperlinks>
    <hyperlink ref="E27" r:id="rId1"/>
  </hyperlinks>
  <pageMargins left="0.7" right="0.7" top="0.75" bottom="0.75" header="0.3" footer="0.3"/>
  <pageSetup paperSize="9" scale="25"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620" t="s">
        <v>2286</v>
      </c>
      <c r="B1" s="3621"/>
      <c r="C1" s="3621"/>
      <c r="D1" s="3621"/>
      <c r="E1" s="3621"/>
      <c r="F1" s="3621"/>
      <c r="G1" s="362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92"/>
  <sheetViews>
    <sheetView workbookViewId="0">
      <selection activeCell="K13" sqref="K13"/>
    </sheetView>
  </sheetViews>
  <sheetFormatPr defaultRowHeight="13.5"/>
  <cols>
    <col min="1" max="1" width="9" style="3254"/>
    <col min="2" max="2" width="12.125" style="3254" customWidth="1"/>
    <col min="3" max="3" width="14.25" style="3254" customWidth="1"/>
    <col min="4" max="4" width="13.625" style="3254" customWidth="1"/>
    <col min="5" max="5" width="15.75" style="3254" customWidth="1"/>
    <col min="6" max="6" width="13.625" style="3254" customWidth="1"/>
    <col min="7" max="7" width="13.125" style="3254" customWidth="1"/>
    <col min="8" max="8" width="12.75" style="3254" customWidth="1"/>
    <col min="9" max="9" width="15.125" style="3254" customWidth="1"/>
    <col min="10" max="10" width="13.875" style="3254" customWidth="1"/>
    <col min="11" max="11" width="12" style="3254" customWidth="1"/>
    <col min="12" max="12" width="12.625" style="3254" customWidth="1"/>
    <col min="13" max="16384" width="9" style="3254"/>
  </cols>
  <sheetData>
    <row r="1" spans="2:11" ht="14.25" thickBot="1"/>
    <row r="2" spans="2:11" ht="24.75" customHeight="1">
      <c r="B2" s="3624" t="s">
        <v>3513</v>
      </c>
      <c r="C2" s="3625"/>
      <c r="D2" s="3625"/>
      <c r="E2" s="3625"/>
      <c r="F2" s="3625"/>
      <c r="G2" s="3625"/>
      <c r="H2" s="3625"/>
      <c r="I2" s="3625"/>
      <c r="J2" s="3626"/>
    </row>
    <row r="3" spans="2:11">
      <c r="B3" s="3502" t="s">
        <v>3521</v>
      </c>
      <c r="C3" s="3503" t="s">
        <v>3492</v>
      </c>
      <c r="D3" s="3503" t="s">
        <v>3501</v>
      </c>
      <c r="E3" s="3503" t="s">
        <v>3503</v>
      </c>
      <c r="F3" s="3503" t="s">
        <v>3493</v>
      </c>
      <c r="G3" s="3503" t="s">
        <v>3496</v>
      </c>
      <c r="H3" s="3503" t="s">
        <v>3495</v>
      </c>
      <c r="I3" s="3503" t="s">
        <v>3516</v>
      </c>
      <c r="J3" s="3514" t="s">
        <v>3518</v>
      </c>
    </row>
    <row r="4" spans="2:11" ht="27">
      <c r="B4" s="3505">
        <v>2362.9399999999996</v>
      </c>
      <c r="C4" s="3507">
        <v>2360</v>
      </c>
      <c r="D4" s="3506">
        <v>44200</v>
      </c>
      <c r="E4" s="3506">
        <v>44654</v>
      </c>
      <c r="F4" s="3507">
        <v>861400</v>
      </c>
      <c r="G4" s="3522">
        <f t="shared" ref="G4:G9" si="0">F4/$C$4/H4</f>
        <v>0.80396475770925113</v>
      </c>
      <c r="H4" s="3507">
        <f>E4-D4</f>
        <v>454</v>
      </c>
      <c r="I4" s="3515" t="s">
        <v>3494</v>
      </c>
      <c r="J4" s="3514" t="s">
        <v>3519</v>
      </c>
      <c r="K4" s="3254">
        <f>F4/4</f>
        <v>215350</v>
      </c>
    </row>
    <row r="5" spans="2:11">
      <c r="B5" s="3505"/>
      <c r="C5" s="3507"/>
      <c r="D5" s="3506">
        <v>44655</v>
      </c>
      <c r="E5" s="3506">
        <v>45019</v>
      </c>
      <c r="F5" s="3507">
        <v>861400</v>
      </c>
      <c r="G5" s="3522">
        <f t="shared" si="0"/>
        <v>1</v>
      </c>
      <c r="H5" s="3507">
        <f>E5-D5+1</f>
        <v>365</v>
      </c>
      <c r="I5" s="3516"/>
      <c r="J5" s="3514" t="s">
        <v>3519</v>
      </c>
    </row>
    <row r="6" spans="2:11" ht="27">
      <c r="B6" s="3502" t="s">
        <v>3522</v>
      </c>
      <c r="C6" s="3507"/>
      <c r="D6" s="3506">
        <v>45020</v>
      </c>
      <c r="E6" s="3506">
        <v>45385</v>
      </c>
      <c r="F6" s="3507">
        <v>887242</v>
      </c>
      <c r="G6" s="3522">
        <f t="shared" si="0"/>
        <v>1.03</v>
      </c>
      <c r="H6" s="3507">
        <f>E6-D6</f>
        <v>365</v>
      </c>
      <c r="I6" s="3516"/>
      <c r="J6" s="3517" t="s">
        <v>3517</v>
      </c>
    </row>
    <row r="7" spans="2:11" ht="27">
      <c r="B7" s="3520">
        <f>C4/B4</f>
        <v>0.99875578728194558</v>
      </c>
      <c r="C7" s="3507"/>
      <c r="D7" s="3506">
        <v>45386</v>
      </c>
      <c r="E7" s="3506">
        <v>45780</v>
      </c>
      <c r="F7" s="3507">
        <v>887242</v>
      </c>
      <c r="G7" s="3522">
        <f t="shared" si="0"/>
        <v>0.95418781725888324</v>
      </c>
      <c r="H7" s="3507">
        <f t="shared" ref="H7:H9" si="1">E7-D7</f>
        <v>394</v>
      </c>
      <c r="I7" s="3515" t="s">
        <v>3504</v>
      </c>
      <c r="J7" s="3504"/>
    </row>
    <row r="8" spans="2:11" ht="27">
      <c r="B8" s="3505"/>
      <c r="C8" s="3507"/>
      <c r="D8" s="3506">
        <v>45781</v>
      </c>
      <c r="E8" s="3506">
        <v>46176</v>
      </c>
      <c r="F8" s="3507">
        <v>913945</v>
      </c>
      <c r="G8" s="3522">
        <f t="shared" si="0"/>
        <v>0.98041729242651787</v>
      </c>
      <c r="H8" s="3507">
        <f t="shared" si="1"/>
        <v>395</v>
      </c>
      <c r="I8" s="3515" t="s">
        <v>3505</v>
      </c>
      <c r="J8" s="3504"/>
    </row>
    <row r="9" spans="2:11" ht="27">
      <c r="B9" s="3505"/>
      <c r="C9" s="3507"/>
      <c r="D9" s="3506">
        <v>46177</v>
      </c>
      <c r="E9" s="3506">
        <v>46571</v>
      </c>
      <c r="F9" s="3507">
        <v>913945</v>
      </c>
      <c r="G9" s="3522">
        <f t="shared" si="0"/>
        <v>0.98290566118902178</v>
      </c>
      <c r="H9" s="3507">
        <f t="shared" si="1"/>
        <v>394</v>
      </c>
      <c r="I9" s="3515" t="s">
        <v>3506</v>
      </c>
      <c r="J9" s="3504"/>
    </row>
    <row r="10" spans="2:11">
      <c r="B10" s="3505"/>
      <c r="C10" s="3503"/>
      <c r="D10" s="3506"/>
      <c r="E10" s="3506"/>
      <c r="F10" s="3507">
        <f>SUM(F4:F9)</f>
        <v>5325174</v>
      </c>
      <c r="G10" s="3522"/>
      <c r="H10" s="3507"/>
      <c r="I10" s="3507"/>
      <c r="J10" s="3504"/>
    </row>
    <row r="11" spans="2:11">
      <c r="B11" s="3505"/>
      <c r="C11" s="3507"/>
      <c r="D11" s="3507"/>
      <c r="E11" s="3507"/>
      <c r="F11" s="3507"/>
      <c r="G11" s="3507"/>
      <c r="H11" s="3507"/>
      <c r="I11" s="3507"/>
      <c r="J11" s="3504"/>
    </row>
    <row r="12" spans="2:11">
      <c r="B12" s="3505"/>
      <c r="C12" s="3507"/>
      <c r="D12" s="3503" t="s">
        <v>3507</v>
      </c>
      <c r="E12" s="3503" t="s">
        <v>3503</v>
      </c>
      <c r="F12" s="3503" t="s">
        <v>3493</v>
      </c>
      <c r="G12" s="3503" t="s">
        <v>3496</v>
      </c>
      <c r="H12" s="3503" t="s">
        <v>3495</v>
      </c>
      <c r="I12" s="3507"/>
      <c r="J12" s="3504"/>
    </row>
    <row r="13" spans="2:11">
      <c r="B13" s="3505"/>
      <c r="C13" s="3507"/>
      <c r="D13" s="3509">
        <f>系统读取表!B3</f>
        <v>45924</v>
      </c>
      <c r="E13" s="3506">
        <f>E8</f>
        <v>46176</v>
      </c>
      <c r="F13" s="3508">
        <f>G8*H13*C4</f>
        <v>583073.77215189871</v>
      </c>
      <c r="G13" s="3522"/>
      <c r="H13" s="3507">
        <f>E13-D13</f>
        <v>252</v>
      </c>
      <c r="I13" s="3507"/>
      <c r="J13" s="3504"/>
    </row>
    <row r="14" spans="2:11">
      <c r="B14" s="3505"/>
      <c r="C14" s="3507"/>
      <c r="D14" s="3506">
        <f>D9</f>
        <v>46177</v>
      </c>
      <c r="E14" s="3506">
        <f>E9</f>
        <v>46571</v>
      </c>
      <c r="F14" s="3507">
        <f>F9</f>
        <v>913945</v>
      </c>
      <c r="G14" s="3522"/>
      <c r="H14" s="3507">
        <f t="shared" ref="H14" si="2">E14-D14</f>
        <v>394</v>
      </c>
      <c r="I14" s="3507"/>
      <c r="J14" s="3504"/>
    </row>
    <row r="15" spans="2:11">
      <c r="B15" s="3505"/>
      <c r="C15" s="3503"/>
      <c r="D15" s="3507"/>
      <c r="E15" s="3507"/>
      <c r="F15" s="3508">
        <f>SUM(F13:F14)</f>
        <v>1497018.7721518986</v>
      </c>
      <c r="G15" s="3522"/>
      <c r="H15" s="3507"/>
      <c r="I15" s="3507"/>
      <c r="J15" s="3504"/>
    </row>
    <row r="16" spans="2:11">
      <c r="B16" s="3505"/>
      <c r="C16" s="3503" t="s">
        <v>3515</v>
      </c>
      <c r="D16" s="3507">
        <f>ROUND((E14-D13)/365,2)</f>
        <v>1.77</v>
      </c>
      <c r="E16" s="3507"/>
      <c r="F16" s="3513">
        <f>F15/D16</f>
        <v>845773.31759994267</v>
      </c>
      <c r="G16" s="3523">
        <f>F16/C4/365</f>
        <v>0.98185897097741204</v>
      </c>
      <c r="H16" s="3507"/>
      <c r="I16" s="3503"/>
      <c r="J16" s="3504"/>
    </row>
    <row r="17" spans="2:14">
      <c r="B17" s="3505"/>
      <c r="C17" s="3503"/>
      <c r="D17" s="3507"/>
      <c r="E17" s="3507"/>
      <c r="F17" s="3507"/>
      <c r="G17" s="3507"/>
      <c r="H17" s="3507"/>
      <c r="I17" s="3507"/>
      <c r="J17" s="3504"/>
    </row>
    <row r="18" spans="2:14" ht="27">
      <c r="B18" s="3505"/>
      <c r="C18" s="3503" t="s">
        <v>3497</v>
      </c>
      <c r="D18" s="3503" t="s">
        <v>3432</v>
      </c>
      <c r="E18" s="3503" t="s">
        <v>3431</v>
      </c>
      <c r="F18" s="3515" t="s">
        <v>3511</v>
      </c>
      <c r="G18" s="3503" t="s">
        <v>3502</v>
      </c>
      <c r="H18" s="3507"/>
      <c r="I18" s="3507"/>
      <c r="J18" s="3504"/>
    </row>
    <row r="19" spans="2:14">
      <c r="B19" s="3505"/>
      <c r="C19" s="3503" t="s">
        <v>3427</v>
      </c>
      <c r="D19" s="3507">
        <v>585.52</v>
      </c>
      <c r="E19" s="3507">
        <v>5.8</v>
      </c>
      <c r="F19" s="3508">
        <f>D19/$D$23*$F$16</f>
        <v>209576.71075910455</v>
      </c>
      <c r="G19" s="3522">
        <f>ROUND(F19/D19/365,5)</f>
        <v>0.98063999999999996</v>
      </c>
      <c r="H19" s="3507"/>
      <c r="I19" s="3507"/>
      <c r="J19" s="3504"/>
    </row>
    <row r="20" spans="2:14">
      <c r="B20" s="3505"/>
      <c r="C20" s="3503" t="s">
        <v>3428</v>
      </c>
      <c r="D20" s="3507">
        <v>595.62</v>
      </c>
      <c r="E20" s="3507">
        <v>4</v>
      </c>
      <c r="F20" s="3508">
        <f t="shared" ref="F20:F22" si="3">D20/$D$23*$F$16</f>
        <v>213191.83027452155</v>
      </c>
      <c r="G20" s="3522">
        <f t="shared" ref="G20:G22" si="4">ROUND(F20/D20/365,5)</f>
        <v>0.98063999999999996</v>
      </c>
      <c r="H20" s="3507"/>
      <c r="I20" s="3507"/>
      <c r="J20" s="3504"/>
    </row>
    <row r="21" spans="2:14">
      <c r="B21" s="3505"/>
      <c r="C21" s="3503" t="s">
        <v>3429</v>
      </c>
      <c r="D21" s="3507">
        <v>596.28</v>
      </c>
      <c r="E21" s="3507">
        <v>4</v>
      </c>
      <c r="F21" s="3508">
        <f t="shared" si="3"/>
        <v>213428.06580721214</v>
      </c>
      <c r="G21" s="3522">
        <f t="shared" si="4"/>
        <v>0.98063999999999996</v>
      </c>
      <c r="H21" s="3507"/>
      <c r="I21" s="3507"/>
      <c r="J21" s="3504"/>
    </row>
    <row r="22" spans="2:14">
      <c r="B22" s="3505"/>
      <c r="C22" s="3503" t="s">
        <v>3430</v>
      </c>
      <c r="D22" s="3507">
        <v>585.52</v>
      </c>
      <c r="E22" s="3507">
        <v>4</v>
      </c>
      <c r="F22" s="3508">
        <f t="shared" si="3"/>
        <v>209576.71075910455</v>
      </c>
      <c r="G22" s="3522">
        <f t="shared" si="4"/>
        <v>0.98063999999999996</v>
      </c>
      <c r="H22" s="3507"/>
      <c r="I22" s="3507"/>
      <c r="J22" s="3504"/>
    </row>
    <row r="23" spans="2:14" ht="14.25" thickBot="1">
      <c r="B23" s="3518"/>
      <c r="C23" s="3519"/>
      <c r="D23" s="3510">
        <f>SUM(D19:D22)</f>
        <v>2362.9399999999996</v>
      </c>
      <c r="E23" s="3510"/>
      <c r="F23" s="3511">
        <f>SUM(F19:F22)</f>
        <v>845773.31759994279</v>
      </c>
      <c r="G23" s="3524"/>
      <c r="H23" s="3510"/>
      <c r="I23" s="3510"/>
      <c r="J23" s="3512"/>
    </row>
    <row r="24" spans="2:14">
      <c r="H24" s="3498"/>
    </row>
    <row r="25" spans="2:14">
      <c r="H25" s="3498"/>
    </row>
    <row r="26" spans="2:14" ht="24" customHeight="1">
      <c r="C26" s="3622" t="s">
        <v>3512</v>
      </c>
      <c r="D26" s="3623"/>
      <c r="E26" s="3623"/>
      <c r="F26" s="3623"/>
      <c r="G26" s="3623"/>
      <c r="H26" s="3623"/>
      <c r="I26" s="3623"/>
      <c r="J26" s="3623"/>
      <c r="K26" s="3530"/>
      <c r="L26" s="3530"/>
      <c r="M26" s="3290"/>
      <c r="N26" s="3290"/>
    </row>
    <row r="27" spans="2:14">
      <c r="B27" s="3498" t="s">
        <v>3497</v>
      </c>
      <c r="C27" s="3498" t="s">
        <v>3521</v>
      </c>
      <c r="D27" s="3498" t="s">
        <v>3500</v>
      </c>
      <c r="E27" s="3498" t="s">
        <v>3499</v>
      </c>
      <c r="F27" s="3498" t="s">
        <v>3501</v>
      </c>
      <c r="G27" s="3498" t="s">
        <v>3503</v>
      </c>
      <c r="H27" s="3498" t="s">
        <v>3493</v>
      </c>
      <c r="I27" s="3498" t="s">
        <v>3495</v>
      </c>
      <c r="J27" s="3498" t="s">
        <v>3502</v>
      </c>
    </row>
    <row r="28" spans="2:14">
      <c r="B28" s="3527" t="s">
        <v>3520</v>
      </c>
      <c r="C28" s="3527">
        <f>D19</f>
        <v>585.52</v>
      </c>
      <c r="D28" s="3527">
        <v>101</v>
      </c>
      <c r="E28" s="3527">
        <v>585.82000000000005</v>
      </c>
      <c r="F28" s="3501">
        <v>45397</v>
      </c>
      <c r="G28" s="3501">
        <v>45761</v>
      </c>
      <c r="H28" s="3527">
        <v>363315.16</v>
      </c>
      <c r="I28" s="3527">
        <f>G28-F28+1</f>
        <v>365</v>
      </c>
      <c r="J28" s="3528">
        <f>H28/$E$28/I28</f>
        <v>1.6991294254207774</v>
      </c>
      <c r="K28" s="3527" t="s">
        <v>3523</v>
      </c>
    </row>
    <row r="29" spans="2:14">
      <c r="B29" s="3527"/>
      <c r="C29" s="3527"/>
      <c r="D29" s="3527"/>
      <c r="E29" s="3527"/>
      <c r="F29" s="3501">
        <v>45762</v>
      </c>
      <c r="G29" s="3501">
        <v>46126</v>
      </c>
      <c r="H29" s="3527">
        <v>381480.92</v>
      </c>
      <c r="I29" s="3527">
        <f t="shared" ref="I29:I30" si="5">G29-F29+1</f>
        <v>365</v>
      </c>
      <c r="J29" s="3528">
        <f>H29/$E$28/I29</f>
        <v>1.78408590604529</v>
      </c>
      <c r="K29" s="3527" t="s">
        <v>3534</v>
      </c>
    </row>
    <row r="30" spans="2:14">
      <c r="B30" s="3527"/>
      <c r="C30" s="3527"/>
      <c r="D30" s="3527"/>
      <c r="E30" s="3527"/>
      <c r="F30" s="3501">
        <v>46127</v>
      </c>
      <c r="G30" s="3501">
        <v>46491</v>
      </c>
      <c r="H30" s="3527">
        <v>400501.54</v>
      </c>
      <c r="I30" s="3527">
        <f t="shared" si="5"/>
        <v>365</v>
      </c>
      <c r="J30" s="3528">
        <f>H30/$E$28/I30</f>
        <v>1.8730403420004178</v>
      </c>
      <c r="K30" s="3527" t="s">
        <v>3528</v>
      </c>
      <c r="L30" s="3254">
        <f>0.13*365*E28</f>
        <v>27797.159000000003</v>
      </c>
    </row>
    <row r="31" spans="2:14">
      <c r="B31" s="3498"/>
      <c r="D31" s="3498"/>
      <c r="E31" s="3498"/>
      <c r="F31" s="3498"/>
      <c r="G31" s="3498"/>
      <c r="H31" s="3498"/>
      <c r="I31" s="3498"/>
      <c r="J31" s="3525"/>
    </row>
    <row r="32" spans="2:14">
      <c r="B32" s="3527" t="s">
        <v>3525</v>
      </c>
      <c r="C32" s="3527">
        <f>D20</f>
        <v>595.62</v>
      </c>
      <c r="D32" s="3527">
        <v>201</v>
      </c>
      <c r="E32" s="3527">
        <v>596</v>
      </c>
      <c r="F32" s="3501">
        <v>45778</v>
      </c>
      <c r="G32" s="3501">
        <v>46142</v>
      </c>
      <c r="H32" s="3527">
        <v>261048</v>
      </c>
      <c r="I32" s="3527">
        <f t="shared" ref="I32" si="6">G32-F32+1</f>
        <v>365</v>
      </c>
      <c r="J32" s="3528">
        <f>H32/$E$28/I32</f>
        <v>1.2208528216858419</v>
      </c>
      <c r="K32" s="3527" t="s">
        <v>3536</v>
      </c>
      <c r="L32" s="3527"/>
    </row>
    <row r="33" spans="2:12">
      <c r="B33" s="3527"/>
      <c r="C33" s="3527"/>
      <c r="D33" s="3527"/>
      <c r="E33" s="3527"/>
      <c r="F33" s="3501">
        <v>46143</v>
      </c>
      <c r="G33" s="3501">
        <v>46507</v>
      </c>
      <c r="H33" s="3527">
        <v>261048</v>
      </c>
      <c r="I33" s="3527">
        <f t="shared" ref="I33" si="7">G33-F33+1</f>
        <v>365</v>
      </c>
      <c r="J33" s="3528">
        <f>H33/$E$28/I33</f>
        <v>1.2208528216858419</v>
      </c>
      <c r="K33" s="3527" t="s">
        <v>3508</v>
      </c>
      <c r="L33" s="3527"/>
    </row>
    <row r="34" spans="2:12">
      <c r="B34" s="3527"/>
      <c r="C34" s="3527"/>
      <c r="D34" s="3527"/>
      <c r="E34" s="3527"/>
      <c r="F34" s="3501"/>
      <c r="G34" s="3501"/>
      <c r="H34" s="3527"/>
      <c r="I34" s="3527"/>
      <c r="J34" s="3528"/>
      <c r="K34" s="3527"/>
      <c r="L34" s="3527"/>
    </row>
    <row r="35" spans="2:12">
      <c r="B35" s="3527"/>
      <c r="C35" s="3527"/>
      <c r="D35" s="3527"/>
      <c r="E35" s="3527"/>
      <c r="F35" s="3501"/>
      <c r="G35" s="3501"/>
      <c r="H35" s="3527"/>
      <c r="I35" s="3527"/>
      <c r="J35" s="3528"/>
      <c r="K35" s="3527"/>
      <c r="L35" s="3527"/>
    </row>
    <row r="36" spans="2:12">
      <c r="B36" s="3527" t="s">
        <v>3498</v>
      </c>
      <c r="C36" s="3527">
        <f>D22</f>
        <v>585.52</v>
      </c>
      <c r="D36" s="3527">
        <v>402</v>
      </c>
      <c r="E36" s="3527">
        <v>180</v>
      </c>
      <c r="F36" s="3501">
        <v>45525</v>
      </c>
      <c r="G36" s="3501">
        <v>45900</v>
      </c>
      <c r="H36" s="3527">
        <v>80000</v>
      </c>
      <c r="I36" s="3527">
        <f>G36-F36</f>
        <v>375</v>
      </c>
      <c r="J36" s="3528">
        <f>H36/$E$36/I36</f>
        <v>1.1851851851851851</v>
      </c>
      <c r="K36" s="3527" t="s">
        <v>3534</v>
      </c>
      <c r="L36" s="3527" t="s">
        <v>3510</v>
      </c>
    </row>
    <row r="37" spans="2:12">
      <c r="B37" s="3527"/>
      <c r="C37" s="3527"/>
      <c r="D37" s="3527"/>
      <c r="E37" s="3527"/>
      <c r="F37" s="3501">
        <v>45901</v>
      </c>
      <c r="G37" s="3501">
        <v>46265</v>
      </c>
      <c r="H37" s="3527">
        <v>84000</v>
      </c>
      <c r="I37" s="3527">
        <f t="shared" ref="I37:I38" si="8">G37-F37</f>
        <v>364</v>
      </c>
      <c r="J37" s="3528">
        <f t="shared" ref="J37:J38" si="9">H37/$E$36/I37</f>
        <v>1.2820512820512822</v>
      </c>
      <c r="K37" s="3527"/>
      <c r="L37" s="3527" t="s">
        <v>3533</v>
      </c>
    </row>
    <row r="38" spans="2:12">
      <c r="B38" s="3527"/>
      <c r="C38" s="3527"/>
      <c r="D38" s="3527"/>
      <c r="E38" s="3527"/>
      <c r="F38" s="3501">
        <v>46266</v>
      </c>
      <c r="G38" s="3501">
        <v>46630</v>
      </c>
      <c r="H38" s="3527">
        <v>88200</v>
      </c>
      <c r="I38" s="3527">
        <f t="shared" si="8"/>
        <v>364</v>
      </c>
      <c r="J38" s="3528">
        <f t="shared" si="9"/>
        <v>1.3461538461538463</v>
      </c>
      <c r="K38" s="3527"/>
      <c r="L38" s="3527"/>
    </row>
    <row r="39" spans="2:12">
      <c r="B39" s="3527"/>
      <c r="C39" s="3527"/>
      <c r="D39" s="3527"/>
      <c r="E39" s="3527"/>
      <c r="F39" s="3501"/>
      <c r="G39" s="3501"/>
      <c r="H39" s="3527"/>
      <c r="I39" s="3527"/>
      <c r="J39" s="3528"/>
      <c r="K39" s="3527"/>
      <c r="L39" s="3527"/>
    </row>
    <row r="40" spans="2:12">
      <c r="B40" s="3527"/>
      <c r="C40" s="3527"/>
      <c r="D40" s="3527">
        <v>407</v>
      </c>
      <c r="E40" s="3527">
        <v>60</v>
      </c>
      <c r="F40" s="3501">
        <v>45753</v>
      </c>
      <c r="G40" s="3501">
        <v>46117</v>
      </c>
      <c r="H40" s="3527">
        <v>36000</v>
      </c>
      <c r="I40" s="3527">
        <f t="shared" ref="I40" si="10">G40-F40+1</f>
        <v>365</v>
      </c>
      <c r="J40" s="3528">
        <f t="shared" ref="J40" si="11">H40/E40/I40</f>
        <v>1.6438356164383561</v>
      </c>
      <c r="K40" s="3527" t="s">
        <v>3508</v>
      </c>
      <c r="L40" s="3527" t="s">
        <v>3529</v>
      </c>
    </row>
    <row r="41" spans="2:12">
      <c r="B41" s="3527"/>
      <c r="C41" s="3527"/>
      <c r="J41" s="3500"/>
    </row>
    <row r="42" spans="2:12">
      <c r="B42" s="3527"/>
      <c r="C42" s="3527"/>
      <c r="D42" s="3527" t="s">
        <v>3532</v>
      </c>
      <c r="E42" s="3527">
        <v>70</v>
      </c>
      <c r="F42" s="3501">
        <v>45816</v>
      </c>
      <c r="G42" s="3501">
        <v>46180</v>
      </c>
      <c r="H42" s="3527">
        <v>42000</v>
      </c>
      <c r="I42" s="3527">
        <f t="shared" ref="I42" si="12">G42-F42+1</f>
        <v>365</v>
      </c>
      <c r="J42" s="3528">
        <f t="shared" ref="J42" si="13">H42/E42/I42</f>
        <v>1.6438356164383561</v>
      </c>
      <c r="K42" s="3527" t="s">
        <v>3508</v>
      </c>
      <c r="L42" s="3527" t="s">
        <v>3531</v>
      </c>
    </row>
    <row r="43" spans="2:12">
      <c r="B43" s="3527"/>
      <c r="C43" s="3527"/>
      <c r="D43" s="3527"/>
      <c r="E43" s="3527"/>
      <c r="F43" s="3501"/>
      <c r="G43" s="3501"/>
      <c r="H43" s="3527"/>
      <c r="I43" s="3527"/>
      <c r="J43" s="3528"/>
      <c r="K43" s="3527"/>
      <c r="L43" s="3527"/>
    </row>
    <row r="44" spans="2:12">
      <c r="B44" s="3527"/>
      <c r="C44" s="3527"/>
      <c r="D44" s="3527" t="s">
        <v>3544</v>
      </c>
      <c r="E44" s="3527">
        <f>E36+E40+E42</f>
        <v>310</v>
      </c>
      <c r="F44" s="3501"/>
      <c r="G44" s="3501"/>
      <c r="H44" s="3527"/>
      <c r="I44" s="3527"/>
      <c r="J44" s="3528"/>
      <c r="K44" s="3527"/>
      <c r="L44" s="3527"/>
    </row>
    <row r="45" spans="2:12">
      <c r="B45" s="3527"/>
      <c r="C45" s="3527"/>
      <c r="D45" s="3527"/>
      <c r="E45" s="3527"/>
      <c r="F45" s="3501"/>
      <c r="G45" s="3501"/>
      <c r="H45" s="3527"/>
      <c r="I45" s="3527"/>
      <c r="J45" s="3528"/>
      <c r="K45" s="3527"/>
      <c r="L45" s="3527"/>
    </row>
    <row r="46" spans="2:12">
      <c r="B46" s="3527"/>
      <c r="C46" s="3527"/>
      <c r="D46" s="3527"/>
      <c r="E46" s="3527"/>
      <c r="F46" s="3501"/>
      <c r="G46" s="3501"/>
      <c r="H46" s="3527"/>
      <c r="I46" s="3527"/>
      <c r="J46" s="3528"/>
      <c r="K46" s="3527"/>
      <c r="L46" s="3527"/>
    </row>
    <row r="47" spans="2:12" s="3529" customFormat="1">
      <c r="J47" s="3531"/>
    </row>
    <row r="48" spans="2:12">
      <c r="B48" s="3498" t="s">
        <v>3545</v>
      </c>
      <c r="D48" s="3498"/>
      <c r="E48" s="3498"/>
      <c r="F48" s="3498"/>
      <c r="G48" s="3498"/>
      <c r="H48" s="3498"/>
      <c r="I48" s="3498"/>
      <c r="J48" s="3525"/>
    </row>
    <row r="49" spans="2:12">
      <c r="B49" s="3498" t="s">
        <v>3526</v>
      </c>
      <c r="C49" s="3254">
        <f>D21</f>
        <v>596.28</v>
      </c>
      <c r="D49" s="3498">
        <v>301</v>
      </c>
      <c r="E49" s="3498">
        <v>430</v>
      </c>
      <c r="F49" s="3521">
        <v>44440</v>
      </c>
      <c r="G49" s="3521">
        <v>44804</v>
      </c>
      <c r="H49" s="3498">
        <v>204035</v>
      </c>
      <c r="I49" s="3498">
        <f>G49-F49+1</f>
        <v>365</v>
      </c>
      <c r="J49" s="3525">
        <f>H49/E49/I49</f>
        <v>1.3</v>
      </c>
      <c r="K49" s="3529" t="s">
        <v>3527</v>
      </c>
    </row>
    <row r="50" spans="2:12">
      <c r="B50" s="3498"/>
      <c r="D50" s="3498">
        <v>301</v>
      </c>
      <c r="E50" s="3498">
        <v>310</v>
      </c>
      <c r="F50" s="3521">
        <v>45536</v>
      </c>
      <c r="G50" s="3521">
        <v>45900</v>
      </c>
      <c r="H50" s="3498">
        <v>155000</v>
      </c>
      <c r="I50" s="3498">
        <f>G50-F50+1</f>
        <v>365</v>
      </c>
      <c r="J50" s="3525">
        <f>H50/E50/I50</f>
        <v>1.3698630136986301</v>
      </c>
      <c r="K50" s="3529" t="s">
        <v>3535</v>
      </c>
      <c r="L50" s="3529" t="s">
        <v>3534</v>
      </c>
    </row>
    <row r="51" spans="2:12">
      <c r="B51" s="3498"/>
      <c r="D51" s="3498"/>
      <c r="E51" s="3498"/>
      <c r="F51" s="3498"/>
      <c r="G51" s="3498"/>
      <c r="H51" s="3498"/>
      <c r="I51" s="3498"/>
      <c r="J51" s="3525"/>
    </row>
    <row r="52" spans="2:12">
      <c r="B52" s="3498"/>
      <c r="D52" s="3498"/>
      <c r="E52" s="3498"/>
      <c r="F52" s="3498"/>
      <c r="G52" s="3498"/>
      <c r="H52" s="3498"/>
      <c r="I52" s="3498"/>
      <c r="J52" s="3525"/>
    </row>
    <row r="53" spans="2:12">
      <c r="B53" s="3498"/>
      <c r="D53" s="3498"/>
      <c r="E53" s="3498"/>
      <c r="F53" s="3498"/>
      <c r="G53" s="3498"/>
      <c r="H53" s="3498"/>
      <c r="I53" s="3498"/>
      <c r="J53" s="3525"/>
    </row>
    <row r="54" spans="2:12">
      <c r="B54" s="3622" t="s">
        <v>3498</v>
      </c>
      <c r="D54" s="3623">
        <v>403</v>
      </c>
      <c r="E54" s="3623">
        <v>82.3</v>
      </c>
      <c r="F54" s="3499">
        <v>44630</v>
      </c>
      <c r="G54" s="3499">
        <v>44994</v>
      </c>
      <c r="H54" s="3254">
        <v>54000</v>
      </c>
      <c r="I54" s="3254">
        <f>G54-F54</f>
        <v>364</v>
      </c>
      <c r="J54" s="3526">
        <f>H54/$E$54/I54</f>
        <v>1.8025716689143179</v>
      </c>
    </row>
    <row r="55" spans="2:12">
      <c r="B55" s="3622"/>
      <c r="D55" s="3623"/>
      <c r="E55" s="3623"/>
      <c r="F55" s="3499">
        <v>44995</v>
      </c>
      <c r="G55" s="3499">
        <v>45360</v>
      </c>
      <c r="H55" s="3254">
        <v>56700</v>
      </c>
      <c r="I55" s="3254">
        <f t="shared" ref="I55:I56" si="14">G55-F55</f>
        <v>365</v>
      </c>
      <c r="J55" s="3526">
        <f t="shared" ref="J55:J56" si="15">H55/$E$54/I55</f>
        <v>1.8875147722165815</v>
      </c>
    </row>
    <row r="56" spans="2:12">
      <c r="B56" s="3622"/>
      <c r="D56" s="3623"/>
      <c r="E56" s="3623"/>
      <c r="F56" s="3499">
        <v>45361</v>
      </c>
      <c r="G56" s="3499">
        <v>45725</v>
      </c>
      <c r="H56" s="3254">
        <v>59535</v>
      </c>
      <c r="I56" s="3254">
        <f t="shared" si="14"/>
        <v>364</v>
      </c>
      <c r="J56" s="3526">
        <f t="shared" si="15"/>
        <v>1.9873352649780354</v>
      </c>
      <c r="K56" s="3498" t="s">
        <v>3509</v>
      </c>
    </row>
    <row r="57" spans="2:12">
      <c r="J57" s="3526"/>
    </row>
    <row r="58" spans="2:12">
      <c r="B58" s="3498" t="s">
        <v>3498</v>
      </c>
      <c r="D58" s="3254">
        <v>405</v>
      </c>
      <c r="E58" s="3254">
        <v>45</v>
      </c>
      <c r="F58" s="3499">
        <v>44658</v>
      </c>
      <c r="G58" s="3499">
        <v>45022</v>
      </c>
      <c r="H58" s="3254">
        <v>27600</v>
      </c>
      <c r="I58" s="3254">
        <f>G58-F58</f>
        <v>364</v>
      </c>
      <c r="J58" s="3526">
        <f>H58/E58/I58</f>
        <v>1.684981684981685</v>
      </c>
      <c r="K58" s="3498" t="s">
        <v>3509</v>
      </c>
    </row>
    <row r="59" spans="2:12">
      <c r="J59" s="3526"/>
    </row>
    <row r="60" spans="2:12">
      <c r="J60" s="3526"/>
    </row>
    <row r="61" spans="2:12">
      <c r="D61" s="3254">
        <v>404</v>
      </c>
      <c r="E61" s="3254">
        <v>190</v>
      </c>
      <c r="F61" s="3499">
        <v>44793</v>
      </c>
      <c r="G61" s="3499">
        <v>45157</v>
      </c>
      <c r="H61" s="3254">
        <v>100000</v>
      </c>
      <c r="I61" s="3254">
        <f>G61-F61+1</f>
        <v>365</v>
      </c>
      <c r="J61" s="3526">
        <f>H61/E61/I61</f>
        <v>1.4419610670511895</v>
      </c>
      <c r="K61" s="3498" t="s">
        <v>3508</v>
      </c>
      <c r="L61" s="3498" t="s">
        <v>3524</v>
      </c>
    </row>
    <row r="62" spans="2:12">
      <c r="J62" s="3526"/>
    </row>
    <row r="63" spans="2:12">
      <c r="D63" s="3254">
        <v>406</v>
      </c>
      <c r="E63" s="3254">
        <v>60</v>
      </c>
      <c r="F63" s="3499">
        <v>44641</v>
      </c>
      <c r="G63" s="3499">
        <v>45005</v>
      </c>
      <c r="H63" s="3254">
        <v>36000</v>
      </c>
      <c r="I63" s="3254">
        <f>G63-F63+1</f>
        <v>365</v>
      </c>
      <c r="J63" s="3526">
        <f>H63/E63/I63</f>
        <v>1.6438356164383561</v>
      </c>
      <c r="K63" s="3498" t="s">
        <v>3508</v>
      </c>
      <c r="L63" s="3498" t="s">
        <v>3529</v>
      </c>
    </row>
    <row r="64" spans="2:12">
      <c r="J64" s="3526"/>
    </row>
    <row r="65" spans="4:12">
      <c r="D65" s="3254">
        <v>401</v>
      </c>
      <c r="E65" s="3254">
        <v>125</v>
      </c>
      <c r="F65" s="3499">
        <v>45519</v>
      </c>
      <c r="G65" s="3499">
        <v>45883</v>
      </c>
      <c r="H65" s="3254">
        <v>68437</v>
      </c>
      <c r="I65" s="3254">
        <f t="shared" ref="I65" si="16">G65-F65+1</f>
        <v>365</v>
      </c>
      <c r="J65" s="3526">
        <f t="shared" ref="J65" si="17">H65/E65/I65</f>
        <v>1.4999890410958903</v>
      </c>
      <c r="K65" s="3498" t="s">
        <v>3509</v>
      </c>
      <c r="L65" s="3498" t="s">
        <v>3530</v>
      </c>
    </row>
    <row r="66" spans="4:12">
      <c r="J66" s="3526"/>
    </row>
    <row r="67" spans="4:12">
      <c r="J67" s="3500"/>
    </row>
    <row r="68" spans="4:12">
      <c r="J68" s="3500"/>
    </row>
    <row r="69" spans="4:12">
      <c r="J69" s="3500"/>
    </row>
    <row r="70" spans="4:12">
      <c r="J70" s="3500"/>
    </row>
    <row r="71" spans="4:12">
      <c r="J71" s="3500"/>
    </row>
    <row r="72" spans="4:12">
      <c r="J72" s="3500"/>
    </row>
    <row r="73" spans="4:12">
      <c r="J73" s="3500"/>
    </row>
    <row r="74" spans="4:12">
      <c r="J74" s="3500"/>
    </row>
    <row r="75" spans="4:12">
      <c r="J75" s="3500"/>
    </row>
    <row r="76" spans="4:12">
      <c r="J76" s="3500"/>
    </row>
    <row r="77" spans="4:12">
      <c r="J77" s="3500"/>
    </row>
    <row r="78" spans="4:12">
      <c r="J78" s="3500"/>
    </row>
    <row r="79" spans="4:12">
      <c r="J79" s="3500"/>
    </row>
    <row r="80" spans="4:12">
      <c r="J80" s="3500"/>
    </row>
    <row r="81" spans="10:10">
      <c r="J81" s="3500"/>
    </row>
    <row r="82" spans="10:10">
      <c r="J82" s="3500"/>
    </row>
    <row r="83" spans="10:10">
      <c r="J83" s="3500"/>
    </row>
    <row r="84" spans="10:10">
      <c r="J84" s="3500"/>
    </row>
    <row r="85" spans="10:10">
      <c r="J85" s="3500"/>
    </row>
    <row r="86" spans="10:10">
      <c r="J86" s="3500"/>
    </row>
    <row r="87" spans="10:10">
      <c r="J87" s="3500"/>
    </row>
    <row r="88" spans="10:10">
      <c r="J88" s="3500"/>
    </row>
    <row r="89" spans="10:10">
      <c r="J89" s="3500"/>
    </row>
    <row r="90" spans="10:10">
      <c r="J90" s="3500"/>
    </row>
    <row r="91" spans="10:10">
      <c r="J91" s="3500"/>
    </row>
    <row r="92" spans="10:10">
      <c r="J92" s="3500"/>
    </row>
  </sheetData>
  <mergeCells count="5">
    <mergeCell ref="C26:J26"/>
    <mergeCell ref="B54:B56"/>
    <mergeCell ref="D54:D56"/>
    <mergeCell ref="E54:E56"/>
    <mergeCell ref="B2:J2"/>
  </mergeCells>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B14" sqref="B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585.52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45924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579.43060000000003</v>
      </c>
      <c r="C5" s="2512">
        <f ca="1">IF(B5=D14,结果表!H102,ROUND(B5*10000/$B$1,0))</f>
        <v>0</v>
      </c>
      <c r="D5" s="2512" t="e">
        <f ca="1">ROUND(B5*10000/$B$2,0)</f>
        <v>#DIV/0!</v>
      </c>
      <c r="E5" s="2686"/>
      <c r="F5" s="2687"/>
      <c r="G5" s="2687"/>
      <c r="H5" s="2688"/>
      <c r="I5" s="2688"/>
      <c r="J5" s="2688"/>
      <c r="K5" s="2688"/>
    </row>
    <row r="6" spans="1:11" ht="16.5">
      <c r="A6" s="2512" t="s">
        <v>656</v>
      </c>
      <c r="B6" s="2512">
        <f ca="1">SUM(G14:G23)</f>
        <v>579.43060000000003</v>
      </c>
      <c r="C6" s="2512">
        <f ca="1">IF(B6=G14,结果表!H108,ROUND(B6*10000/$B$1,0))</f>
        <v>0</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585.52</v>
      </c>
      <c r="C14" s="2518"/>
      <c r="D14" s="2518">
        <f ca="1">结果表!G23/10000</f>
        <v>579.43060000000003</v>
      </c>
      <c r="E14" s="2518">
        <f ca="1">结果表!G20</f>
        <v>9896</v>
      </c>
      <c r="F14" s="2518" t="e">
        <f ca="1">ROUND(D14*10000/C14,0)</f>
        <v>#DIV/0!</v>
      </c>
      <c r="G14" s="2518">
        <f ca="1">D14</f>
        <v>579.43060000000003</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61" t="str">
        <f>项目基本情况!S2</f>
        <v>北京市通州区环科中路16号22幢1层101厂房用房房地产</v>
      </c>
      <c r="B2" s="3662"/>
      <c r="C2" s="3662"/>
      <c r="D2" s="3662"/>
      <c r="E2" s="3662"/>
      <c r="F2" s="3662"/>
      <c r="G2" s="3662"/>
      <c r="H2" s="3662"/>
      <c r="I2" s="3663"/>
    </row>
    <row r="3" spans="1:12" ht="12.75">
      <c r="A3" s="3665" t="s">
        <v>1264</v>
      </c>
      <c r="B3" s="3666"/>
      <c r="C3" s="3666"/>
      <c r="D3" s="3666"/>
      <c r="E3" s="3666"/>
      <c r="F3" s="3666"/>
      <c r="G3" s="3666"/>
      <c r="H3" s="3666"/>
      <c r="I3" s="3666"/>
    </row>
    <row r="4" spans="1:12" ht="14.25">
      <c r="A4" s="1754" t="s">
        <v>1265</v>
      </c>
      <c r="B4" s="1755" t="s">
        <v>1266</v>
      </c>
      <c r="C4" s="1756" t="s">
        <v>3444</v>
      </c>
      <c r="D4" s="1756" t="s">
        <v>3439</v>
      </c>
      <c r="E4" s="3667" t="s">
        <v>1267</v>
      </c>
      <c r="F4" s="3668"/>
      <c r="G4" s="3668"/>
      <c r="H4" s="3668"/>
      <c r="I4" s="366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41" t="s">
        <v>1268</v>
      </c>
      <c r="B5" s="3628">
        <v>25</v>
      </c>
      <c r="C5" s="3644"/>
      <c r="D5" s="3664"/>
      <c r="E5" s="131" t="s">
        <v>1269</v>
      </c>
      <c r="F5" s="1757"/>
      <c r="G5" s="1757"/>
      <c r="H5" s="1757"/>
      <c r="I5" s="1373"/>
    </row>
    <row r="6" spans="1:12" ht="12.75">
      <c r="A6" s="3641"/>
      <c r="B6" s="3628"/>
      <c r="C6" s="3645"/>
      <c r="D6" s="3664"/>
      <c r="E6" s="131" t="s">
        <v>1270</v>
      </c>
      <c r="F6" s="1757"/>
      <c r="G6" s="1757"/>
      <c r="H6" s="1757"/>
      <c r="I6" s="1373"/>
    </row>
    <row r="7" spans="1:12" ht="12.75">
      <c r="A7" s="3641"/>
      <c r="B7" s="3628"/>
      <c r="C7" s="3646"/>
      <c r="D7" s="3664"/>
      <c r="E7" s="131" t="s">
        <v>1271</v>
      </c>
      <c r="F7" s="1757"/>
      <c r="G7" s="1757"/>
      <c r="H7" s="1757"/>
      <c r="I7" s="1373"/>
    </row>
    <row r="8" spans="1:12" ht="12.75">
      <c r="A8" s="3641" t="s">
        <v>1272</v>
      </c>
      <c r="B8" s="3628">
        <v>15</v>
      </c>
      <c r="C8" s="3644"/>
      <c r="D8" s="3664"/>
      <c r="E8" s="131" t="s">
        <v>1273</v>
      </c>
      <c r="F8" s="1757"/>
      <c r="G8" s="1757"/>
      <c r="H8" s="1757"/>
      <c r="I8" s="1373"/>
    </row>
    <row r="9" spans="1:12" ht="12.75">
      <c r="A9" s="3641"/>
      <c r="B9" s="3628"/>
      <c r="C9" s="3646"/>
      <c r="D9" s="3664"/>
      <c r="E9" s="131" t="s">
        <v>1274</v>
      </c>
      <c r="F9" s="1757"/>
      <c r="G9" s="1757"/>
      <c r="H9" s="1757"/>
      <c r="I9" s="1373"/>
    </row>
    <row r="10" spans="1:12" ht="12.75">
      <c r="A10" s="3641" t="s">
        <v>1275</v>
      </c>
      <c r="B10" s="3628">
        <v>15</v>
      </c>
      <c r="C10" s="3644"/>
      <c r="D10" s="3664"/>
      <c r="E10" s="131" t="s">
        <v>1276</v>
      </c>
      <c r="F10" s="1757"/>
      <c r="G10" s="1757"/>
      <c r="H10" s="1757"/>
      <c r="I10" s="1373"/>
    </row>
    <row r="11" spans="1:12" ht="12.75">
      <c r="A11" s="3641"/>
      <c r="B11" s="3628"/>
      <c r="C11" s="3646"/>
      <c r="D11" s="3664"/>
      <c r="E11" s="131" t="s">
        <v>1277</v>
      </c>
      <c r="F11" s="1757"/>
      <c r="G11" s="1757"/>
      <c r="H11" s="1757"/>
      <c r="I11" s="1373"/>
    </row>
    <row r="12" spans="1:12" ht="12.75">
      <c r="A12" s="3641" t="s">
        <v>1278</v>
      </c>
      <c r="B12" s="3628">
        <v>15</v>
      </c>
      <c r="C12" s="3644"/>
      <c r="D12" s="3664"/>
      <c r="E12" s="131" t="s">
        <v>1279</v>
      </c>
      <c r="F12" s="1757"/>
      <c r="G12" s="1757"/>
      <c r="H12" s="1757"/>
      <c r="I12" s="1373"/>
    </row>
    <row r="13" spans="1:12" ht="12.75">
      <c r="A13" s="3641"/>
      <c r="B13" s="3628"/>
      <c r="C13" s="3646"/>
      <c r="D13" s="3664"/>
      <c r="E13" s="131" t="s">
        <v>1280</v>
      </c>
      <c r="F13" s="1757"/>
      <c r="G13" s="1757"/>
      <c r="H13" s="1757"/>
      <c r="I13" s="1373"/>
    </row>
    <row r="14" spans="1:12" ht="12.75">
      <c r="A14" s="3641" t="s">
        <v>1281</v>
      </c>
      <c r="B14" s="3628">
        <v>30</v>
      </c>
      <c r="C14" s="3644">
        <v>7</v>
      </c>
      <c r="D14" s="3664">
        <v>3</v>
      </c>
      <c r="E14" s="131" t="s">
        <v>1282</v>
      </c>
      <c r="F14" s="1757"/>
      <c r="G14" s="1757"/>
      <c r="H14" s="1757"/>
      <c r="I14" s="1373"/>
    </row>
    <row r="15" spans="1:12" ht="12.75">
      <c r="A15" s="3641"/>
      <c r="B15" s="3628"/>
      <c r="C15" s="3645"/>
      <c r="D15" s="3664"/>
      <c r="E15" s="131" t="s">
        <v>1283</v>
      </c>
      <c r="F15" s="1757"/>
      <c r="G15" s="1757"/>
      <c r="H15" s="1757"/>
      <c r="I15" s="1373"/>
    </row>
    <row r="16" spans="1:12" ht="12.75">
      <c r="A16" s="3641"/>
      <c r="B16" s="3628"/>
      <c r="C16" s="3646"/>
      <c r="D16" s="3664"/>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51" t="s">
        <v>2131</v>
      </c>
      <c r="F18" s="3652"/>
      <c r="G18" s="3652"/>
      <c r="H18" s="3652"/>
      <c r="I18" s="3652"/>
      <c r="K18" s="302" t="s">
        <v>1289</v>
      </c>
      <c r="L18" s="302">
        <f>IF(C1="",'数据-汇总表'!E3,SUMIF(项目类型,C1,'数据-汇总表'!E17:E26)+SUMIF(项目类型,C1,'数据-汇总表'!I17:I26))</f>
        <v>585.52</v>
      </c>
      <c r="M18" s="302">
        <f>IF(C1="",'数据-汇总表'!E3,SUMIF(项目类型,C1,'数据-汇总表'!E17:E26))</f>
        <v>585.52</v>
      </c>
    </row>
    <row r="19" spans="1:36" ht="15">
      <c r="A19" s="1761" t="s">
        <v>1290</v>
      </c>
      <c r="B19" s="1762" t="s">
        <v>1291</v>
      </c>
      <c r="C19" s="134">
        <f ca="1">SUMIF(INDIRECT("'"&amp;C4&amp;"'"&amp;"!A:A"),结果表!B19,INDIRECT("'"&amp;C4&amp;"'"&amp;"!B:B"))</f>
        <v>644.55280000000005</v>
      </c>
      <c r="D19" s="135">
        <f ca="1">SUMIF(INDIRECT("'"&amp;D4&amp;"'"&amp;"!A:A"),结果表!B19,INDIRECT("'"&amp;D4&amp;"'"&amp;"!B:B"))</f>
        <v>427.43090000000001</v>
      </c>
      <c r="E19" s="1761" t="s">
        <v>1292</v>
      </c>
      <c r="F19" s="1762" t="s">
        <v>1291</v>
      </c>
      <c r="G19" s="136">
        <f ca="1">ROUND(C19*$C$18+D19*$D$18,0)</f>
        <v>579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11008</v>
      </c>
      <c r="D20" s="138">
        <f ca="1">SUMIF(INDIRECT("'"&amp;D4&amp;"'"&amp;"!A:A"),结果表!B20,INDIRECT("'"&amp;D4&amp;"'"&amp;"!B:B"))</f>
        <v>7300</v>
      </c>
      <c r="E20" s="1764"/>
      <c r="F20" s="1026" t="s">
        <v>1295</v>
      </c>
      <c r="G20" s="139">
        <f ca="1">ROUND(C20*$C$18+D20*$D$18,0)</f>
        <v>9896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0.50796959227795657</v>
      </c>
      <c r="E22" s="129"/>
      <c r="F22" s="129"/>
      <c r="G22" s="129"/>
      <c r="H22" s="129"/>
      <c r="I22" s="129"/>
    </row>
    <row r="23" spans="1:36" ht="13.5" thickBot="1">
      <c r="A23" s="1747"/>
      <c r="B23" s="1747"/>
      <c r="C23" s="1747"/>
      <c r="D23" s="1747"/>
      <c r="E23" s="129"/>
      <c r="F23" s="129"/>
      <c r="G23" s="129">
        <f ca="1">ROUND(G20*'数据-汇总表'!E3,0)</f>
        <v>5794306</v>
      </c>
      <c r="H23" s="129"/>
      <c r="I23" s="129"/>
    </row>
    <row r="24" spans="1:36" ht="14.25">
      <c r="A24" s="3635" t="s">
        <v>1299</v>
      </c>
      <c r="B24" s="1762" t="s">
        <v>1291</v>
      </c>
      <c r="C24" s="136">
        <f>IF(B30=0,0,D30)</f>
        <v>0</v>
      </c>
      <c r="D24" s="1769"/>
      <c r="E24" s="129"/>
      <c r="F24" s="129"/>
      <c r="G24" s="129"/>
      <c r="H24" s="129"/>
      <c r="I24" s="129"/>
    </row>
    <row r="25" spans="1:36" ht="14.25">
      <c r="A25" s="363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9896</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55" t="s">
        <v>1312</v>
      </c>
      <c r="B36" s="1787" t="s">
        <v>1313</v>
      </c>
      <c r="C36" s="145"/>
      <c r="D36" s="1788"/>
      <c r="E36" s="1789"/>
      <c r="F36" s="1790"/>
      <c r="G36" s="129"/>
      <c r="H36" s="129"/>
      <c r="I36" s="129"/>
    </row>
    <row r="37" spans="1:15" ht="15.75" thickBot="1">
      <c r="A37" s="3656"/>
      <c r="B37" s="1674" t="s">
        <v>1314</v>
      </c>
      <c r="C37" s="147"/>
      <c r="D37" s="1139"/>
      <c r="E37" s="1139"/>
      <c r="F37" s="1790"/>
      <c r="G37" s="129"/>
      <c r="H37" s="129"/>
      <c r="I37" s="129"/>
    </row>
    <row r="38" spans="1:15" ht="15.75" thickBot="1">
      <c r="A38" s="365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2" t="s">
        <v>1326</v>
      </c>
      <c r="B45" s="3633"/>
      <c r="C45" s="3634"/>
      <c r="D45" s="155" t="e">
        <f ca="1">ROUND(H101*F45,0)</f>
        <v>#REF!</v>
      </c>
      <c r="E45" s="156" t="s">
        <v>1327</v>
      </c>
      <c r="F45" s="157">
        <v>1</v>
      </c>
      <c r="G45" s="158" t="s">
        <v>1328</v>
      </c>
      <c r="H45" s="129"/>
      <c r="I45" s="129"/>
      <c r="J45" s="3710" t="s">
        <v>1329</v>
      </c>
      <c r="K45" s="3710"/>
      <c r="L45" s="3710"/>
      <c r="M45" s="3710"/>
      <c r="N45" s="3710"/>
      <c r="O45" s="3710"/>
    </row>
    <row r="46" spans="1:15" ht="14.25" customHeight="1">
      <c r="A46" s="3629" t="s">
        <v>1330</v>
      </c>
      <c r="B46" s="3630"/>
      <c r="C46" s="3630"/>
      <c r="D46" s="3630"/>
      <c r="E46" s="3630"/>
      <c r="F46" s="3630"/>
      <c r="G46" s="3631"/>
      <c r="H46" s="1806"/>
      <c r="I46" s="159"/>
      <c r="J46" s="2523">
        <v>1</v>
      </c>
      <c r="K46" s="3691" t="s">
        <v>1331</v>
      </c>
      <c r="L46" s="3691"/>
      <c r="M46" s="3711"/>
      <c r="N46" s="3711"/>
      <c r="O46" s="3711"/>
    </row>
    <row r="47" spans="1:15" ht="12" customHeight="1">
      <c r="A47" s="160" t="s">
        <v>1332</v>
      </c>
      <c r="B47" s="161"/>
      <c r="C47" s="162"/>
      <c r="D47" s="1087" t="s">
        <v>1333</v>
      </c>
      <c r="E47" s="302" t="s">
        <v>1334</v>
      </c>
      <c r="F47" s="163" t="s">
        <v>1335</v>
      </c>
      <c r="G47" s="2546" t="s">
        <v>1336</v>
      </c>
      <c r="H47" s="2547"/>
      <c r="I47" s="159"/>
      <c r="J47" s="2523">
        <v>2</v>
      </c>
      <c r="K47" s="3691" t="s">
        <v>1337</v>
      </c>
      <c r="L47" s="3691"/>
      <c r="M47" s="3712">
        <f>'数据-取费表'!B2</f>
        <v>45924</v>
      </c>
      <c r="N47" s="3712"/>
      <c r="O47" s="3712"/>
    </row>
    <row r="48" spans="1:15" ht="25.5">
      <c r="A48" s="3660" t="s">
        <v>1338</v>
      </c>
      <c r="B48" s="3643"/>
      <c r="C48" s="3643"/>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91" t="s">
        <v>1340</v>
      </c>
      <c r="L48" s="3691"/>
      <c r="M48" s="3713" t="e">
        <f ca="1">H101</f>
        <v>#REF!</v>
      </c>
      <c r="N48" s="3713"/>
      <c r="O48" s="3713"/>
    </row>
    <row r="49" spans="1:35" ht="25.5" customHeight="1">
      <c r="A49" s="2333" t="s">
        <v>1341</v>
      </c>
      <c r="B49" s="3627" t="s">
        <v>1342</v>
      </c>
      <c r="C49" s="3627"/>
      <c r="D49" s="1590">
        <v>0</v>
      </c>
      <c r="E49" s="324" t="s">
        <v>1343</v>
      </c>
      <c r="F49" s="2424" t="s">
        <v>28</v>
      </c>
      <c r="G49" s="3697"/>
      <c r="H49" s="2310" t="s">
        <v>2134</v>
      </c>
      <c r="I49" s="2311"/>
      <c r="J49" s="2523">
        <v>4</v>
      </c>
      <c r="K49" s="3691" t="str">
        <f>IF(项目基本情况!E8="房地产抵押价值","房地产抵押价值","抵押担保权已注销时的房地产抵押价值")</f>
        <v>房地产抵押价值</v>
      </c>
      <c r="L49" s="3691"/>
      <c r="M49" s="3713" t="str">
        <f ca="1">IF(项目基本情况!E8="房地产抵押价值",H107,H109)</f>
        <v>——</v>
      </c>
      <c r="N49" s="3713"/>
      <c r="O49" s="3713"/>
    </row>
    <row r="50" spans="1:35" ht="25.5" customHeight="1">
      <c r="A50" s="2551"/>
      <c r="B50" s="3627" t="s">
        <v>1344</v>
      </c>
      <c r="C50" s="3627"/>
      <c r="D50" s="2552"/>
      <c r="E50" s="332"/>
      <c r="F50" s="2424"/>
      <c r="G50" s="3698"/>
      <c r="H50" s="2312" t="s">
        <v>2135</v>
      </c>
      <c r="I50" s="2311"/>
      <c r="J50" s="3710" t="s">
        <v>1345</v>
      </c>
      <c r="K50" s="3710"/>
      <c r="L50" s="3710"/>
      <c r="M50" s="3710"/>
      <c r="N50" s="3710"/>
      <c r="O50" s="3710"/>
    </row>
    <row r="51" spans="1:35" ht="20.45" customHeight="1">
      <c r="A51" s="2553"/>
      <c r="B51" s="3627" t="s">
        <v>1346</v>
      </c>
      <c r="C51" s="3627"/>
      <c r="D51" s="1087"/>
      <c r="E51" s="327"/>
      <c r="F51" s="2424"/>
      <c r="G51" s="3699"/>
      <c r="H51" s="2312" t="s">
        <v>2136</v>
      </c>
      <c r="I51" s="2311"/>
      <c r="J51" s="2524" t="s">
        <v>1347</v>
      </c>
      <c r="K51" s="3691" t="s">
        <v>1348</v>
      </c>
      <c r="L51" s="3691"/>
      <c r="M51" s="2524" t="s">
        <v>1349</v>
      </c>
      <c r="N51" s="2524" t="s">
        <v>1350</v>
      </c>
      <c r="O51" s="2524" t="s">
        <v>1351</v>
      </c>
    </row>
    <row r="52" spans="1:35" ht="24" customHeight="1">
      <c r="A52" s="2335" t="s">
        <v>1352</v>
      </c>
      <c r="B52" s="3627" t="s">
        <v>1353</v>
      </c>
      <c r="C52" s="3627"/>
      <c r="D52" s="1087" t="e">
        <f ca="1">ROUND(D45*'数据-取费表'!B41/(1+'数据-取费表'!C42),0)</f>
        <v>#REF!</v>
      </c>
      <c r="E52" s="2334" t="s">
        <v>1354</v>
      </c>
      <c r="F52" s="2554">
        <f>'数据-取费表'!B41</f>
        <v>5.5000000000000007E-2</v>
      </c>
      <c r="G52" s="2555"/>
      <c r="H52" s="2544"/>
      <c r="I52" s="1807"/>
      <c r="J52" s="2523">
        <v>1</v>
      </c>
      <c r="K52" s="3692" t="s">
        <v>1355</v>
      </c>
      <c r="L52" s="3692"/>
      <c r="M52" s="2525" t="b">
        <f>D48</f>
        <v>0</v>
      </c>
      <c r="N52" s="2523" t="str">
        <f>E48</f>
        <v>销售额×税（费）率</v>
      </c>
      <c r="O52" s="2526">
        <f>F48</f>
        <v>5.5000000000000007E-2</v>
      </c>
    </row>
    <row r="53" spans="1:35" ht="12" customHeight="1">
      <c r="A53" s="2335" t="s">
        <v>1356</v>
      </c>
      <c r="B53" s="3653" t="s">
        <v>2291</v>
      </c>
      <c r="C53" s="3654"/>
      <c r="D53" s="1087" t="e">
        <f ca="1">ROUND(D45*'数据-取费表'!B41/(1+'数据-取费表'!C42),0)</f>
        <v>#REF!</v>
      </c>
      <c r="E53" s="2334" t="s">
        <v>1354</v>
      </c>
      <c r="F53" s="2554">
        <f>'数据-取费表'!B41</f>
        <v>5.5000000000000007E-2</v>
      </c>
      <c r="G53" s="2555"/>
      <c r="H53" s="2544"/>
      <c r="I53" s="1807"/>
      <c r="J53" s="2523">
        <v>2</v>
      </c>
      <c r="K53" s="3692" t="s">
        <v>1357</v>
      </c>
      <c r="L53" s="3692"/>
      <c r="M53" s="2525" t="e">
        <f t="shared" ref="M53:O54" ca="1" si="0">D55</f>
        <v>#REF!</v>
      </c>
      <c r="N53" s="2523" t="str">
        <f t="shared" si="0"/>
        <v>销售额×税（费）率</v>
      </c>
      <c r="O53" s="2526" t="str">
        <f t="shared" si="0"/>
        <v>免征</v>
      </c>
    </row>
    <row r="54" spans="1:35" ht="12" customHeight="1">
      <c r="A54" s="2335" t="s">
        <v>1358</v>
      </c>
      <c r="B54" s="3653" t="s">
        <v>2292</v>
      </c>
      <c r="C54" s="3654"/>
      <c r="D54" s="1087" t="e">
        <f ca="1">C68</f>
        <v>#REF!</v>
      </c>
      <c r="E54" s="327" t="s">
        <v>1359</v>
      </c>
      <c r="F54" s="2554">
        <f>'数据-取费表'!B41</f>
        <v>5.5000000000000007E-2</v>
      </c>
      <c r="G54" s="2555"/>
      <c r="H54" s="2556"/>
      <c r="I54" s="1807"/>
      <c r="J54" s="2523">
        <v>3</v>
      </c>
      <c r="K54" s="3692" t="s">
        <v>1360</v>
      </c>
      <c r="L54" s="3692"/>
      <c r="M54" s="2525" t="e">
        <f t="shared" ca="1" si="0"/>
        <v>#REF!</v>
      </c>
      <c r="N54" s="2523" t="str">
        <f t="shared" si="0"/>
        <v>增值额×税（费）率</v>
      </c>
      <c r="O54" s="2527" t="str">
        <f t="shared" si="0"/>
        <v>免征</v>
      </c>
    </row>
    <row r="55" spans="1:35" ht="24" customHeight="1">
      <c r="A55" s="3642" t="s">
        <v>1361</v>
      </c>
      <c r="B55" s="3643"/>
      <c r="C55" s="3643"/>
      <c r="D55" s="2324" t="e">
        <f ca="1">IF(H55="个人住宅",0,ROUND(D45*I55,0))</f>
        <v>#REF!</v>
      </c>
      <c r="E55" s="2334" t="s">
        <v>1362</v>
      </c>
      <c r="F55" s="2554" t="str">
        <f>IF(H55="正常",I55,"免征")</f>
        <v>免征</v>
      </c>
      <c r="G55" s="2555"/>
      <c r="H55" s="2550"/>
      <c r="I55" s="165">
        <f>'数据-取费表'!B49</f>
        <v>5.0000000000000001E-4</v>
      </c>
      <c r="J55" s="2523">
        <f>IF(H59="非个人房产","",4)</f>
        <v>4</v>
      </c>
      <c r="K55" s="3692" t="str">
        <f>IF(H59="非个人房产","——","个人所得税")</f>
        <v>个人所得税</v>
      </c>
      <c r="L55" s="3692"/>
      <c r="M55" s="2528" t="e">
        <f ca="1">D59</f>
        <v>#REF!</v>
      </c>
      <c r="N55" s="2040" t="str">
        <f>E59</f>
        <v>差额计税</v>
      </c>
      <c r="O55" s="2529">
        <f>F59</f>
        <v>0.01</v>
      </c>
    </row>
    <row r="56" spans="1:35" ht="24.75">
      <c r="A56" s="3642" t="s">
        <v>1363</v>
      </c>
      <c r="B56" s="3643"/>
      <c r="C56" s="3643"/>
      <c r="D56" s="2324" t="e">
        <f ca="1">IF(H56="个人住宅",D57,D58)</f>
        <v>#REF!</v>
      </c>
      <c r="E56" s="2334" t="s">
        <v>1364</v>
      </c>
      <c r="F56" s="2554" t="str">
        <f>IF(H56="正常",F58,"免征")</f>
        <v>免征</v>
      </c>
      <c r="G56" s="2557" t="s">
        <v>1365</v>
      </c>
      <c r="H56" s="2558"/>
      <c r="I56" s="1808"/>
      <c r="J56" s="2523" t="str">
        <f>IF(项目基本情况!K6="上海银行",IF(J55="",4,J55+1),"")</f>
        <v/>
      </c>
      <c r="K56" s="3715" t="str">
        <f>IF(项目基本情况!K6="上海银行","其他处置费用","")</f>
        <v/>
      </c>
      <c r="L56" s="3716"/>
      <c r="M56" s="2525" t="str">
        <f>IF(项目基本情况!K6="上海银行",M69,"")</f>
        <v/>
      </c>
      <c r="N56" s="3715" t="str">
        <f>IF(项目基本情况!K6="上海银行","包含处置中涉及的律师、诉讼、拍卖、评估等费用","")</f>
        <v/>
      </c>
      <c r="O56" s="3718"/>
    </row>
    <row r="57" spans="1:35" ht="12.75">
      <c r="A57" s="2335" t="s">
        <v>1341</v>
      </c>
      <c r="B57" s="3653" t="s">
        <v>1366</v>
      </c>
      <c r="C57" s="3654"/>
      <c r="D57" s="1590">
        <v>0</v>
      </c>
      <c r="E57" s="324" t="s">
        <v>1343</v>
      </c>
      <c r="F57" s="302"/>
      <c r="G57" s="2555"/>
      <c r="H57" s="2559"/>
      <c r="I57" s="1808"/>
      <c r="J57" s="3692">
        <f>IF(AND(J55="",J56=""),4,IF(项目基本情况!K6="上海银行",结果表!J56+1,结果表!J55+1))</f>
        <v>5</v>
      </c>
      <c r="K57" s="3692" t="s">
        <v>1367</v>
      </c>
      <c r="L57" s="2530" t="s">
        <v>1368</v>
      </c>
      <c r="M57" s="2531"/>
      <c r="N57" s="2532">
        <f ca="1">SUMIF(M52:M56,"&lt;9e307")</f>
        <v>0</v>
      </c>
      <c r="O57" s="2533"/>
      <c r="P57" s="2690" t="e">
        <f ca="1">N57/M49</f>
        <v>#VALUE!</v>
      </c>
    </row>
    <row r="58" spans="1:35" ht="24.75">
      <c r="A58" s="2335" t="s">
        <v>1352</v>
      </c>
      <c r="B58" s="3653" t="s">
        <v>1369</v>
      </c>
      <c r="C58" s="3627"/>
      <c r="D58" s="2324" t="e">
        <f ca="1">IF(H58="转让取得",C81,C97)</f>
        <v>#REF!</v>
      </c>
      <c r="E58" s="2334" t="s">
        <v>1364</v>
      </c>
      <c r="F58" s="302" t="s">
        <v>28</v>
      </c>
      <c r="G58" s="2555"/>
      <c r="H58" s="2558"/>
      <c r="I58" s="1808"/>
      <c r="J58" s="3692"/>
      <c r="K58" s="3692"/>
      <c r="L58" s="2530" t="s">
        <v>1370</v>
      </c>
      <c r="M58" s="2534"/>
      <c r="N58" s="2535" t="str">
        <f ca="1">NUMBERSTRING(INT(N57*10000),2)&amp;"元整"</f>
        <v>零元整</v>
      </c>
      <c r="O58" s="2536"/>
    </row>
    <row r="59" spans="1:35" ht="24.75" thickBot="1">
      <c r="A59" s="3695" t="s">
        <v>1371</v>
      </c>
      <c r="B59" s="3696"/>
      <c r="C59" s="3696"/>
      <c r="D59" s="2560">
        <f ca="1">IF(H59="非个人房产","——",IF(H59="个人住宅（满五唯一有凭证）",0,IF(H59="个人其他（无凭证）",ROUND(D45/(1+'数据-取费表'!C42)*F59,0),ROUND(C67*F59,0))))</f>
        <v>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93">
        <f>J57+1</f>
        <v>6</v>
      </c>
      <c r="K59" s="3692" t="s">
        <v>1372</v>
      </c>
      <c r="L59" s="2523" t="s">
        <v>1368</v>
      </c>
      <c r="M59" s="2537"/>
      <c r="N59" s="2538" t="e">
        <f ca="1">M49-N57</f>
        <v>#VALUE!</v>
      </c>
      <c r="O59" s="2539"/>
    </row>
    <row r="60" spans="1:35" ht="12" customHeight="1">
      <c r="A60" s="1809"/>
      <c r="B60" s="1747"/>
      <c r="C60" s="1747"/>
      <c r="D60" s="1747"/>
      <c r="E60" s="1578"/>
      <c r="F60" s="1808"/>
      <c r="G60" s="1808"/>
      <c r="H60" s="1810"/>
      <c r="I60" s="129"/>
      <c r="J60" s="3694"/>
      <c r="K60" s="3692"/>
      <c r="L60" s="2530" t="s">
        <v>1370</v>
      </c>
      <c r="M60" s="2534"/>
      <c r="N60" s="2535" t="e">
        <f ca="1">NUMBERSTRING(INT(N59*10000),2)&amp;"元整"</f>
        <v>#VALUE!</v>
      </c>
      <c r="O60" s="2536"/>
    </row>
    <row r="61" spans="1:35" ht="13.5" thickBot="1">
      <c r="A61" s="3640" t="s">
        <v>1373</v>
      </c>
      <c r="B61" s="3640"/>
      <c r="C61" s="3640"/>
      <c r="D61" s="3640"/>
      <c r="E61" s="3640"/>
      <c r="F61" s="1808"/>
      <c r="G61" s="1808"/>
      <c r="H61" s="1810"/>
      <c r="I61" s="129"/>
      <c r="J61" s="2523">
        <f>J59+1</f>
        <v>7</v>
      </c>
      <c r="K61" s="3692" t="s">
        <v>1374</v>
      </c>
      <c r="L61" s="3692"/>
      <c r="M61" s="2540"/>
      <c r="N61" s="2541" t="e">
        <f ca="1">ROUND(N59*10000/'数据-汇总表'!E3,0)</f>
        <v>#VALUE!</v>
      </c>
      <c r="O61" s="2542"/>
    </row>
    <row r="62" spans="1:35" ht="12.75">
      <c r="A62" s="3658" t="s">
        <v>1375</v>
      </c>
      <c r="B62" s="3659"/>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717"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717"/>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717"/>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717"/>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717"/>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717"/>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717"/>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79" t="s">
        <v>1394</v>
      </c>
      <c r="B70" s="3680"/>
      <c r="C70" s="3680"/>
      <c r="D70" s="3680"/>
      <c r="E70" s="3680"/>
      <c r="F70" s="3680"/>
      <c r="G70" s="3680"/>
      <c r="H70" s="368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58" t="s">
        <v>1375</v>
      </c>
      <c r="B71" s="365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53" t="s">
        <v>1402</v>
      </c>
      <c r="F76" s="3627"/>
      <c r="G76" s="3627"/>
      <c r="H76" s="367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637" t="s">
        <v>1406</v>
      </c>
      <c r="F78" s="3638"/>
      <c r="G78" s="3638"/>
      <c r="H78" s="364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79" t="s">
        <v>1410</v>
      </c>
      <c r="B83" s="3680"/>
      <c r="C83" s="3680"/>
      <c r="D83" s="3680"/>
      <c r="E83" s="3680"/>
      <c r="F83" s="3680"/>
      <c r="G83" s="3680"/>
      <c r="H83" s="368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58" t="s">
        <v>1375</v>
      </c>
      <c r="B84" s="365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719" t="s">
        <v>2129</v>
      </c>
      <c r="H90" s="372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37" t="s">
        <v>1419</v>
      </c>
      <c r="F91" s="3638"/>
      <c r="G91" s="363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37" t="s">
        <v>1422</v>
      </c>
      <c r="F92" s="3638"/>
      <c r="G92" s="3638"/>
      <c r="H92" s="364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637" t="s">
        <v>1406</v>
      </c>
      <c r="F93" s="3638"/>
      <c r="G93" s="3638"/>
      <c r="H93" s="364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8" t="s">
        <v>1426</v>
      </c>
      <c r="F94" s="3649"/>
      <c r="G94" s="3649"/>
      <c r="H94" s="365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16" t="s">
        <v>1428</v>
      </c>
      <c r="B100" s="3617"/>
      <c r="C100" s="3617"/>
      <c r="D100" s="3639"/>
      <c r="E100" s="3617" t="s">
        <v>1429</v>
      </c>
      <c r="F100" s="3617"/>
      <c r="G100" s="3617"/>
      <c r="H100" s="3639"/>
      <c r="I100" s="129"/>
    </row>
    <row r="101" spans="1:35" ht="18.75" customHeight="1">
      <c r="A101" s="3700" t="s">
        <v>1430</v>
      </c>
      <c r="B101" s="3701"/>
      <c r="C101" s="2585" t="str">
        <f>C4</f>
        <v>比较法-工业</v>
      </c>
      <c r="D101" s="2586" t="str">
        <f>D4</f>
        <v>收益法 (元)</v>
      </c>
      <c r="E101" s="3714" t="s">
        <v>1431</v>
      </c>
      <c r="F101" s="3671"/>
      <c r="G101" s="1827" t="s">
        <v>1432</v>
      </c>
      <c r="H101" s="2595" t="e">
        <f ca="1">H118</f>
        <v>#REF!</v>
      </c>
      <c r="I101" s="129"/>
    </row>
    <row r="102" spans="1:35" ht="18.75" customHeight="1">
      <c r="A102" s="3673" t="s">
        <v>1433</v>
      </c>
      <c r="B102" s="2584" t="s">
        <v>1432</v>
      </c>
      <c r="C102" s="2585">
        <f ca="1">IF(D32="楼面单价",ROUND(C19,0),C19)</f>
        <v>644.55280000000005</v>
      </c>
      <c r="D102" s="2586">
        <f ca="1">IF(D32="楼面单价",ROUND(D19,0),D19)</f>
        <v>427.43090000000001</v>
      </c>
      <c r="E102" s="3714"/>
      <c r="F102" s="3671"/>
      <c r="G102" s="1827" t="s">
        <v>1434</v>
      </c>
      <c r="H102" s="2555" t="e">
        <f ca="1">I118</f>
        <v>#REF!</v>
      </c>
      <c r="I102" s="129"/>
    </row>
    <row r="103" spans="1:35" ht="42.75" customHeight="1">
      <c r="A103" s="3673"/>
      <c r="B103" s="2584" t="s">
        <v>1434</v>
      </c>
      <c r="C103" s="2587">
        <f ca="1">C20</f>
        <v>11008</v>
      </c>
      <c r="D103" s="2588">
        <f ca="1">D20</f>
        <v>7300</v>
      </c>
      <c r="E103" s="3708" t="s">
        <v>1435</v>
      </c>
      <c r="F103" s="3709"/>
      <c r="G103" s="1828" t="s">
        <v>1436</v>
      </c>
      <c r="H103" s="2595">
        <f>IF(D36="正常操作",H104+H105+H106,H105+H106)</f>
        <v>0</v>
      </c>
      <c r="I103" s="129"/>
    </row>
    <row r="104" spans="1:35" ht="18.75" customHeight="1">
      <c r="A104" s="3673"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74"/>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70" t="str">
        <f>IF(项目基本情况!E8="已注销","——","3.房地产抵押价值")</f>
        <v>3.房地产抵押价值</v>
      </c>
      <c r="F107" s="3671"/>
      <c r="G107" s="1827" t="s">
        <v>1432</v>
      </c>
      <c r="H107" s="2595" t="e">
        <f ca="1">IF(E107="——","——",H101-H103)</f>
        <v>#REF!</v>
      </c>
      <c r="I107" s="129"/>
    </row>
    <row r="108" spans="1:35" ht="18.75" customHeight="1">
      <c r="A108" s="129"/>
      <c r="B108" s="129"/>
      <c r="C108" s="129"/>
      <c r="D108" s="129"/>
      <c r="E108" s="3670"/>
      <c r="F108" s="3671"/>
      <c r="G108" s="1827" t="s">
        <v>1434</v>
      </c>
      <c r="H108" s="2555">
        <f ca="1">IF(H107=H101,H102,ROUND(H107*10000/'数据-汇总表'!E3,0))</f>
        <v>0</v>
      </c>
      <c r="I108" s="129"/>
    </row>
    <row r="109" spans="1:35" ht="18.75" customHeight="1">
      <c r="A109" s="129"/>
      <c r="B109" s="129"/>
      <c r="C109" s="129"/>
      <c r="D109" s="129"/>
      <c r="E109" s="3670" t="str">
        <f>IF(项目基本情况!E8="已注销及未注销","4.抵押担保权已注销时的房地产抵押价值",IF(项目基本情况!E8="已注销","3.抵押担保权已注销时的房地产抵押价值","——"))</f>
        <v>——</v>
      </c>
      <c r="F109" s="3671"/>
      <c r="G109" s="1827" t="s">
        <v>1432</v>
      </c>
      <c r="H109" s="2598" t="str">
        <f>IF(E109="——","——",H101-H105-H106)</f>
        <v>——</v>
      </c>
      <c r="I109" s="129"/>
    </row>
    <row r="110" spans="1:35" ht="18.75" customHeight="1">
      <c r="A110" s="129"/>
      <c r="B110" s="129"/>
      <c r="C110" s="129"/>
      <c r="D110" s="129"/>
      <c r="E110" s="3670"/>
      <c r="F110" s="3671"/>
      <c r="G110" s="1827" t="s">
        <v>1434</v>
      </c>
      <c r="H110" s="2555" t="str">
        <f>IF(H109="——","——",ROUND(H109*10000/'数据-汇总表'!E3,0))</f>
        <v>——</v>
      </c>
      <c r="I110" s="129"/>
    </row>
    <row r="111" spans="1:35" ht="18.75" customHeight="1">
      <c r="A111" s="129"/>
      <c r="B111" s="129"/>
      <c r="C111" s="129"/>
      <c r="D111" s="129"/>
      <c r="E111" s="3702" t="str">
        <f>IF(项目基本情况!E9="抵押净值",IF(OR(项目基本情况!E8="已注销",项目基本情况!E8="房地产抵押价值"),"4.抵押净值","5.抵押净值"),"——")</f>
        <v>——</v>
      </c>
      <c r="F111" s="3672"/>
      <c r="G111" s="1827" t="s">
        <v>1432</v>
      </c>
      <c r="H111" s="2595" t="str">
        <f>IF(E111="——","——",N59)</f>
        <v>——</v>
      </c>
      <c r="I111" s="129"/>
    </row>
    <row r="112" spans="1:35" ht="18.75" customHeight="1" thickBot="1">
      <c r="A112" s="129"/>
      <c r="B112" s="129"/>
      <c r="C112" s="129"/>
      <c r="D112" s="129"/>
      <c r="E112" s="3703"/>
      <c r="F112" s="3704"/>
      <c r="G112" s="1830" t="s">
        <v>1434</v>
      </c>
      <c r="H112" s="2599" t="str">
        <f>IF(E111="——","——",N61)</f>
        <v>——</v>
      </c>
      <c r="I112" s="129"/>
    </row>
    <row r="113" spans="1:27" ht="18.75" customHeight="1">
      <c r="A113" s="129"/>
      <c r="B113" s="129"/>
      <c r="C113" s="129"/>
      <c r="D113" s="129"/>
      <c r="E113" s="3675" t="s">
        <v>1440</v>
      </c>
      <c r="F113" s="3675"/>
      <c r="G113" s="3675"/>
      <c r="H113" s="3675"/>
      <c r="I113" s="129"/>
    </row>
    <row r="114" spans="1:27" ht="3.75" customHeight="1">
      <c r="A114" s="1747"/>
      <c r="B114" s="1747"/>
      <c r="C114" s="1747"/>
      <c r="D114" s="1747"/>
      <c r="E114" s="1809"/>
      <c r="F114" s="1809"/>
      <c r="G114" s="1809"/>
      <c r="H114" s="1809"/>
      <c r="I114" s="1747"/>
    </row>
    <row r="115" spans="1:27" ht="18.75" customHeight="1">
      <c r="A115" s="3685" t="s">
        <v>1442</v>
      </c>
      <c r="B115" s="3686"/>
      <c r="C115" s="3686"/>
      <c r="D115" s="3686"/>
      <c r="E115" s="3686"/>
      <c r="F115" s="3686"/>
      <c r="G115" s="3686"/>
      <c r="H115" s="3686"/>
      <c r="I115" s="3687"/>
    </row>
    <row r="116" spans="1:27" ht="27" customHeight="1">
      <c r="A116" s="3641" t="s">
        <v>1443</v>
      </c>
      <c r="B116" s="3676" t="s">
        <v>1444</v>
      </c>
      <c r="C116" s="3676" t="s">
        <v>1445</v>
      </c>
      <c r="D116" s="3689" t="s">
        <v>1446</v>
      </c>
      <c r="E116" s="3690"/>
      <c r="F116" s="3684" t="s">
        <v>1447</v>
      </c>
      <c r="G116" s="3684"/>
      <c r="H116" s="3641" t="s">
        <v>1448</v>
      </c>
      <c r="I116" s="3641"/>
    </row>
    <row r="117" spans="1:27" ht="18.75" customHeight="1">
      <c r="A117" s="3641"/>
      <c r="B117" s="3677"/>
      <c r="C117" s="3677"/>
      <c r="D117" s="2329" t="s">
        <v>1449</v>
      </c>
      <c r="E117" s="2329" t="s">
        <v>1450</v>
      </c>
      <c r="F117" s="2329" t="s">
        <v>1449</v>
      </c>
      <c r="G117" s="2329" t="s">
        <v>1451</v>
      </c>
      <c r="H117" s="2329" t="s">
        <v>1449</v>
      </c>
      <c r="I117" s="2329" t="s">
        <v>1451</v>
      </c>
    </row>
    <row r="118" spans="1:27" ht="24.75" customHeight="1">
      <c r="A118" s="2600" t="str">
        <f>项目基本情况!S2</f>
        <v>北京市通州区环科中路16号22幢1层101厂房用房房地产</v>
      </c>
      <c r="B118" s="2329">
        <f>M18</f>
        <v>585.52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41" t="s">
        <v>1452</v>
      </c>
      <c r="B119" s="3641"/>
      <c r="C119" s="3641"/>
      <c r="D119" s="3681" t="e">
        <f ca="1">NUMBERSTRING(INT(D118*10000),2)&amp;"元整"</f>
        <v>#REF!</v>
      </c>
      <c r="E119" s="3683"/>
      <c r="F119" s="3681" t="e">
        <f ca="1">NUMBERSTRING(INT(F118*10000),2)&amp;"元整"</f>
        <v>#REF!</v>
      </c>
      <c r="G119" s="3683"/>
      <c r="H119" s="3681" t="e">
        <f ca="1">NUMBERSTRING(INT(H118*10000),2)&amp;"元整"</f>
        <v>#REF!</v>
      </c>
      <c r="I119" s="3683"/>
    </row>
    <row r="120" spans="1:27" ht="18.75" customHeight="1">
      <c r="A120" s="3705" t="str">
        <f>IF(项目基本情况!B9="房地产市场价值","",MID(E103,3,LEN(E103)-2))</f>
        <v>估价师知悉的法定优先受偿款</v>
      </c>
      <c r="B120" s="3706"/>
      <c r="C120" s="3707"/>
      <c r="D120" s="3705">
        <f>H103</f>
        <v>0</v>
      </c>
      <c r="E120" s="3706"/>
      <c r="F120" s="3706"/>
      <c r="G120" s="3706"/>
      <c r="H120" s="3706"/>
      <c r="I120" s="370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81" t="s">
        <v>1452</v>
      </c>
      <c r="B121" s="3682"/>
      <c r="C121" s="3683"/>
      <c r="D121" s="3681" t="str">
        <f>IF(D120=0,"零元整",NUMBERSTRING(INT(D120*10000),2)&amp;"元整")</f>
        <v>零元整</v>
      </c>
      <c r="E121" s="3682"/>
      <c r="F121" s="3682"/>
      <c r="G121" s="3682"/>
      <c r="H121" s="3682"/>
      <c r="I121" s="3683"/>
      <c r="AA121" s="725"/>
    </row>
    <row r="122" spans="1:27" ht="18.75" customHeight="1">
      <c r="A122" s="3672" t="str">
        <f>IF(项目基本情况!B9="房地产市场价值","",MID(E107,3,LEN(E107)-2))</f>
        <v>房地产抵押价值</v>
      </c>
      <c r="B122" s="3672"/>
      <c r="C122" s="3672"/>
      <c r="D122" s="3705" t="e">
        <f ca="1">H107</f>
        <v>#REF!</v>
      </c>
      <c r="E122" s="3706"/>
      <c r="F122" s="3706"/>
      <c r="G122" s="3706"/>
      <c r="H122" s="3706"/>
      <c r="I122" s="3707"/>
      <c r="AA122" s="725"/>
    </row>
    <row r="123" spans="1:27" ht="18.75" customHeight="1">
      <c r="A123" s="3641" t="s">
        <v>1452</v>
      </c>
      <c r="B123" s="3641"/>
      <c r="C123" s="3641"/>
      <c r="D123" s="3681" t="e">
        <f ca="1">NUMBERSTRING(INT(D122*10000),2)&amp;"元整"</f>
        <v>#REF!</v>
      </c>
      <c r="E123" s="3682"/>
      <c r="F123" s="3682"/>
      <c r="G123" s="3682"/>
      <c r="H123" s="3682"/>
      <c r="I123" s="3683"/>
      <c r="AA123" s="725"/>
    </row>
    <row r="124" spans="1:27" ht="18.75" customHeight="1">
      <c r="A124" s="3672" t="str">
        <f>IF(项目基本情况!B9="房地产市场价值","",MID(E109,3,LEN(E109)-2))</f>
        <v/>
      </c>
      <c r="B124" s="3672"/>
      <c r="C124" s="3672"/>
      <c r="D124" s="3705" t="str">
        <f>H109</f>
        <v>——</v>
      </c>
      <c r="E124" s="3706"/>
      <c r="F124" s="3706"/>
      <c r="G124" s="3706"/>
      <c r="H124" s="3706"/>
      <c r="I124" s="3707"/>
      <c r="AA124" s="725"/>
    </row>
    <row r="125" spans="1:27" ht="18.75" customHeight="1">
      <c r="A125" s="3641" t="s">
        <v>1452</v>
      </c>
      <c r="B125" s="3641"/>
      <c r="C125" s="3641"/>
      <c r="D125" s="3681" t="e">
        <f>NUMBERSTRING(INT(D124*10000),2)&amp;"元整"</f>
        <v>#VALUE!</v>
      </c>
      <c r="E125" s="3682"/>
      <c r="F125" s="3682"/>
      <c r="G125" s="3682"/>
      <c r="H125" s="3682"/>
      <c r="I125" s="3683"/>
      <c r="AA125" s="725"/>
    </row>
    <row r="126" spans="1:27" ht="18.75" customHeight="1">
      <c r="A126" s="3672" t="str">
        <f>IF(项目基本情况!B9="房地产市场价值","",MID(E111,3,LEN(E111)-2))</f>
        <v/>
      </c>
      <c r="B126" s="3672"/>
      <c r="C126" s="3672"/>
      <c r="D126" s="3705" t="str">
        <f>H111</f>
        <v>——</v>
      </c>
      <c r="E126" s="3706"/>
      <c r="F126" s="3706"/>
      <c r="G126" s="3706"/>
      <c r="H126" s="3706"/>
      <c r="I126" s="3707"/>
      <c r="AA126" s="725"/>
    </row>
    <row r="127" spans="1:27" ht="18.75" customHeight="1">
      <c r="A127" s="3641" t="s">
        <v>1452</v>
      </c>
      <c r="B127" s="3641"/>
      <c r="C127" s="3641"/>
      <c r="D127" s="3681" t="e">
        <f>NUMBERSTRING(INT(D126*10000),2)&amp;"元整"</f>
        <v>#VALUE!</v>
      </c>
      <c r="E127" s="3682"/>
      <c r="F127" s="3682"/>
      <c r="G127" s="3682"/>
      <c r="H127" s="3682"/>
      <c r="I127" s="3683"/>
      <c r="AA127" s="725"/>
    </row>
    <row r="128" spans="1:27" ht="21.75" customHeight="1">
      <c r="A128" s="3688" t="s">
        <v>1453</v>
      </c>
      <c r="B128" s="3688"/>
      <c r="C128" s="3688"/>
      <c r="D128" s="3688"/>
      <c r="E128" s="3688"/>
      <c r="F128" s="3688"/>
      <c r="G128" s="3688"/>
      <c r="H128" s="3688"/>
      <c r="I128" s="368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33" t="str">
        <f>项目基本情况!B1</f>
        <v>北京市通州区环科中路16号22幢1层101厂房用房房地产抵押价值预评估</v>
      </c>
      <c r="C37" s="3533"/>
      <c r="D37" s="3533"/>
      <c r="E37" s="3533"/>
      <c r="F37" s="3533"/>
      <c r="G37" s="3533"/>
      <c r="H37" s="3533"/>
      <c r="I37" s="353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239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4082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6</v>
      </c>
      <c r="D10" s="845">
        <f ca="1">IF(B1="",'数据-汇总表'!E6,IF(INDIRECT("'数据-取费表'!c"&amp;$G$1)="住宅",INDIRECT("'数据-取费表'!s"&amp;$G$1),INDIRECT("'数据-取费表'!k"&amp;$G$1)+INDIRECT("'数据-取费表'!s"&amp;$G$1)))</f>
        <v>585.52</v>
      </c>
      <c r="E10" s="225">
        <f>'数据-取费表'!B28</f>
        <v>100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12</v>
      </c>
      <c r="D19" s="849">
        <f ca="1">D9+D10</f>
        <v>585.52</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193</v>
      </c>
      <c r="D34" s="217"/>
      <c r="E34" s="220"/>
      <c r="F34" s="257">
        <f ca="1">IF('数据-取费表'!B24=0,1,IF(B1="",'数据-取费表'!N16,INDIRECT("'数据-取费表'!n"&amp;$G$1)))</f>
        <v>1</v>
      </c>
      <c r="G34" s="219" t="s">
        <v>1526</v>
      </c>
    </row>
    <row r="35" spans="1:7" ht="13.5" customHeight="1">
      <c r="A35" s="780" t="s">
        <v>351</v>
      </c>
      <c r="B35" s="215" t="s">
        <v>1527</v>
      </c>
      <c r="C35" s="220">
        <f ca="1">ROUND(C34*F35,0)</f>
        <v>10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12</v>
      </c>
      <c r="D37" s="217">
        <f ca="1">D19</f>
        <v>585.52</v>
      </c>
      <c r="E37" s="249">
        <f>'数据-取费表'!B35</f>
        <v>200</v>
      </c>
      <c r="F37" s="259"/>
      <c r="G37" s="261" t="s">
        <v>1532</v>
      </c>
    </row>
    <row r="38" spans="1:7" ht="13.5" customHeight="1">
      <c r="A38" s="780" t="s">
        <v>354</v>
      </c>
      <c r="B38" s="215" t="s">
        <v>1533</v>
      </c>
      <c r="C38" s="220">
        <f ca="1">ROUND(C34*F38,0)</f>
        <v>4</v>
      </c>
      <c r="D38" s="220"/>
      <c r="E38" s="220"/>
      <c r="F38" s="259">
        <f>'数据-取费表'!B36</f>
        <v>0.02</v>
      </c>
      <c r="G38" s="219" t="s">
        <v>1528</v>
      </c>
    </row>
    <row r="39" spans="1:7" s="214" customFormat="1" ht="13.5" customHeight="1">
      <c r="A39" s="255" t="s">
        <v>1534</v>
      </c>
      <c r="B39" s="210" t="s">
        <v>1535</v>
      </c>
      <c r="C39" s="232">
        <f ca="1">ROUND(C33*F20,0)</f>
        <v>7</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v>
      </c>
      <c r="D42" s="238"/>
      <c r="E42" s="238"/>
      <c r="F42" s="239"/>
      <c r="G42" s="3721" t="s">
        <v>1544</v>
      </c>
    </row>
    <row r="43" spans="1:7" ht="13.5" customHeight="1">
      <c r="A43" s="780" t="s">
        <v>347</v>
      </c>
      <c r="B43" s="215" t="s">
        <v>1545</v>
      </c>
      <c r="C43" s="238">
        <f ca="1">ROUND(IF('数据-取费表'!B22&lt;=1,C39*F22*'数据-取费表'!B21/2,C39*(POWER((1+F22),'数据-取费表'!B21/2)-1)),0)</f>
        <v>0</v>
      </c>
      <c r="D43" s="238"/>
      <c r="E43" s="238"/>
      <c r="F43" s="239"/>
      <c r="G43" s="3722"/>
    </row>
    <row r="44" spans="1:7" ht="13.5" customHeight="1">
      <c r="A44" s="780" t="s">
        <v>348</v>
      </c>
      <c r="B44" s="215" t="s">
        <v>1546</v>
      </c>
      <c r="C44" s="238">
        <f ca="1">ROUND(IF('数据-取费表'!B22&lt;=1,C40*F22*'数据-取费表'!B21/2,C40*(POWER((1+F22),'数据-取费表'!B21/2)-1)),4)</f>
        <v>5.9999999999999995E-4</v>
      </c>
      <c r="D44" s="238"/>
      <c r="E44" s="238"/>
      <c r="F44" s="239"/>
      <c r="G44" s="3723"/>
    </row>
    <row r="45" spans="1:7" s="214" customFormat="1" ht="13.5" customHeight="1">
      <c r="A45" s="255" t="s">
        <v>1547</v>
      </c>
      <c r="B45" s="244" t="s">
        <v>1513</v>
      </c>
      <c r="C45" s="245">
        <f ca="1">C46</f>
        <v>34</v>
      </c>
      <c r="D45" s="235">
        <f ca="1">C47</f>
        <v>3.0000000000000001E-3</v>
      </c>
      <c r="E45" s="236" t="s">
        <v>1539</v>
      </c>
      <c r="F45" s="246">
        <f ca="1">F27</f>
        <v>0.15</v>
      </c>
      <c r="G45" s="247" t="s">
        <v>1548</v>
      </c>
    </row>
    <row r="46" spans="1:7" s="214" customFormat="1" ht="13.5" customHeight="1">
      <c r="A46" s="780" t="s">
        <v>346</v>
      </c>
      <c r="B46" s="248" t="s">
        <v>1549</v>
      </c>
      <c r="C46" s="249">
        <f ca="1">ROUND((C33+C39)*F27,0)</f>
        <v>34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289</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223</v>
      </c>
      <c r="D51" s="232"/>
      <c r="E51" s="232"/>
      <c r="F51" s="264"/>
      <c r="G51" s="234" t="s">
        <v>1560</v>
      </c>
    </row>
    <row r="52" spans="1:7" s="208" customFormat="1" ht="16.5" thickBot="1">
      <c r="A52" s="265" t="s">
        <v>1561</v>
      </c>
      <c r="B52" s="266"/>
      <c r="C52" s="267">
        <f ca="1">C31+C51</f>
        <v>239</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90" zoomScaleNormal="60" zoomScaleSheetLayoutView="90" workbookViewId="0">
      <selection activeCell="C91" sqref="C91:F9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3" t="s">
        <v>3445</v>
      </c>
      <c r="F1" s="1879" t="s">
        <v>3446</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 ca="1">IF(E1="项目模式",IF(C2="——",ROUND(C43*D3/10000,0),ROUND(C43*D3/10000,0)-D2),IF(E1="单套模式",IF(C2="——",ROUND(C43*D3/10000,4),ROUND(C43*D3/10000,4)-D2)))</f>
        <v>644.55280000000005</v>
      </c>
      <c r="C2" s="1881" t="s">
        <v>3542</v>
      </c>
      <c r="D2" s="907">
        <f ca="1">IF(E1="项目模式",SUMIF(INDIRECT("'"&amp;F2&amp;"'"&amp;"!A:A"),"承租人权益价值",INDIRECT("'"&amp;F2&amp;"'"&amp;"!c:c")),SUMIF(INDIRECT("'"&amp;F2&amp;"'"&amp;"!A:A"),"承租人权益价值（单套）",INDIRECT("'"&amp;F2&amp;"'"&amp;"!c:c")))</f>
        <v>13.5717</v>
      </c>
      <c r="E2" s="1882" t="s">
        <v>1463</v>
      </c>
      <c r="F2" s="1883" t="s">
        <v>3439</v>
      </c>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 ca="1">IF(C2="——",C43,ROUND(B2*10000/D3,0))</f>
        <v>11008</v>
      </c>
      <c r="C3" s="354" t="s">
        <v>1768</v>
      </c>
      <c r="D3" s="353">
        <f>IF(D1="",'数据-汇总表'!E3,SUMIF('数据-汇总表'!$C19:$C33,D1,'数据-汇总表'!$E19:$E33))</f>
        <v>585.52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37" t="s">
        <v>1770</v>
      </c>
      <c r="D4" s="3738"/>
      <c r="E4" s="3739" t="s">
        <v>1771</v>
      </c>
      <c r="F4" s="3740"/>
      <c r="G4" s="3737" t="s">
        <v>1772</v>
      </c>
      <c r="H4" s="3738"/>
      <c r="I4" s="3737" t="s">
        <v>1773</v>
      </c>
      <c r="J4" s="3738"/>
      <c r="K4" s="559" t="s">
        <v>1774</v>
      </c>
      <c r="L4" s="913"/>
      <c r="M4" s="914"/>
      <c r="N4" s="914"/>
      <c r="O4" s="914"/>
      <c r="P4" s="3741" t="s">
        <v>1775</v>
      </c>
      <c r="Q4" s="3742"/>
      <c r="R4" s="3747" t="s">
        <v>1771</v>
      </c>
      <c r="S4" s="3748"/>
      <c r="T4" s="3747" t="s">
        <v>1772</v>
      </c>
      <c r="U4" s="3748"/>
      <c r="V4" s="3753" t="s">
        <v>1773</v>
      </c>
      <c r="W4" s="3753"/>
      <c r="X4" s="1355"/>
      <c r="Y4" s="3747" t="s">
        <v>1775</v>
      </c>
      <c r="Z4" s="3748"/>
      <c r="AA4" s="3734" t="s">
        <v>1771</v>
      </c>
      <c r="AB4" s="3735" t="s">
        <v>1772</v>
      </c>
      <c r="AC4" s="3734" t="s">
        <v>1773</v>
      </c>
    </row>
    <row r="5" spans="1:29" ht="15">
      <c r="A5" s="358"/>
      <c r="B5" s="359"/>
      <c r="C5" s="3756" t="s">
        <v>3491</v>
      </c>
      <c r="D5" s="3757"/>
      <c r="E5" s="3763" t="s">
        <v>3491</v>
      </c>
      <c r="F5" s="3764"/>
      <c r="G5" s="3756" t="s">
        <v>3491</v>
      </c>
      <c r="H5" s="3757"/>
      <c r="I5" s="3756" t="s">
        <v>3481</v>
      </c>
      <c r="J5" s="3757"/>
      <c r="K5" s="559"/>
      <c r="L5" s="913"/>
      <c r="M5" s="914"/>
      <c r="N5" s="914"/>
      <c r="O5" s="914"/>
      <c r="P5" s="3743"/>
      <c r="Q5" s="3744"/>
      <c r="R5" s="3749"/>
      <c r="S5" s="3750"/>
      <c r="T5" s="3749"/>
      <c r="U5" s="3750"/>
      <c r="V5" s="3753"/>
      <c r="W5" s="3753"/>
      <c r="X5" s="1355"/>
      <c r="Y5" s="3749"/>
      <c r="Z5" s="3750"/>
      <c r="AA5" s="3735"/>
      <c r="AB5" s="3735"/>
      <c r="AC5" s="3735"/>
    </row>
    <row r="6" spans="1:29" ht="15.75" thickBot="1">
      <c r="A6" s="360"/>
      <c r="B6" s="361"/>
      <c r="C6" s="3754" t="s">
        <v>1677</v>
      </c>
      <c r="D6" s="3755"/>
      <c r="E6" s="3761" t="s">
        <v>1677</v>
      </c>
      <c r="F6" s="3762"/>
      <c r="G6" s="3754" t="s">
        <v>1677</v>
      </c>
      <c r="H6" s="3755"/>
      <c r="I6" s="3754" t="s">
        <v>1677</v>
      </c>
      <c r="J6" s="3755"/>
      <c r="K6" s="559" t="s">
        <v>1678</v>
      </c>
      <c r="L6" s="913"/>
      <c r="M6" s="914"/>
      <c r="N6" s="914"/>
      <c r="O6" s="914"/>
      <c r="P6" s="3745"/>
      <c r="Q6" s="3746"/>
      <c r="R6" s="3749"/>
      <c r="S6" s="3750"/>
      <c r="T6" s="3751"/>
      <c r="U6" s="3752"/>
      <c r="V6" s="3753"/>
      <c r="W6" s="3753"/>
      <c r="X6" s="1355"/>
      <c r="Y6" s="3751"/>
      <c r="Z6" s="3752"/>
      <c r="AA6" s="3736"/>
      <c r="AB6" s="3736"/>
      <c r="AC6" s="3736"/>
    </row>
    <row r="7" spans="1:29" s="108" customFormat="1" ht="15.75" thickBot="1">
      <c r="A7" s="362" t="s">
        <v>1679</v>
      </c>
      <c r="B7" s="363"/>
      <c r="C7" s="364">
        <f>'数据-取费表'!B2</f>
        <v>45924</v>
      </c>
      <c r="D7" s="365">
        <v>100</v>
      </c>
      <c r="E7" s="366">
        <f>C7</f>
        <v>45924</v>
      </c>
      <c r="F7" s="367">
        <f>SUMIF(52:52,YEAR(E7)&amp;"-"&amp;MONTH(E7),53:53)</f>
        <v>100</v>
      </c>
      <c r="G7" s="366">
        <f>C7</f>
        <v>45924</v>
      </c>
      <c r="H7" s="365">
        <f>SUMIF(52:52,YEAR(G7)&amp;"-"&amp;MONTH(G7),53:53)</f>
        <v>100</v>
      </c>
      <c r="I7" s="366">
        <f>C7</f>
        <v>45924</v>
      </c>
      <c r="J7" s="365">
        <f>SUMIF(52:52,YEAR(I7)&amp;"-"&amp;MONTH(I7),53:53)</f>
        <v>100</v>
      </c>
      <c r="K7" s="560"/>
      <c r="L7" s="915"/>
      <c r="M7" s="916"/>
      <c r="N7" s="916"/>
      <c r="O7" s="916"/>
      <c r="P7" s="3758" t="s">
        <v>1680</v>
      </c>
      <c r="Q7" s="3760"/>
      <c r="R7" s="701" t="s">
        <v>14</v>
      </c>
      <c r="S7" s="702">
        <f t="shared" ref="S7:S15" si="0">F7</f>
        <v>100</v>
      </c>
      <c r="T7" s="701" t="s">
        <v>14</v>
      </c>
      <c r="U7" s="702">
        <f t="shared" ref="U7:U15" si="1">H7</f>
        <v>100</v>
      </c>
      <c r="V7" s="701" t="s">
        <v>14</v>
      </c>
      <c r="W7" s="702">
        <f t="shared" ref="W7:W15" si="2">J7</f>
        <v>100</v>
      </c>
      <c r="X7" s="703"/>
      <c r="Y7" s="3758" t="s">
        <v>1680</v>
      </c>
      <c r="Z7" s="3759"/>
      <c r="AA7" s="704">
        <f>D7/F7</f>
        <v>1</v>
      </c>
      <c r="AB7" s="704">
        <f>D7/H7</f>
        <v>1</v>
      </c>
      <c r="AC7" s="704">
        <f>D7/J7</f>
        <v>1</v>
      </c>
    </row>
    <row r="8" spans="1:29" s="108" customFormat="1" ht="15.75" thickBot="1">
      <c r="A8" s="362" t="s">
        <v>1681</v>
      </c>
      <c r="B8" s="363"/>
      <c r="C8" s="368" t="s">
        <v>3447</v>
      </c>
      <c r="D8" s="365">
        <v>100</v>
      </c>
      <c r="E8" s="368" t="s">
        <v>3449</v>
      </c>
      <c r="F8" s="367">
        <f>SUMIF(55:55,E8,56:56)-SUMIF(55:55,C8,56:56)+100</f>
        <v>103</v>
      </c>
      <c r="G8" s="368" t="s">
        <v>3449</v>
      </c>
      <c r="H8" s="365">
        <f>SUMIF(55:55,G8,56:56)-SUMIF(55:55,C8,56:56)+100</f>
        <v>103</v>
      </c>
      <c r="I8" s="368" t="s">
        <v>3449</v>
      </c>
      <c r="J8" s="365">
        <f>SUMIF(55:55,I8,56:56)-SUMIF(55:55,C8,56:56)+100</f>
        <v>103</v>
      </c>
      <c r="K8" s="560"/>
      <c r="L8" s="915"/>
      <c r="M8" s="916"/>
      <c r="N8" s="916"/>
      <c r="O8" s="916"/>
      <c r="P8" s="3758" t="s">
        <v>1683</v>
      </c>
      <c r="Q8" s="3759"/>
      <c r="R8" s="701" t="s">
        <v>14</v>
      </c>
      <c r="S8" s="702">
        <f t="shared" si="0"/>
        <v>103</v>
      </c>
      <c r="T8" s="701" t="s">
        <v>14</v>
      </c>
      <c r="U8" s="702">
        <f t="shared" si="1"/>
        <v>103</v>
      </c>
      <c r="V8" s="701" t="s">
        <v>14</v>
      </c>
      <c r="W8" s="702">
        <f t="shared" si="2"/>
        <v>103</v>
      </c>
      <c r="X8" s="703"/>
      <c r="Y8" s="3758" t="s">
        <v>1683</v>
      </c>
      <c r="Z8" s="3759"/>
      <c r="AA8" s="704">
        <f t="shared" ref="AA8:AA40" si="3">D8/F8</f>
        <v>0.970873786407767</v>
      </c>
      <c r="AB8" s="704">
        <f t="shared" ref="AB8:AB40" si="4">D8/H8</f>
        <v>0.970873786407767</v>
      </c>
      <c r="AC8" s="704">
        <f t="shared" ref="AC8:AC40" si="5">D8/J8</f>
        <v>0.970873786407767</v>
      </c>
    </row>
    <row r="9" spans="1:29" s="108" customFormat="1">
      <c r="A9" s="369" t="s">
        <v>1684</v>
      </c>
      <c r="B9" s="63" t="s">
        <v>1685</v>
      </c>
      <c r="C9" s="3486" t="s">
        <v>3448</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724"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4" t="str">
        <f>D59</f>
        <v>40（含）-30</v>
      </c>
      <c r="D10" s="127">
        <v>100</v>
      </c>
      <c r="E10" s="3434" t="str">
        <f>D59</f>
        <v>40（含）-30</v>
      </c>
      <c r="F10" s="127">
        <f>SUMIF(59:59,E10,60:60)-SUMIF(59:59,C10,60:60)+100</f>
        <v>100</v>
      </c>
      <c r="G10" s="3435" t="str">
        <f>D59</f>
        <v>40（含）-30</v>
      </c>
      <c r="H10" s="127">
        <f>SUMIF(59:59,G10,60:60)-SUMIF(59:59,C10,60:60)+100</f>
        <v>100</v>
      </c>
      <c r="I10" s="3434" t="str">
        <f>D59</f>
        <v>40（含）-30</v>
      </c>
      <c r="J10" s="127">
        <f>SUMIF(59:59,I10,60:60)-SUMIF(59:59,C10,60:60)+100</f>
        <v>100</v>
      </c>
      <c r="K10" s="560"/>
      <c r="L10" s="918"/>
      <c r="M10" s="919"/>
      <c r="N10" s="919"/>
      <c r="O10" s="920"/>
      <c r="P10" s="3724"/>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4"/>
      <c r="Q11" s="1343"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4"/>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4"/>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4"/>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v>2</v>
      </c>
      <c r="L15" s="923"/>
      <c r="M15" s="914"/>
      <c r="N15" s="914"/>
      <c r="O15" s="922"/>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397"/>
      <c r="C16" s="398" t="s">
        <v>3473</v>
      </c>
      <c r="D16" s="399"/>
      <c r="E16" s="398" t="s">
        <v>3473</v>
      </c>
      <c r="F16" s="400"/>
      <c r="G16" s="398" t="s">
        <v>3473</v>
      </c>
      <c r="H16" s="401"/>
      <c r="I16" s="398" t="s">
        <v>3473</v>
      </c>
      <c r="J16" s="399"/>
      <c r="K16" s="564"/>
      <c r="L16" s="923"/>
      <c r="M16" s="914"/>
      <c r="N16" s="914"/>
      <c r="O16" s="922"/>
      <c r="P16" s="3730"/>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v>2</v>
      </c>
      <c r="L17" s="923"/>
      <c r="M17" s="914"/>
      <c r="N17" s="914"/>
      <c r="O17" s="922"/>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t="s">
        <v>3472</v>
      </c>
      <c r="D18" s="401"/>
      <c r="E18" s="1901" t="s">
        <v>3472</v>
      </c>
      <c r="F18" s="404"/>
      <c r="G18" s="1901" t="s">
        <v>3472</v>
      </c>
      <c r="H18" s="399"/>
      <c r="I18" s="1901" t="s">
        <v>3472</v>
      </c>
      <c r="J18" s="399"/>
      <c r="K18" s="564"/>
      <c r="L18" s="923"/>
      <c r="M18" s="914"/>
      <c r="N18" s="914"/>
      <c r="O18" s="922"/>
      <c r="P18" s="3730"/>
      <c r="Q18" s="1352"/>
      <c r="R18" s="705"/>
      <c r="S18" s="706"/>
      <c r="T18" s="705"/>
      <c r="U18" s="706"/>
      <c r="V18" s="705"/>
      <c r="W18" s="706"/>
      <c r="X18" s="1355"/>
      <c r="Y18" s="373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23"/>
      <c r="M19" s="914"/>
      <c r="N19" s="914"/>
      <c r="O19" s="922"/>
      <c r="P19" s="3730"/>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t="s">
        <v>3474</v>
      </c>
      <c r="D20" s="399"/>
      <c r="E20" s="398" t="s">
        <v>3474</v>
      </c>
      <c r="F20" s="400"/>
      <c r="G20" s="398" t="s">
        <v>3474</v>
      </c>
      <c r="H20" s="399"/>
      <c r="I20" s="398" t="s">
        <v>3474</v>
      </c>
      <c r="J20" s="399"/>
      <c r="K20" s="564"/>
      <c r="L20" s="923"/>
      <c r="M20" s="914"/>
      <c r="N20" s="914"/>
      <c r="O20" s="922"/>
      <c r="P20" s="3730"/>
      <c r="Q20" s="1352"/>
      <c r="R20" s="705"/>
      <c r="S20" s="706"/>
      <c r="T20" s="705"/>
      <c r="U20" s="706"/>
      <c r="V20" s="705"/>
      <c r="W20" s="706"/>
      <c r="X20" s="1355"/>
      <c r="Y20" s="373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1</v>
      </c>
      <c r="L21" s="923"/>
      <c r="M21" s="914"/>
      <c r="N21" s="914"/>
      <c r="O21" s="922"/>
      <c r="P21" s="3730"/>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t="s">
        <v>3467</v>
      </c>
      <c r="D22" s="399"/>
      <c r="E22" s="1901" t="s">
        <v>3467</v>
      </c>
      <c r="F22" s="400"/>
      <c r="G22" s="1901" t="s">
        <v>3467</v>
      </c>
      <c r="H22" s="399"/>
      <c r="I22" s="1901" t="s">
        <v>3467</v>
      </c>
      <c r="J22" s="399"/>
      <c r="K22" s="1130"/>
      <c r="L22" s="923"/>
      <c r="M22" s="914"/>
      <c r="N22" s="914"/>
      <c r="O22" s="922"/>
      <c r="P22" s="3730"/>
      <c r="Q22" s="1352"/>
      <c r="R22" s="705"/>
      <c r="S22" s="706"/>
      <c r="T22" s="705"/>
      <c r="U22" s="706"/>
      <c r="V22" s="705"/>
      <c r="W22" s="706"/>
      <c r="X22" s="1355"/>
      <c r="Y22" s="373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2</v>
      </c>
      <c r="L23" s="923"/>
      <c r="M23" s="914"/>
      <c r="N23" s="914"/>
      <c r="O23" s="922"/>
      <c r="P23" s="3730"/>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353">
        <f t="shared" si="5"/>
        <v>1</v>
      </c>
    </row>
    <row r="24" spans="1:29" ht="15">
      <c r="A24" s="379"/>
      <c r="B24" s="1131"/>
      <c r="C24" s="398" t="s">
        <v>3472</v>
      </c>
      <c r="D24" s="399"/>
      <c r="E24" s="398" t="s">
        <v>3472</v>
      </c>
      <c r="F24" s="400"/>
      <c r="G24" s="398" t="s">
        <v>3472</v>
      </c>
      <c r="H24" s="399"/>
      <c r="I24" s="398" t="s">
        <v>3472</v>
      </c>
      <c r="J24" s="399"/>
      <c r="K24" s="564"/>
      <c r="L24" s="923"/>
      <c r="M24" s="914"/>
      <c r="N24" s="914"/>
      <c r="O24" s="922"/>
      <c r="P24" s="3730"/>
      <c r="Q24" s="1352"/>
      <c r="R24" s="705"/>
      <c r="S24" s="706"/>
      <c r="T24" s="705"/>
      <c r="U24" s="706"/>
      <c r="V24" s="705"/>
      <c r="W24" s="706"/>
      <c r="X24" s="1355"/>
      <c r="Y24" s="373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0"/>
      <c r="Q25" s="1352">
        <f>B25</f>
        <v>111</v>
      </c>
      <c r="R25" s="705" t="s">
        <v>14</v>
      </c>
      <c r="S25" s="706">
        <f>F25</f>
        <v>100</v>
      </c>
      <c r="T25" s="705" t="s">
        <v>14</v>
      </c>
      <c r="U25" s="706">
        <f>H25</f>
        <v>100</v>
      </c>
      <c r="V25" s="705" t="s">
        <v>14</v>
      </c>
      <c r="W25" s="706">
        <f>J25</f>
        <v>100</v>
      </c>
      <c r="X25" s="1355"/>
      <c r="Y25" s="373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0"/>
      <c r="Q26" s="1352">
        <f t="shared" ref="Q26:Q40" si="11">B26</f>
        <v>111</v>
      </c>
      <c r="R26" s="705" t="s">
        <v>14</v>
      </c>
      <c r="S26" s="706">
        <f>F26</f>
        <v>100</v>
      </c>
      <c r="T26" s="705" t="s">
        <v>14</v>
      </c>
      <c r="U26" s="706">
        <f>H26</f>
        <v>100</v>
      </c>
      <c r="V26" s="705" t="s">
        <v>14</v>
      </c>
      <c r="W26" s="706">
        <f>J26</f>
        <v>100</v>
      </c>
      <c r="X26" s="1355"/>
      <c r="Y26" s="373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0"/>
      <c r="Q27" s="1343">
        <f t="shared" si="11"/>
        <v>111</v>
      </c>
      <c r="R27" s="701" t="s">
        <v>14</v>
      </c>
      <c r="S27" s="702">
        <f>F27</f>
        <v>100</v>
      </c>
      <c r="T27" s="701" t="s">
        <v>14</v>
      </c>
      <c r="U27" s="702">
        <f>H27</f>
        <v>100</v>
      </c>
      <c r="V27" s="701" t="s">
        <v>14</v>
      </c>
      <c r="W27" s="702">
        <f>J27</f>
        <v>100</v>
      </c>
      <c r="X27" s="703"/>
      <c r="Y27" s="373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0"/>
      <c r="Q28" s="1352">
        <f t="shared" si="11"/>
        <v>111</v>
      </c>
      <c r="R28" s="705" t="s">
        <v>14</v>
      </c>
      <c r="S28" s="706">
        <f t="shared" ref="S28:S40" si="12">F28</f>
        <v>100</v>
      </c>
      <c r="T28" s="705" t="s">
        <v>14</v>
      </c>
      <c r="U28" s="706">
        <f t="shared" ref="U28:U40" si="13">H28</f>
        <v>100</v>
      </c>
      <c r="V28" s="705" t="s">
        <v>14</v>
      </c>
      <c r="W28" s="706">
        <f t="shared" ref="W28:W40" si="14">J28</f>
        <v>100</v>
      </c>
      <c r="X28" s="1355"/>
      <c r="Y28" s="3730"/>
      <c r="Z28" s="1356">
        <f t="shared" ref="Z28:Z40" si="15">Q28</f>
        <v>111</v>
      </c>
      <c r="AA28" s="1353">
        <f t="shared" si="3"/>
        <v>1</v>
      </c>
      <c r="AB28" s="1353">
        <f t="shared" si="4"/>
        <v>1</v>
      </c>
      <c r="AC28" s="1353">
        <f t="shared" si="5"/>
        <v>1</v>
      </c>
    </row>
    <row r="29" spans="1:29" ht="28.5">
      <c r="A29" s="417" t="s">
        <v>1694</v>
      </c>
      <c r="B29" s="63" t="s">
        <v>1817</v>
      </c>
      <c r="C29" s="1967" t="s">
        <v>3456</v>
      </c>
      <c r="D29" s="418">
        <v>100</v>
      </c>
      <c r="E29" s="1967" t="s">
        <v>3456</v>
      </c>
      <c r="F29" s="412">
        <f>SUMIF(88:88,E29,89:89)-SUMIF(88:88,C29,89:89)+100</f>
        <v>100</v>
      </c>
      <c r="G29" s="1967" t="s">
        <v>3456</v>
      </c>
      <c r="H29" s="386">
        <f>SUMIF(88:88,G29,89:89)-SUMIF(88:88,C29,89:89)+100</f>
        <v>100</v>
      </c>
      <c r="I29" s="1967" t="s">
        <v>3456</v>
      </c>
      <c r="J29" s="418">
        <f>SUMIF(88:88,I29,89:89)-SUMIF(88:88,C29,89:89)+100</f>
        <v>100</v>
      </c>
      <c r="K29" s="561">
        <v>1</v>
      </c>
      <c r="L29" s="923"/>
      <c r="M29" s="914"/>
      <c r="N29" s="914"/>
      <c r="O29" s="922"/>
      <c r="P29" s="3731" t="s">
        <v>1696</v>
      </c>
      <c r="Q29" s="1352" t="str">
        <f t="shared" si="11"/>
        <v>建筑类型</v>
      </c>
      <c r="R29" s="705" t="s">
        <v>14</v>
      </c>
      <c r="S29" s="706">
        <f t="shared" si="12"/>
        <v>100</v>
      </c>
      <c r="T29" s="705" t="s">
        <v>14</v>
      </c>
      <c r="U29" s="706">
        <f t="shared" si="13"/>
        <v>100</v>
      </c>
      <c r="V29" s="705" t="s">
        <v>14</v>
      </c>
      <c r="W29" s="706">
        <f t="shared" si="14"/>
        <v>100</v>
      </c>
      <c r="X29" s="1355"/>
      <c r="Y29" s="3732" t="s">
        <v>1696</v>
      </c>
      <c r="Z29" s="1356" t="str">
        <f t="shared" si="15"/>
        <v>建筑类型</v>
      </c>
      <c r="AA29" s="1353">
        <f t="shared" si="3"/>
        <v>1</v>
      </c>
      <c r="AB29" s="1353">
        <f t="shared" si="4"/>
        <v>1</v>
      </c>
      <c r="AC29" s="1353">
        <f t="shared" si="5"/>
        <v>1</v>
      </c>
    </row>
    <row r="30" spans="1:29" s="422" customFormat="1" ht="15">
      <c r="A30" s="419"/>
      <c r="B30" s="375" t="s">
        <v>1697</v>
      </c>
      <c r="C30" s="420">
        <f>'数据-汇总表'!E3</f>
        <v>585.52</v>
      </c>
      <c r="D30" s="127">
        <v>100</v>
      </c>
      <c r="E30" s="420">
        <v>688</v>
      </c>
      <c r="F30" s="376">
        <f>LOOKUP(E30,91:91,92:92)-LOOKUP(C30,91:91,92:92)+100</f>
        <v>100</v>
      </c>
      <c r="G30" s="420">
        <v>629</v>
      </c>
      <c r="H30" s="127">
        <f>LOOKUP(G30,91:91,92:92)-LOOKUP(C30,91:91,92:92)+100</f>
        <v>100</v>
      </c>
      <c r="I30" s="420">
        <v>1000</v>
      </c>
      <c r="J30" s="127">
        <f>LOOKUP(I30,91:91,92:92)-LOOKUP(C30,91:91,92:92)+100</f>
        <v>99</v>
      </c>
      <c r="K30" s="562"/>
      <c r="L30" s="921"/>
      <c r="M30" s="924"/>
      <c r="N30" s="924"/>
      <c r="O30" s="925"/>
      <c r="P30" s="3732"/>
      <c r="Q30" s="707" t="str">
        <f t="shared" si="11"/>
        <v>项目建筑规模</v>
      </c>
      <c r="R30" s="708" t="s">
        <v>14</v>
      </c>
      <c r="S30" s="709">
        <f t="shared" si="12"/>
        <v>100</v>
      </c>
      <c r="T30" s="708" t="s">
        <v>14</v>
      </c>
      <c r="U30" s="709">
        <f t="shared" si="13"/>
        <v>100</v>
      </c>
      <c r="V30" s="708" t="s">
        <v>14</v>
      </c>
      <c r="W30" s="709">
        <f t="shared" si="14"/>
        <v>99</v>
      </c>
      <c r="X30" s="710"/>
      <c r="Y30" s="3732"/>
      <c r="Z30" s="711" t="str">
        <f t="shared" si="15"/>
        <v>项目建筑规模</v>
      </c>
      <c r="AA30" s="1353">
        <f t="shared" si="3"/>
        <v>1</v>
      </c>
      <c r="AB30" s="1353">
        <f t="shared" si="4"/>
        <v>1</v>
      </c>
      <c r="AC30" s="1353">
        <f t="shared" si="5"/>
        <v>1.0101010101010102</v>
      </c>
    </row>
    <row r="31" spans="1:29" ht="15">
      <c r="A31" s="423"/>
      <c r="B31" s="375" t="s">
        <v>1698</v>
      </c>
      <c r="C31" s="411" t="s">
        <v>3442</v>
      </c>
      <c r="D31" s="386">
        <v>100</v>
      </c>
      <c r="E31" s="411" t="s">
        <v>3442</v>
      </c>
      <c r="F31" s="412">
        <f>SUMIF(93:93,E31,94:94)-SUMIF(93:93,C31,94:94)+100</f>
        <v>100</v>
      </c>
      <c r="G31" s="411" t="s">
        <v>3442</v>
      </c>
      <c r="H31" s="386">
        <f>SUMIF(93:93,G31,94:94)-SUMIF(93:93,C31,94:94)+100</f>
        <v>100</v>
      </c>
      <c r="I31" s="411" t="s">
        <v>3442</v>
      </c>
      <c r="J31" s="386">
        <f>SUMIF(93:93,I31,94:94)-SUMIF(93:93,C31,94:94)+100</f>
        <v>100</v>
      </c>
      <c r="K31" s="561">
        <v>1</v>
      </c>
      <c r="L31" s="923"/>
      <c r="M31" s="914"/>
      <c r="N31" s="914"/>
      <c r="O31" s="922"/>
      <c r="P31" s="3732"/>
      <c r="Q31" s="1352" t="str">
        <f t="shared" si="11"/>
        <v>建筑结构</v>
      </c>
      <c r="R31" s="705" t="s">
        <v>14</v>
      </c>
      <c r="S31" s="706">
        <f t="shared" si="12"/>
        <v>100</v>
      </c>
      <c r="T31" s="705" t="s">
        <v>14</v>
      </c>
      <c r="U31" s="706">
        <f t="shared" si="13"/>
        <v>100</v>
      </c>
      <c r="V31" s="705" t="s">
        <v>14</v>
      </c>
      <c r="W31" s="706">
        <f t="shared" si="14"/>
        <v>100</v>
      </c>
      <c r="X31" s="1355"/>
      <c r="Y31" s="3732"/>
      <c r="Z31" s="1356" t="str">
        <f t="shared" si="15"/>
        <v>建筑结构</v>
      </c>
      <c r="AA31" s="1353">
        <f t="shared" si="3"/>
        <v>1</v>
      </c>
      <c r="AB31" s="1353">
        <f t="shared" si="4"/>
        <v>1</v>
      </c>
      <c r="AC31" s="1353">
        <f t="shared" si="5"/>
        <v>1</v>
      </c>
    </row>
    <row r="32" spans="1:29" ht="15">
      <c r="A32" s="423"/>
      <c r="B32" s="375" t="s">
        <v>1785</v>
      </c>
      <c r="C32" s="411" t="s">
        <v>3462</v>
      </c>
      <c r="D32" s="386">
        <v>100</v>
      </c>
      <c r="E32" s="411" t="s">
        <v>3462</v>
      </c>
      <c r="F32" s="412">
        <f>SUMIF(95:95,E32,96:96)-SUMIF(95:95,C32,96:96)+100</f>
        <v>100</v>
      </c>
      <c r="G32" s="411" t="s">
        <v>3462</v>
      </c>
      <c r="H32" s="386">
        <f>SUMIF(95:95,G32,96:96)-SUMIF(95:95,C32,96:96)+100</f>
        <v>100</v>
      </c>
      <c r="I32" s="411" t="s">
        <v>3462</v>
      </c>
      <c r="J32" s="386">
        <f>SUMIF(95:95,I32,96:96)-SUMIF(95:95,C32,96:96)+100</f>
        <v>100</v>
      </c>
      <c r="K32" s="561">
        <v>1</v>
      </c>
      <c r="L32" s="923"/>
      <c r="M32" s="914"/>
      <c r="N32" s="914"/>
      <c r="O32" s="922"/>
      <c r="P32" s="3732"/>
      <c r="Q32" s="1352" t="str">
        <f t="shared" si="11"/>
        <v>公共部分装修</v>
      </c>
      <c r="R32" s="705" t="s">
        <v>14</v>
      </c>
      <c r="S32" s="706">
        <f t="shared" si="12"/>
        <v>100</v>
      </c>
      <c r="T32" s="705" t="s">
        <v>14</v>
      </c>
      <c r="U32" s="706">
        <f t="shared" si="13"/>
        <v>100</v>
      </c>
      <c r="V32" s="705" t="s">
        <v>14</v>
      </c>
      <c r="W32" s="706">
        <f t="shared" si="14"/>
        <v>100</v>
      </c>
      <c r="X32" s="1355"/>
      <c r="Y32" s="3732"/>
      <c r="Z32" s="1356" t="str">
        <f t="shared" si="15"/>
        <v>公共部分装修</v>
      </c>
      <c r="AA32" s="1353">
        <f t="shared" si="3"/>
        <v>1</v>
      </c>
      <c r="AB32" s="1353">
        <f t="shared" si="4"/>
        <v>1</v>
      </c>
      <c r="AC32" s="1353">
        <f t="shared" si="5"/>
        <v>1</v>
      </c>
    </row>
    <row r="33" spans="1:29" ht="15">
      <c r="A33" s="423"/>
      <c r="B33" s="375" t="s">
        <v>1786</v>
      </c>
      <c r="C33" s="3491">
        <f>'数据-取费表'!N6</f>
        <v>0.77</v>
      </c>
      <c r="D33" s="386">
        <v>100</v>
      </c>
      <c r="E33" s="425">
        <v>0.77</v>
      </c>
      <c r="F33" s="412">
        <f>LOOKUP(E33,98:98,99:99)-LOOKUP(C33,98:98,99:99)+100</f>
        <v>100</v>
      </c>
      <c r="G33" s="425">
        <v>0.77</v>
      </c>
      <c r="H33" s="412">
        <f>LOOKUP(G33,98:98,99:99)-LOOKUP(C33,98:98,99:99)+100</f>
        <v>100</v>
      </c>
      <c r="I33" s="425">
        <v>0.77</v>
      </c>
      <c r="J33" s="386">
        <f>LOOKUP(I33,98:98,99:99)-LOOKUP(C33,98:98,99:99)+100</f>
        <v>100</v>
      </c>
      <c r="K33" s="561">
        <v>1</v>
      </c>
      <c r="L33" s="923"/>
      <c r="M33" s="914"/>
      <c r="N33" s="914"/>
      <c r="O33" s="922"/>
      <c r="P33" s="3732"/>
      <c r="Q33" s="1352" t="str">
        <f t="shared" si="11"/>
        <v>成新度</v>
      </c>
      <c r="R33" s="705" t="s">
        <v>14</v>
      </c>
      <c r="S33" s="706">
        <f t="shared" si="12"/>
        <v>100</v>
      </c>
      <c r="T33" s="705" t="s">
        <v>14</v>
      </c>
      <c r="U33" s="706">
        <f t="shared" si="13"/>
        <v>100</v>
      </c>
      <c r="V33" s="705" t="s">
        <v>14</v>
      </c>
      <c r="W33" s="706">
        <f t="shared" si="14"/>
        <v>100</v>
      </c>
      <c r="X33" s="1355"/>
      <c r="Y33" s="3732"/>
      <c r="Z33" s="1356" t="str">
        <f t="shared" si="15"/>
        <v>成新度</v>
      </c>
      <c r="AA33" s="1353">
        <f t="shared" si="3"/>
        <v>1</v>
      </c>
      <c r="AB33" s="1353">
        <f t="shared" si="4"/>
        <v>1</v>
      </c>
      <c r="AC33" s="1353">
        <f t="shared" si="5"/>
        <v>1</v>
      </c>
    </row>
    <row r="34" spans="1:29" s="108" customFormat="1" ht="15">
      <c r="A34" s="424"/>
      <c r="B34" s="375" t="s">
        <v>1819</v>
      </c>
      <c r="C34" s="411" t="s">
        <v>3465</v>
      </c>
      <c r="D34" s="127">
        <v>100</v>
      </c>
      <c r="E34" s="411" t="s">
        <v>3465</v>
      </c>
      <c r="F34" s="412">
        <f>SUMIF(100:100,E34,101:101)-SUMIF(100:100,C34,101:101)+100</f>
        <v>100</v>
      </c>
      <c r="G34" s="411" t="s">
        <v>3465</v>
      </c>
      <c r="H34" s="386">
        <f>SUMIF(100:100,G34,101:101)-SUMIF(100:100,C34,101:101)+100</f>
        <v>100</v>
      </c>
      <c r="I34" s="411" t="s">
        <v>3465</v>
      </c>
      <c r="J34" s="386">
        <f>SUMIF(100:100,I34,101:101)-SUMIF(100:100,C34,101:101)+100</f>
        <v>100</v>
      </c>
      <c r="K34" s="561">
        <v>1</v>
      </c>
      <c r="L34" s="915"/>
      <c r="M34" s="916"/>
      <c r="N34" s="916"/>
      <c r="O34" s="917"/>
      <c r="P34" s="3732"/>
      <c r="Q34" s="1343" t="str">
        <f t="shared" si="11"/>
        <v>物业管理</v>
      </c>
      <c r="R34" s="701" t="s">
        <v>14</v>
      </c>
      <c r="S34" s="702">
        <f t="shared" si="12"/>
        <v>100</v>
      </c>
      <c r="T34" s="701" t="s">
        <v>14</v>
      </c>
      <c r="U34" s="702">
        <f t="shared" si="13"/>
        <v>100</v>
      </c>
      <c r="V34" s="701" t="s">
        <v>14</v>
      </c>
      <c r="W34" s="702">
        <f t="shared" si="14"/>
        <v>100</v>
      </c>
      <c r="X34" s="703"/>
      <c r="Y34" s="3732"/>
      <c r="Z34" s="52" t="str">
        <f t="shared" si="15"/>
        <v>物业管理</v>
      </c>
      <c r="AA34" s="704">
        <f t="shared" si="3"/>
        <v>1</v>
      </c>
      <c r="AB34" s="704">
        <f t="shared" si="4"/>
        <v>1</v>
      </c>
      <c r="AC34" s="704">
        <f t="shared" si="5"/>
        <v>1</v>
      </c>
    </row>
    <row r="35" spans="1:29" ht="15">
      <c r="A35" s="423"/>
      <c r="B35" s="375" t="s">
        <v>1787</v>
      </c>
      <c r="C35" s="411" t="s">
        <v>3469</v>
      </c>
      <c r="D35" s="386">
        <v>100</v>
      </c>
      <c r="E35" s="411" t="s">
        <v>3469</v>
      </c>
      <c r="F35" s="412">
        <f>SUMIF(102:102,E35,103:103)-SUMIF(102:102,C35,103:103)+100</f>
        <v>100</v>
      </c>
      <c r="G35" s="411" t="s">
        <v>3469</v>
      </c>
      <c r="H35" s="386">
        <f>SUMIF(102:102,G35,103:103)-SUMIF(102:102,C35,103:103)+100</f>
        <v>100</v>
      </c>
      <c r="I35" s="411" t="s">
        <v>3469</v>
      </c>
      <c r="J35" s="386">
        <f>SUMIF(102:102,I35,103:103)-SUMIF(102:102,C35,103:103)+100</f>
        <v>100</v>
      </c>
      <c r="K35" s="561">
        <v>1</v>
      </c>
      <c r="L35" s="923"/>
      <c r="M35" s="914"/>
      <c r="N35" s="914"/>
      <c r="O35" s="922"/>
      <c r="P35" s="3732" t="s">
        <v>1696</v>
      </c>
      <c r="Q35" s="1352" t="str">
        <f t="shared" si="11"/>
        <v>市政基础设施</v>
      </c>
      <c r="R35" s="705" t="s">
        <v>14</v>
      </c>
      <c r="S35" s="706">
        <f t="shared" si="12"/>
        <v>100</v>
      </c>
      <c r="T35" s="705" t="s">
        <v>14</v>
      </c>
      <c r="U35" s="706">
        <f t="shared" si="13"/>
        <v>100</v>
      </c>
      <c r="V35" s="705" t="s">
        <v>14</v>
      </c>
      <c r="W35" s="706">
        <f t="shared" si="14"/>
        <v>100</v>
      </c>
      <c r="X35" s="1355"/>
      <c r="Y35" s="3732" t="s">
        <v>1696</v>
      </c>
      <c r="Z35" s="1356" t="str">
        <f t="shared" si="15"/>
        <v>市政基础设施</v>
      </c>
      <c r="AA35" s="1353">
        <f t="shared" si="3"/>
        <v>1</v>
      </c>
      <c r="AB35" s="1353">
        <f t="shared" si="4"/>
        <v>1</v>
      </c>
      <c r="AC35" s="1353">
        <f t="shared" si="5"/>
        <v>1</v>
      </c>
    </row>
    <row r="36" spans="1:29" ht="15">
      <c r="A36" s="423"/>
      <c r="B36" s="375" t="s">
        <v>1792</v>
      </c>
      <c r="C36" s="411" t="s">
        <v>3462</v>
      </c>
      <c r="D36" s="386">
        <v>100</v>
      </c>
      <c r="E36" s="411" t="s">
        <v>3462</v>
      </c>
      <c r="F36" s="412">
        <f>SUMIF(104:104,E36,105:105)-SUMIF(104:104,C36,105:105)+100</f>
        <v>100</v>
      </c>
      <c r="G36" s="411" t="s">
        <v>3460</v>
      </c>
      <c r="H36" s="386">
        <f>SUMIF(104:104,G36,105:105)-SUMIF(104:104,C36,105:105)+100</f>
        <v>101</v>
      </c>
      <c r="I36" s="411" t="s">
        <v>3462</v>
      </c>
      <c r="J36" s="386">
        <f>SUMIF(104:104,I36,105:105)-SUMIF(104:104,C36,105:105)+100</f>
        <v>100</v>
      </c>
      <c r="K36" s="561">
        <v>1</v>
      </c>
      <c r="L36" s="923"/>
      <c r="M36" s="914"/>
      <c r="N36" s="914"/>
      <c r="O36" s="922"/>
      <c r="P36" s="3732"/>
      <c r="Q36" s="1352" t="str">
        <f t="shared" si="11"/>
        <v>内部装修</v>
      </c>
      <c r="R36" s="705" t="s">
        <v>14</v>
      </c>
      <c r="S36" s="706">
        <f t="shared" si="12"/>
        <v>100</v>
      </c>
      <c r="T36" s="705" t="s">
        <v>14</v>
      </c>
      <c r="U36" s="706">
        <f t="shared" si="13"/>
        <v>101</v>
      </c>
      <c r="V36" s="705" t="s">
        <v>14</v>
      </c>
      <c r="W36" s="706">
        <f t="shared" si="14"/>
        <v>100</v>
      </c>
      <c r="X36" s="1355"/>
      <c r="Y36" s="3732"/>
      <c r="Z36" s="1356" t="str">
        <f t="shared" si="15"/>
        <v>内部装修</v>
      </c>
      <c r="AA36" s="1353">
        <f t="shared" si="3"/>
        <v>1</v>
      </c>
      <c r="AB36" s="1353">
        <f t="shared" si="4"/>
        <v>0.99009900990099009</v>
      </c>
      <c r="AC36" s="1353">
        <f t="shared" si="5"/>
        <v>1</v>
      </c>
    </row>
    <row r="37" spans="1:29" ht="15">
      <c r="A37" s="423"/>
      <c r="B37" s="375" t="s">
        <v>1828</v>
      </c>
      <c r="C37" s="565" t="s">
        <v>3472</v>
      </c>
      <c r="D37" s="386">
        <v>100</v>
      </c>
      <c r="E37" s="565" t="s">
        <v>3472</v>
      </c>
      <c r="F37" s="412">
        <f>SUMIF(106:106,E37,107:107)-SUMIF(106:106,C37,107:107)+100</f>
        <v>100</v>
      </c>
      <c r="G37" s="565" t="s">
        <v>3472</v>
      </c>
      <c r="H37" s="386">
        <f>SUMIF(106:106,G37,107:107)-SUMIF(106:106,C37,107:107)+100</f>
        <v>100</v>
      </c>
      <c r="I37" s="565" t="s">
        <v>3472</v>
      </c>
      <c r="J37" s="386">
        <f>SUMIF(106:106,I37,107:107)-SUMIF(106:106,C37,107:107)+100</f>
        <v>100</v>
      </c>
      <c r="K37" s="561">
        <v>1</v>
      </c>
      <c r="L37" s="923"/>
      <c r="M37" s="914"/>
      <c r="N37" s="914"/>
      <c r="O37" s="922"/>
      <c r="P37" s="3732"/>
      <c r="Q37" s="1352" t="str">
        <f t="shared" si="11"/>
        <v>内部装修状况</v>
      </c>
      <c r="R37" s="705" t="s">
        <v>14</v>
      </c>
      <c r="S37" s="706">
        <f t="shared" si="12"/>
        <v>100</v>
      </c>
      <c r="T37" s="705" t="s">
        <v>14</v>
      </c>
      <c r="U37" s="706">
        <f t="shared" si="13"/>
        <v>100</v>
      </c>
      <c r="V37" s="705" t="s">
        <v>14</v>
      </c>
      <c r="W37" s="706">
        <f t="shared" si="14"/>
        <v>100</v>
      </c>
      <c r="X37" s="1355"/>
      <c r="Y37" s="3732"/>
      <c r="Z37" s="1356" t="str">
        <f t="shared" si="15"/>
        <v>内部装修状况</v>
      </c>
      <c r="AA37" s="1353">
        <f t="shared" si="3"/>
        <v>1</v>
      </c>
      <c r="AB37" s="1353">
        <f t="shared" si="4"/>
        <v>1</v>
      </c>
      <c r="AC37" s="1353">
        <f t="shared" si="5"/>
        <v>1</v>
      </c>
    </row>
    <row r="38" spans="1:29" s="422" customFormat="1" ht="15">
      <c r="A38" s="419"/>
      <c r="B38" s="3492" t="s">
        <v>3475</v>
      </c>
      <c r="C38" s="3493" t="s">
        <v>3543</v>
      </c>
      <c r="D38" s="386">
        <v>100</v>
      </c>
      <c r="E38" s="3493" t="s">
        <v>3477</v>
      </c>
      <c r="F38" s="412">
        <f>SUMIF(108:108,E38,109:109)-SUMIF(108:108,C38,109:109)+100</f>
        <v>100</v>
      </c>
      <c r="G38" s="3494" t="s">
        <v>3476</v>
      </c>
      <c r="H38" s="386">
        <f>SUMIF(108:108,G38,109:109)-SUMIF(108:108,C38,109:109)+100</f>
        <v>92</v>
      </c>
      <c r="I38" s="3493" t="s">
        <v>3477</v>
      </c>
      <c r="J38" s="386">
        <f>SUMIF(108:108,I38,109:1038)-SUMIF(108:108,C38,109:109)+100</f>
        <v>100</v>
      </c>
      <c r="K38" s="562"/>
      <c r="L38" s="921"/>
      <c r="M38" s="924"/>
      <c r="N38" s="924"/>
      <c r="O38" s="925"/>
      <c r="P38" s="3732"/>
      <c r="Q38" s="707" t="str">
        <f t="shared" si="11"/>
        <v>层高</v>
      </c>
      <c r="R38" s="708" t="s">
        <v>14</v>
      </c>
      <c r="S38" s="709">
        <f t="shared" si="12"/>
        <v>100</v>
      </c>
      <c r="T38" s="708" t="s">
        <v>14</v>
      </c>
      <c r="U38" s="709">
        <f t="shared" si="13"/>
        <v>92</v>
      </c>
      <c r="V38" s="708" t="s">
        <v>14</v>
      </c>
      <c r="W38" s="709">
        <f t="shared" si="14"/>
        <v>100</v>
      </c>
      <c r="X38" s="710"/>
      <c r="Y38" s="3732"/>
      <c r="Z38" s="711" t="str">
        <f t="shared" si="15"/>
        <v>层高</v>
      </c>
      <c r="AA38" s="1353">
        <f t="shared" si="3"/>
        <v>1</v>
      </c>
      <c r="AB38" s="1353">
        <f t="shared" si="4"/>
        <v>1.0869565217391304</v>
      </c>
      <c r="AC38" s="1353">
        <f t="shared" si="5"/>
        <v>1</v>
      </c>
    </row>
    <row r="39" spans="1:29" ht="15">
      <c r="A39" s="423"/>
      <c r="B39" s="1133">
        <v>111</v>
      </c>
      <c r="C39" s="420" t="s">
        <v>3482</v>
      </c>
      <c r="D39" s="386">
        <v>100</v>
      </c>
      <c r="E39" s="385" t="s">
        <v>3483</v>
      </c>
      <c r="F39" s="412">
        <f>SUMIF(110:110,E39,111:111)-SUMIF(110:110,C39,111:111)+100</f>
        <v>100</v>
      </c>
      <c r="G39" s="420" t="s">
        <v>3484</v>
      </c>
      <c r="H39" s="386">
        <f>SUMIF(110:110,G39,111:111)-SUMIF(110:110,C39,111:111)+100</f>
        <v>100</v>
      </c>
      <c r="I39" s="420" t="s">
        <v>3485</v>
      </c>
      <c r="J39" s="386">
        <f>SUMIF(110:110,I39,111:111)-SUMIF(110:110,C39,111:111)+100</f>
        <v>100</v>
      </c>
      <c r="K39" s="562"/>
      <c r="L39" s="923"/>
      <c r="M39" s="914"/>
      <c r="N39" s="914"/>
      <c r="O39" s="922"/>
      <c r="P39" s="3732"/>
      <c r="Q39" s="1352">
        <f t="shared" si="11"/>
        <v>111</v>
      </c>
      <c r="R39" s="705" t="s">
        <v>14</v>
      </c>
      <c r="S39" s="706">
        <f t="shared" si="12"/>
        <v>100</v>
      </c>
      <c r="T39" s="705" t="s">
        <v>14</v>
      </c>
      <c r="U39" s="706">
        <f t="shared" si="13"/>
        <v>100</v>
      </c>
      <c r="V39" s="705" t="s">
        <v>14</v>
      </c>
      <c r="W39" s="706">
        <f t="shared" si="14"/>
        <v>100</v>
      </c>
      <c r="X39" s="1355"/>
      <c r="Y39" s="373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3"/>
      <c r="Q40" s="1352">
        <f t="shared" si="11"/>
        <v>111</v>
      </c>
      <c r="R40" s="705" t="s">
        <v>14</v>
      </c>
      <c r="S40" s="706">
        <f t="shared" si="12"/>
        <v>100</v>
      </c>
      <c r="T40" s="705" t="s">
        <v>14</v>
      </c>
      <c r="U40" s="706">
        <f t="shared" si="13"/>
        <v>100</v>
      </c>
      <c r="V40" s="705" t="s">
        <v>14</v>
      </c>
      <c r="W40" s="706">
        <f t="shared" si="14"/>
        <v>100</v>
      </c>
      <c r="X40" s="1355"/>
      <c r="Y40" s="3733"/>
      <c r="Z40" s="1356">
        <f t="shared" si="15"/>
        <v>111</v>
      </c>
      <c r="AA40" s="1353">
        <f t="shared" si="3"/>
        <v>1</v>
      </c>
      <c r="AB40" s="1353">
        <f t="shared" si="4"/>
        <v>1</v>
      </c>
      <c r="AC40" s="1353">
        <f t="shared" si="5"/>
        <v>1</v>
      </c>
    </row>
    <row r="41" spans="1:29" ht="15">
      <c r="A41" s="430" t="s">
        <v>1708</v>
      </c>
      <c r="B41" s="431"/>
      <c r="C41" s="1154" t="s">
        <v>0</v>
      </c>
      <c r="D41" s="1155"/>
      <c r="E41" s="1156">
        <v>12000</v>
      </c>
      <c r="F41" s="1157"/>
      <c r="G41" s="1158">
        <v>10800</v>
      </c>
      <c r="H41" s="1159"/>
      <c r="I41" s="1156">
        <v>11000</v>
      </c>
      <c r="J41" s="1159"/>
      <c r="K41" s="714"/>
      <c r="L41" s="926"/>
      <c r="M41" s="927"/>
      <c r="N41" s="914"/>
      <c r="O41" s="927"/>
      <c r="P41" s="3724" t="str">
        <f>A41</f>
        <v>成交单价（元/平方米）</v>
      </c>
      <c r="Q41" s="3724"/>
      <c r="R41" s="3725">
        <f>E41</f>
        <v>12000</v>
      </c>
      <c r="S41" s="3725"/>
      <c r="T41" s="3725">
        <f>G41</f>
        <v>10800</v>
      </c>
      <c r="U41" s="3725"/>
      <c r="V41" s="3725">
        <f>I41</f>
        <v>11000</v>
      </c>
      <c r="W41" s="3725"/>
      <c r="X41" s="690"/>
      <c r="Y41" s="712"/>
      <c r="Z41" s="690"/>
      <c r="AA41" s="690"/>
      <c r="AB41" s="690"/>
      <c r="AC41" s="690"/>
    </row>
    <row r="42" spans="1:29" ht="15.75" thickBot="1">
      <c r="A42" s="437" t="s">
        <v>1793</v>
      </c>
      <c r="B42" s="438"/>
      <c r="C42" s="1160">
        <f>R43</f>
        <v>11240</v>
      </c>
      <c r="D42" s="2317" t="s">
        <v>2138</v>
      </c>
      <c r="E42" s="1161">
        <f>R42</f>
        <v>11650</v>
      </c>
      <c r="F42" s="2318"/>
      <c r="G42" s="1160">
        <f>T42</f>
        <v>11284</v>
      </c>
      <c r="H42" s="2318"/>
      <c r="I42" s="1161">
        <f>V42</f>
        <v>10787</v>
      </c>
      <c r="J42" s="2318"/>
      <c r="K42" s="2320">
        <f>F42+H42+J42</f>
        <v>0</v>
      </c>
      <c r="L42" s="926"/>
      <c r="M42" s="927"/>
      <c r="N42" s="914"/>
      <c r="O42" s="927"/>
      <c r="P42" s="3724" t="str">
        <f>A42</f>
        <v>比较价值（元/平方米）</v>
      </c>
      <c r="Q42" s="3724"/>
      <c r="R42" s="3725">
        <f>IF(F1="售价",ROUND(PRODUCT(R41,AA7:AA40),0),ROUND(PRODUCT(R41,AA7:AA40),1))</f>
        <v>11650</v>
      </c>
      <c r="S42" s="3725"/>
      <c r="T42" s="3725">
        <f>IF(F1="售价",ROUND(PRODUCT(T41,AB7:AB40),0),ROUND(PRODUCT(T41,AB7:AB40),1))</f>
        <v>11284</v>
      </c>
      <c r="U42" s="3725"/>
      <c r="V42" s="3725">
        <f>IF(F1="售价",ROUND(PRODUCT(V41,AC7:AC40),0),ROUND(PRODUCT(V41,AC7:AC40),1))</f>
        <v>10787</v>
      </c>
      <c r="W42" s="3725"/>
      <c r="X42" s="690"/>
      <c r="Y42" s="690"/>
      <c r="Z42" s="690"/>
      <c r="AA42" s="690"/>
      <c r="AB42" s="690"/>
      <c r="AC42" s="690"/>
    </row>
    <row r="43" spans="1:29" ht="15.75" thickBot="1">
      <c r="A43" s="441" t="s">
        <v>1794</v>
      </c>
      <c r="B43" s="442"/>
      <c r="C43" s="1163">
        <f>R43</f>
        <v>11240</v>
      </c>
      <c r="D43" s="1163"/>
      <c r="E43" s="1163"/>
      <c r="F43" s="1163"/>
      <c r="G43" s="1163"/>
      <c r="H43" s="1163"/>
      <c r="I43" s="1163"/>
      <c r="J43" s="1163"/>
      <c r="K43" s="715"/>
      <c r="L43" s="926"/>
      <c r="M43" s="927"/>
      <c r="N43" s="927"/>
      <c r="O43" s="927"/>
      <c r="P43" s="3726" t="str">
        <f>A43</f>
        <v>估价对象XX用房的比较价值（楼面单价，元/平方米）</v>
      </c>
      <c r="Q43" s="3727"/>
      <c r="R43" s="3728">
        <f>IF(F1="售价",ROUND(IF(D42="简单平均",AVERAGE(R42:V42),R42*F42+T42*H42+V42*J42),0),ROUND(IF(D42="简单平均",AVERAGE(R42:V42),R42*F42+T42*H42+V42*J42),1))</f>
        <v>11240</v>
      </c>
      <c r="S43" s="3728"/>
      <c r="T43" s="3728"/>
      <c r="U43" s="3728"/>
      <c r="V43" s="3728"/>
      <c r="W43" s="372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3.0042918454935563E-2</v>
      </c>
      <c r="F46" s="449" t="str">
        <f>IF(OR(E46&gt;=0.3,E46&lt;=-0.3),"超过30%","")</f>
        <v/>
      </c>
      <c r="G46" s="448">
        <f>IF(G41&lt;G42,G42/G41-1,G41/G42-1)</f>
        <v>4.4814814814814863E-2</v>
      </c>
      <c r="H46" s="449" t="str">
        <f>IF(OR(G46&gt;=0.3,G46&lt;=-0.3),"超过30%","")</f>
        <v/>
      </c>
      <c r="I46" s="448">
        <f>IF(I41&lt;I42,I42/I41-1,I41/I42-1)</f>
        <v>1.9745990544173475E-2</v>
      </c>
      <c r="J46" s="449" t="str">
        <f>IF(OR(I46&gt;=0.3,I46&lt;=-0.3),"超过30%","")</f>
        <v/>
      </c>
      <c r="K46" s="2730"/>
      <c r="L46" s="889"/>
      <c r="M46" s="927"/>
      <c r="N46" s="927"/>
      <c r="O46" s="927"/>
    </row>
    <row r="47" spans="1:29" ht="13.5" customHeight="1">
      <c r="A47" s="2725"/>
      <c r="B47" s="2725"/>
      <c r="C47" s="446" t="s">
        <v>1796</v>
      </c>
      <c r="D47" s="450"/>
      <c r="E47" s="448">
        <f>IF(E42&lt;G42,G42/E42-1,E42/G42-1)</f>
        <v>3.2435306628854965E-2</v>
      </c>
      <c r="F47" s="449" t="str">
        <f>IF(OR(E47&gt;=0.2,E47&lt;=-0.2),"超过20%","")</f>
        <v/>
      </c>
      <c r="G47" s="448">
        <f>IF(G42&lt;I42,I42/G42-1,G42/I42-1)</f>
        <v>4.6073977936404997E-2</v>
      </c>
      <c r="H47" s="449" t="str">
        <f>IF(OR(G47&gt;=0.2,G47&lt;=-0.2),"超过20%","")</f>
        <v/>
      </c>
      <c r="I47" s="448">
        <f>IF(I42&lt;E42,E42/I42-1,I42/E42-1)</f>
        <v>8.0003708167238452E-2</v>
      </c>
      <c r="J47" s="449" t="str">
        <f>IF(OR(I47&gt;=0.2,I47&lt;=-0.2),"超过20%","")</f>
        <v/>
      </c>
      <c r="K47" s="2730"/>
      <c r="L47" s="889"/>
      <c r="M47" s="927"/>
      <c r="N47" s="927"/>
      <c r="O47" s="927"/>
    </row>
    <row r="48" spans="1:29" s="451" customFormat="1" ht="13.5" customHeight="1">
      <c r="A48" s="2728"/>
      <c r="B48" s="2728"/>
      <c r="C48" s="446" t="s">
        <v>1797</v>
      </c>
      <c r="D48" s="450"/>
      <c r="E48" s="448">
        <f>IF(E41&lt;G41,G41/E41-1,E41/G41-1)</f>
        <v>0.11111111111111116</v>
      </c>
      <c r="F48" s="449" t="str">
        <f>IF(OR(E48&gt;=0.3,E48&lt;=-0.3),"超过30%","")</f>
        <v/>
      </c>
      <c r="G48" s="448">
        <f>IF(G41&lt;I41,I41/G41-1,G41/I41-1)</f>
        <v>1.8518518518518601E-2</v>
      </c>
      <c r="H48" s="449" t="str">
        <f>IF(OR(G48&gt;=0.3,G48&lt;=-0.3),"超过30%","")</f>
        <v/>
      </c>
      <c r="I48" s="448">
        <f>IF(I41&lt;E41,E41/I41-1,I41/E41-1)</f>
        <v>9.0909090909090828E-2</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3487" t="s">
        <v>3450</v>
      </c>
      <c r="E55" s="472"/>
      <c r="F55" s="472"/>
      <c r="G55" s="472"/>
      <c r="H55" s="472"/>
      <c r="I55" s="472"/>
      <c r="J55" s="472"/>
      <c r="K55" s="472"/>
      <c r="L55" s="473"/>
      <c r="M55" s="474"/>
      <c r="N55" s="932"/>
      <c r="O55" s="932"/>
      <c r="P55" s="475"/>
      <c r="Q55" s="453"/>
    </row>
    <row r="56" spans="1:17" s="108" customFormat="1" ht="15.75" thickBot="1">
      <c r="A56" s="470"/>
      <c r="B56" s="459"/>
      <c r="C56" s="587">
        <v>100</v>
      </c>
      <c r="D56" s="461">
        <v>103</v>
      </c>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t="s">
        <v>3451</v>
      </c>
      <c r="D59" s="532" t="s">
        <v>3452</v>
      </c>
      <c r="E59" s="532" t="s">
        <v>3453</v>
      </c>
      <c r="F59" s="532" t="s">
        <v>3454</v>
      </c>
      <c r="G59" s="532" t="s">
        <v>3455</v>
      </c>
      <c r="H59" s="532"/>
      <c r="I59" s="532"/>
      <c r="J59" s="532"/>
      <c r="K59" s="533"/>
      <c r="L59" s="534"/>
      <c r="M59" s="535"/>
      <c r="N59" s="933"/>
      <c r="O59" s="933"/>
      <c r="P59" s="42"/>
      <c r="Q59" s="453"/>
    </row>
    <row r="60" spans="1:17" ht="15.75" thickBot="1">
      <c r="A60" s="483"/>
      <c r="B60" s="492"/>
      <c r="C60" s="485">
        <v>100</v>
      </c>
      <c r="D60" s="485">
        <f>C60-2</f>
        <v>98</v>
      </c>
      <c r="E60" s="485">
        <f t="shared" ref="E60:G60" si="17">D60-2</f>
        <v>96</v>
      </c>
      <c r="F60" s="485">
        <f t="shared" si="17"/>
        <v>94</v>
      </c>
      <c r="G60" s="485">
        <f t="shared" si="17"/>
        <v>92</v>
      </c>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8">D62&amp;"（含）"&amp;"-"&amp;E62</f>
        <v>1（含）-2</v>
      </c>
      <c r="E61" s="496" t="str">
        <f t="shared" si="18"/>
        <v>2（含）-</v>
      </c>
      <c r="F61" s="496" t="str">
        <f t="shared" si="18"/>
        <v>（含）-</v>
      </c>
      <c r="G61" s="496" t="str">
        <f t="shared" si="18"/>
        <v>（含）-</v>
      </c>
      <c r="H61" s="496" t="str">
        <f t="shared" si="18"/>
        <v>（含）-</v>
      </c>
      <c r="I61" s="496" t="str">
        <f t="shared" si="18"/>
        <v>（含）-</v>
      </c>
      <c r="J61" s="496" t="str">
        <f t="shared" si="18"/>
        <v>（含）-</v>
      </c>
      <c r="K61" s="496" t="str">
        <f t="shared" si="18"/>
        <v>（含）-</v>
      </c>
      <c r="L61" s="496" t="str">
        <f t="shared" si="18"/>
        <v>（含）-</v>
      </c>
      <c r="M61" s="399" t="str">
        <f>M62&amp;"（含）"&amp;"-"&amp;P62</f>
        <v>（含）-</v>
      </c>
      <c r="N61" s="934"/>
      <c r="O61" s="934"/>
      <c r="P61" s="42"/>
      <c r="Q61" s="453"/>
    </row>
    <row r="62" spans="1:17" ht="15">
      <c r="A62" s="483"/>
      <c r="B62" s="497"/>
      <c r="C62" s="498">
        <v>0</v>
      </c>
      <c r="D62" s="498">
        <v>1</v>
      </c>
      <c r="E62" s="498">
        <v>2</v>
      </c>
      <c r="F62" s="498"/>
      <c r="G62" s="498"/>
      <c r="H62" s="498"/>
      <c r="I62" s="498"/>
      <c r="J62" s="498"/>
      <c r="K62" s="499"/>
      <c r="L62" s="500"/>
      <c r="M62" s="501"/>
      <c r="N62" s="933"/>
      <c r="O62" s="933"/>
      <c r="P62" s="42"/>
      <c r="Q62" s="453"/>
    </row>
    <row r="63" spans="1:17" ht="15.75" thickBot="1">
      <c r="A63" s="483"/>
      <c r="B63" s="484"/>
      <c r="C63" s="493">
        <v>100</v>
      </c>
      <c r="D63" s="493">
        <f t="shared" ref="D63:M63" si="19">C63-$K11</f>
        <v>100</v>
      </c>
      <c r="E63" s="493">
        <f t="shared" si="19"/>
        <v>100</v>
      </c>
      <c r="F63" s="493">
        <f t="shared" si="19"/>
        <v>100</v>
      </c>
      <c r="G63" s="493">
        <f t="shared" si="19"/>
        <v>100</v>
      </c>
      <c r="H63" s="493">
        <f t="shared" si="19"/>
        <v>100</v>
      </c>
      <c r="I63" s="493">
        <f t="shared" si="19"/>
        <v>100</v>
      </c>
      <c r="J63" s="493">
        <f t="shared" si="19"/>
        <v>100</v>
      </c>
      <c r="K63" s="493">
        <f t="shared" si="19"/>
        <v>100</v>
      </c>
      <c r="L63" s="493">
        <f t="shared" si="19"/>
        <v>100</v>
      </c>
      <c r="M63" s="494">
        <f t="shared" si="19"/>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88" t="s">
        <v>3457</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20">C89-$K29</f>
        <v>99</v>
      </c>
      <c r="E89" s="493">
        <f t="shared" si="20"/>
        <v>98</v>
      </c>
      <c r="F89" s="493">
        <f t="shared" si="20"/>
        <v>97</v>
      </c>
      <c r="G89" s="493">
        <f t="shared" si="20"/>
        <v>96</v>
      </c>
      <c r="H89" s="493">
        <f t="shared" si="20"/>
        <v>95</v>
      </c>
      <c r="I89" s="493">
        <f t="shared" si="20"/>
        <v>94</v>
      </c>
      <c r="J89" s="493">
        <f t="shared" si="20"/>
        <v>93</v>
      </c>
      <c r="K89" s="493">
        <f t="shared" si="20"/>
        <v>92</v>
      </c>
      <c r="L89" s="493">
        <f t="shared" si="20"/>
        <v>91</v>
      </c>
      <c r="M89" s="494">
        <f t="shared" si="20"/>
        <v>90</v>
      </c>
      <c r="N89" s="934"/>
      <c r="O89" s="934"/>
      <c r="P89" s="42"/>
      <c r="Q89" s="453"/>
    </row>
    <row r="90" spans="1:17" ht="29.25" thickTop="1">
      <c r="A90" s="483"/>
      <c r="B90" s="487" t="s">
        <v>1737</v>
      </c>
      <c r="C90" s="527" t="str">
        <f>C91&amp;"(含)"&amp;"-"&amp;D91</f>
        <v>0(含)-1000</v>
      </c>
      <c r="D90" s="527" t="str">
        <f t="shared" ref="D90:L90" si="21">D91&amp;"(含)"&amp;"-"&amp;E91</f>
        <v>1000(含)-2000</v>
      </c>
      <c r="E90" s="527" t="str">
        <f t="shared" si="21"/>
        <v>2000(含)-3000</v>
      </c>
      <c r="F90" s="527" t="str">
        <f t="shared" si="21"/>
        <v>3000(含)-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932"/>
      <c r="O90" s="932"/>
      <c r="P90" s="42"/>
      <c r="Q90" s="453"/>
    </row>
    <row r="91" spans="1:17" s="422" customFormat="1">
      <c r="A91" s="542"/>
      <c r="B91" s="543"/>
      <c r="C91" s="544">
        <v>0</v>
      </c>
      <c r="D91" s="544">
        <v>1000</v>
      </c>
      <c r="E91" s="544">
        <v>2000</v>
      </c>
      <c r="F91" s="544">
        <v>3000</v>
      </c>
      <c r="G91" s="544"/>
      <c r="H91" s="544"/>
      <c r="I91" s="544"/>
      <c r="J91" s="545"/>
      <c r="K91" s="545"/>
      <c r="L91" s="546"/>
      <c r="M91" s="547"/>
      <c r="N91" s="935"/>
      <c r="O91" s="935"/>
      <c r="P91" s="507"/>
      <c r="Q91" s="508"/>
    </row>
    <row r="92" spans="1:17" s="422" customFormat="1" ht="15.75" thickBot="1">
      <c r="A92" s="502"/>
      <c r="B92" s="492"/>
      <c r="C92" s="509">
        <v>100</v>
      </c>
      <c r="D92" s="485">
        <v>99</v>
      </c>
      <c r="E92" s="485">
        <v>98</v>
      </c>
      <c r="F92" s="485">
        <v>97</v>
      </c>
      <c r="G92" s="485"/>
      <c r="H92" s="485"/>
      <c r="I92" s="485"/>
      <c r="J92" s="485"/>
      <c r="K92" s="485"/>
      <c r="L92" s="485"/>
      <c r="M92" s="486"/>
      <c r="N92" s="934"/>
      <c r="O92" s="934"/>
      <c r="P92" s="507"/>
      <c r="Q92" s="508"/>
    </row>
    <row r="93" spans="1:17" ht="15" thickTop="1">
      <c r="A93" s="548"/>
      <c r="B93" s="487" t="s">
        <v>1738</v>
      </c>
      <c r="C93" s="3489" t="s">
        <v>3458</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2">C94-$K31</f>
        <v>99</v>
      </c>
      <c r="E94" s="493">
        <f t="shared" si="22"/>
        <v>98</v>
      </c>
      <c r="F94" s="493">
        <f t="shared" si="22"/>
        <v>97</v>
      </c>
      <c r="G94" s="493">
        <f t="shared" si="22"/>
        <v>96</v>
      </c>
      <c r="H94" s="493">
        <f t="shared" si="22"/>
        <v>95</v>
      </c>
      <c r="I94" s="493">
        <f t="shared" si="22"/>
        <v>94</v>
      </c>
      <c r="J94" s="493">
        <f t="shared" si="22"/>
        <v>93</v>
      </c>
      <c r="K94" s="493">
        <f t="shared" si="22"/>
        <v>92</v>
      </c>
      <c r="L94" s="493">
        <f t="shared" si="22"/>
        <v>91</v>
      </c>
      <c r="M94" s="494">
        <f t="shared" si="22"/>
        <v>90</v>
      </c>
      <c r="N94" s="934"/>
      <c r="O94" s="934"/>
      <c r="P94" s="42"/>
      <c r="Q94" s="453"/>
    </row>
    <row r="95" spans="1:17" ht="15" thickTop="1">
      <c r="A95" s="548"/>
      <c r="B95" s="487" t="s">
        <v>1740</v>
      </c>
      <c r="C95" s="3489" t="s">
        <v>3459</v>
      </c>
      <c r="D95" s="3489" t="s">
        <v>3461</v>
      </c>
      <c r="E95" s="3489" t="s">
        <v>3463</v>
      </c>
      <c r="F95" s="3490" t="s">
        <v>3464</v>
      </c>
      <c r="G95" s="532"/>
      <c r="H95" s="532"/>
      <c r="I95" s="532"/>
      <c r="J95" s="532"/>
      <c r="K95" s="533"/>
      <c r="L95" s="534"/>
      <c r="M95" s="535"/>
      <c r="N95" s="933"/>
      <c r="O95" s="933"/>
      <c r="P95" s="42"/>
      <c r="Q95" s="453"/>
    </row>
    <row r="96" spans="1:17" ht="15.75" thickBot="1">
      <c r="A96" s="483"/>
      <c r="B96" s="492"/>
      <c r="C96" s="493">
        <v>100</v>
      </c>
      <c r="D96" s="493">
        <f t="shared" ref="D96:M96" si="23">C96-$K32</f>
        <v>99</v>
      </c>
      <c r="E96" s="493">
        <f t="shared" si="23"/>
        <v>98</v>
      </c>
      <c r="F96" s="493">
        <f t="shared" si="23"/>
        <v>97</v>
      </c>
      <c r="G96" s="493">
        <f t="shared" si="23"/>
        <v>96</v>
      </c>
      <c r="H96" s="493">
        <f t="shared" si="23"/>
        <v>95</v>
      </c>
      <c r="I96" s="493">
        <f t="shared" si="23"/>
        <v>94</v>
      </c>
      <c r="J96" s="493">
        <f t="shared" si="23"/>
        <v>93</v>
      </c>
      <c r="K96" s="493">
        <f t="shared" si="23"/>
        <v>92</v>
      </c>
      <c r="L96" s="493">
        <f t="shared" si="23"/>
        <v>91</v>
      </c>
      <c r="M96" s="494">
        <f t="shared" si="23"/>
        <v>90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4">D99+$K33</f>
        <v>102</v>
      </c>
      <c r="F99" s="493">
        <f t="shared" si="24"/>
        <v>103</v>
      </c>
      <c r="G99" s="493">
        <f t="shared" si="24"/>
        <v>104</v>
      </c>
      <c r="H99" s="493">
        <f t="shared" si="24"/>
        <v>105</v>
      </c>
      <c r="I99" s="493">
        <f t="shared" si="24"/>
        <v>106</v>
      </c>
      <c r="J99" s="493">
        <f t="shared" si="24"/>
        <v>107</v>
      </c>
      <c r="K99" s="493">
        <f t="shared" si="24"/>
        <v>108</v>
      </c>
      <c r="L99" s="493">
        <f t="shared" si="24"/>
        <v>109</v>
      </c>
      <c r="M99" s="493">
        <f t="shared" si="24"/>
        <v>110</v>
      </c>
      <c r="N99" s="934"/>
      <c r="O99" s="934"/>
      <c r="P99" s="42"/>
      <c r="Q99" s="453"/>
    </row>
    <row r="100" spans="1:17" s="422" customFormat="1" ht="15" thickTop="1">
      <c r="A100" s="542"/>
      <c r="B100" s="487" t="s">
        <v>1741</v>
      </c>
      <c r="C100" s="3489" t="s">
        <v>3466</v>
      </c>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99</v>
      </c>
      <c r="E101" s="493">
        <f t="shared" ref="E101:M101" si="25">D101-$K34</f>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5"/>
      <c r="O101" s="935"/>
      <c r="P101" s="507"/>
      <c r="Q101" s="508"/>
    </row>
    <row r="102" spans="1:17" ht="15" thickTop="1">
      <c r="A102" s="548"/>
      <c r="B102" s="487" t="s">
        <v>1742</v>
      </c>
      <c r="C102" s="3489" t="s">
        <v>3468</v>
      </c>
      <c r="D102" s="3489" t="s">
        <v>3470</v>
      </c>
      <c r="E102" s="3489" t="s">
        <v>3471</v>
      </c>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6">C103-$K35</f>
        <v>99</v>
      </c>
      <c r="E103" s="493">
        <f t="shared" si="26"/>
        <v>98</v>
      </c>
      <c r="F103" s="493">
        <f t="shared" si="26"/>
        <v>97</v>
      </c>
      <c r="G103" s="493">
        <f t="shared" si="26"/>
        <v>96</v>
      </c>
      <c r="H103" s="493">
        <f t="shared" si="26"/>
        <v>95</v>
      </c>
      <c r="I103" s="493">
        <f t="shared" si="26"/>
        <v>94</v>
      </c>
      <c r="J103" s="493">
        <f t="shared" si="26"/>
        <v>93</v>
      </c>
      <c r="K103" s="493">
        <f t="shared" si="26"/>
        <v>92</v>
      </c>
      <c r="L103" s="493">
        <f t="shared" si="26"/>
        <v>91</v>
      </c>
      <c r="M103" s="494">
        <f t="shared" si="26"/>
        <v>90</v>
      </c>
      <c r="N103" s="934"/>
      <c r="O103" s="934"/>
      <c r="P103" s="42"/>
      <c r="Q103" s="453"/>
    </row>
    <row r="104" spans="1:17" ht="15" thickTop="1">
      <c r="A104" s="548"/>
      <c r="B104" s="487" t="s">
        <v>1744</v>
      </c>
      <c r="C104" s="3489" t="s">
        <v>3459</v>
      </c>
      <c r="D104" s="3489" t="s">
        <v>3461</v>
      </c>
      <c r="E104" s="3489" t="s">
        <v>3463</v>
      </c>
      <c r="F104" s="3490" t="s">
        <v>3464</v>
      </c>
      <c r="G104" s="503"/>
      <c r="H104" s="532"/>
      <c r="I104" s="532"/>
      <c r="J104" s="532"/>
      <c r="K104" s="533"/>
      <c r="L104" s="534"/>
      <c r="M104" s="535"/>
      <c r="N104" s="933"/>
      <c r="O104" s="933"/>
      <c r="P104" s="42"/>
      <c r="Q104" s="453"/>
    </row>
    <row r="105" spans="1:17" ht="15.75" thickBot="1">
      <c r="A105" s="483"/>
      <c r="B105" s="492"/>
      <c r="C105" s="493">
        <v>100</v>
      </c>
      <c r="D105" s="493">
        <f>C105-$K36</f>
        <v>99</v>
      </c>
      <c r="E105" s="493">
        <f>D105-$K36</f>
        <v>98</v>
      </c>
      <c r="F105" s="493">
        <f>E105-$K36</f>
        <v>97</v>
      </c>
      <c r="G105" s="493">
        <f>F105-$K36</f>
        <v>96</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7">C107-$K37</f>
        <v>99</v>
      </c>
      <c r="E107" s="493">
        <f t="shared" si="27"/>
        <v>98</v>
      </c>
      <c r="F107" s="493">
        <f t="shared" si="27"/>
        <v>97</v>
      </c>
      <c r="G107" s="493">
        <f t="shared" si="27"/>
        <v>96</v>
      </c>
      <c r="H107" s="493">
        <f t="shared" si="27"/>
        <v>95</v>
      </c>
      <c r="I107" s="493">
        <f t="shared" si="27"/>
        <v>94</v>
      </c>
      <c r="J107" s="493">
        <f t="shared" si="27"/>
        <v>93</v>
      </c>
      <c r="K107" s="493">
        <f t="shared" si="27"/>
        <v>92</v>
      </c>
      <c r="L107" s="493">
        <f t="shared" si="27"/>
        <v>91</v>
      </c>
      <c r="M107" s="493">
        <f t="shared" si="27"/>
        <v>90</v>
      </c>
      <c r="N107" s="934"/>
      <c r="O107" s="934"/>
      <c r="P107" s="42"/>
      <c r="Q107" s="453"/>
    </row>
    <row r="108" spans="1:17" s="422" customFormat="1" ht="15" thickTop="1">
      <c r="A108" s="542"/>
      <c r="B108" s="487" t="str">
        <f>B38</f>
        <v>层高</v>
      </c>
      <c r="C108" s="3489" t="s">
        <v>3476</v>
      </c>
      <c r="D108" s="3489" t="s">
        <v>3477</v>
      </c>
      <c r="E108" s="503"/>
      <c r="F108" s="503"/>
      <c r="G108" s="503"/>
      <c r="H108" s="504"/>
      <c r="I108" s="504"/>
      <c r="J108" s="504"/>
      <c r="K108" s="504"/>
      <c r="L108" s="505"/>
      <c r="M108" s="506"/>
      <c r="N108" s="935"/>
      <c r="O108" s="935"/>
      <c r="P108" s="507"/>
      <c r="Q108" s="508"/>
    </row>
    <row r="109" spans="1:17" s="422" customFormat="1" ht="15.75" thickBot="1">
      <c r="A109" s="502"/>
      <c r="B109" s="484"/>
      <c r="C109" s="509">
        <v>100</v>
      </c>
      <c r="D109" s="485">
        <v>108</v>
      </c>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86" priority="20" stopIfTrue="1" operator="containsText" text="超过">
      <formula>NOT(ISERROR(SEARCH("超过",F46)))</formula>
    </cfRule>
  </conditionalFormatting>
  <conditionalFormatting sqref="H48">
    <cfRule type="containsText" dxfId="185" priority="19" stopIfTrue="1" operator="containsText" text="超过">
      <formula>NOT(ISERROR(SEARCH("超过",H48)))</formula>
    </cfRule>
  </conditionalFormatting>
  <conditionalFormatting sqref="F48">
    <cfRule type="containsText" dxfId="184" priority="18" stopIfTrue="1" operator="containsText" text="超过">
      <formula>NOT(ISERROR(SEARCH("超过",F48)))</formula>
    </cfRule>
  </conditionalFormatting>
  <conditionalFormatting sqref="F47 H47">
    <cfRule type="containsText" dxfId="183" priority="17" stopIfTrue="1" operator="containsText" text="超过">
      <formula>NOT(ISERROR(SEARCH("超过",F47)))</formula>
    </cfRule>
  </conditionalFormatting>
  <conditionalFormatting sqref="E46">
    <cfRule type="expression" dxfId="182" priority="16" stopIfTrue="1">
      <formula>$F$46="超过30%"</formula>
    </cfRule>
  </conditionalFormatting>
  <conditionalFormatting sqref="E47">
    <cfRule type="expression" dxfId="181" priority="15" stopIfTrue="1">
      <formula>$F$47="超过20%"</formula>
    </cfRule>
  </conditionalFormatting>
  <conditionalFormatting sqref="E48">
    <cfRule type="expression" dxfId="180" priority="14" stopIfTrue="1">
      <formula>$F$48="超过30%"</formula>
    </cfRule>
  </conditionalFormatting>
  <conditionalFormatting sqref="G48">
    <cfRule type="expression" dxfId="179" priority="13" stopIfTrue="1">
      <formula>$H$48="超过30%"</formula>
    </cfRule>
  </conditionalFormatting>
  <conditionalFormatting sqref="G46">
    <cfRule type="expression" dxfId="178" priority="12" stopIfTrue="1">
      <formula>$H$46="超过30%"</formula>
    </cfRule>
  </conditionalFormatting>
  <conditionalFormatting sqref="G47">
    <cfRule type="expression" dxfId="177" priority="11" stopIfTrue="1">
      <formula>$H$47="超过20%"</formula>
    </cfRule>
  </conditionalFormatting>
  <conditionalFormatting sqref="J46">
    <cfRule type="containsText" dxfId="176" priority="10" stopIfTrue="1" operator="containsText" text="超过">
      <formula>NOT(ISERROR(SEARCH("超过",J46)))</formula>
    </cfRule>
  </conditionalFormatting>
  <conditionalFormatting sqref="J48">
    <cfRule type="containsText" dxfId="175" priority="9" stopIfTrue="1" operator="containsText" text="超过">
      <formula>NOT(ISERROR(SEARCH("超过",J48)))</formula>
    </cfRule>
  </conditionalFormatting>
  <conditionalFormatting sqref="J47">
    <cfRule type="containsText" dxfId="174" priority="8" stopIfTrue="1" operator="containsText" text="超过">
      <formula>NOT(ISERROR(SEARCH("超过",J47)))</formula>
    </cfRule>
  </conditionalFormatting>
  <conditionalFormatting sqref="I46">
    <cfRule type="expression" dxfId="173" priority="7" stopIfTrue="1">
      <formula>$J$46="超过30%"</formula>
    </cfRule>
  </conditionalFormatting>
  <conditionalFormatting sqref="I47">
    <cfRule type="expression" dxfId="172" priority="6" stopIfTrue="1">
      <formula>$J$47="超过20%"</formula>
    </cfRule>
  </conditionalFormatting>
  <conditionalFormatting sqref="I48">
    <cfRule type="expression" dxfId="171" priority="5" stopIfTrue="1">
      <formula>$J$48="超过30%"</formula>
    </cfRule>
  </conditionalFormatting>
  <conditionalFormatting sqref="F42">
    <cfRule type="expression" dxfId="170" priority="4">
      <formula>$D$42="简单平均"</formula>
    </cfRule>
  </conditionalFormatting>
  <conditionalFormatting sqref="H42">
    <cfRule type="expression" dxfId="169" priority="3">
      <formula>$D$42="简单平均"</formula>
    </cfRule>
  </conditionalFormatting>
  <conditionalFormatting sqref="J42">
    <cfRule type="expression" dxfId="168" priority="2">
      <formula>$D$42="简单平均"</formula>
    </cfRule>
  </conditionalFormatting>
  <conditionalFormatting sqref="F7:F40 H7:H40 J7:J40">
    <cfRule type="cellIs" dxfId="16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13"/>
  <sheetViews>
    <sheetView view="pageBreakPreview" topLeftCell="A76" zoomScale="90" zoomScaleNormal="60" zoomScaleSheetLayoutView="90" workbookViewId="0">
      <selection activeCell="C91" sqref="C91:F9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3" t="s">
        <v>3445</v>
      </c>
      <c r="F1" s="1879" t="s">
        <v>3479</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9.3700000000000006E-2</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686</v>
      </c>
      <c r="B3" s="558">
        <f>IF(C2="——",C43,ROUND(B2*10000/D3,0))</f>
        <v>1.6</v>
      </c>
      <c r="C3" s="354" t="s">
        <v>1665</v>
      </c>
      <c r="D3" s="353">
        <f>IF(D1="",'数据-汇总表'!E3,SUMIF('数据-汇总表'!$C19:$C33,D1,'数据-汇总表'!$E19:$E33))</f>
        <v>585.52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1666</v>
      </c>
      <c r="B4" s="356"/>
      <c r="C4" s="3737" t="s">
        <v>1667</v>
      </c>
      <c r="D4" s="3738"/>
      <c r="E4" s="3739" t="s">
        <v>1668</v>
      </c>
      <c r="F4" s="3740"/>
      <c r="G4" s="3737" t="s">
        <v>1669</v>
      </c>
      <c r="H4" s="3738"/>
      <c r="I4" s="3737" t="s">
        <v>1670</v>
      </c>
      <c r="J4" s="3738"/>
      <c r="K4" s="559" t="s">
        <v>1671</v>
      </c>
      <c r="L4" s="913"/>
      <c r="M4" s="914"/>
      <c r="N4" s="914"/>
      <c r="O4" s="914"/>
      <c r="P4" s="3741" t="s">
        <v>1672</v>
      </c>
      <c r="Q4" s="3742"/>
      <c r="R4" s="3747" t="s">
        <v>1668</v>
      </c>
      <c r="S4" s="3748"/>
      <c r="T4" s="3747" t="s">
        <v>1669</v>
      </c>
      <c r="U4" s="3748"/>
      <c r="V4" s="3753" t="s">
        <v>1670</v>
      </c>
      <c r="W4" s="3753"/>
      <c r="X4" s="3482"/>
      <c r="Y4" s="3747" t="s">
        <v>1672</v>
      </c>
      <c r="Z4" s="3748"/>
      <c r="AA4" s="3734" t="s">
        <v>1668</v>
      </c>
      <c r="AB4" s="3735" t="s">
        <v>1669</v>
      </c>
      <c r="AC4" s="3734" t="s">
        <v>1670</v>
      </c>
    </row>
    <row r="5" spans="1:29" ht="15">
      <c r="A5" s="358"/>
      <c r="B5" s="359"/>
      <c r="C5" s="3756" t="s">
        <v>3491</v>
      </c>
      <c r="D5" s="3757"/>
      <c r="E5" s="3763" t="s">
        <v>3481</v>
      </c>
      <c r="F5" s="3764"/>
      <c r="G5" s="3756" t="s">
        <v>3481</v>
      </c>
      <c r="H5" s="3757"/>
      <c r="I5" s="3756" t="s">
        <v>3481</v>
      </c>
      <c r="J5" s="3757"/>
      <c r="K5" s="559"/>
      <c r="L5" s="913"/>
      <c r="M5" s="914"/>
      <c r="N5" s="914"/>
      <c r="O5" s="914"/>
      <c r="P5" s="3743"/>
      <c r="Q5" s="3744"/>
      <c r="R5" s="3749"/>
      <c r="S5" s="3750"/>
      <c r="T5" s="3749"/>
      <c r="U5" s="3750"/>
      <c r="V5" s="3753"/>
      <c r="W5" s="3753"/>
      <c r="X5" s="3482"/>
      <c r="Y5" s="3749"/>
      <c r="Z5" s="3750"/>
      <c r="AA5" s="3735"/>
      <c r="AB5" s="3735"/>
      <c r="AC5" s="3735"/>
    </row>
    <row r="6" spans="1:29" ht="15.75" thickBot="1">
      <c r="A6" s="360"/>
      <c r="B6" s="361"/>
      <c r="C6" s="3754" t="s">
        <v>1677</v>
      </c>
      <c r="D6" s="3755"/>
      <c r="E6" s="3761" t="s">
        <v>1677</v>
      </c>
      <c r="F6" s="3762"/>
      <c r="G6" s="3754" t="s">
        <v>1677</v>
      </c>
      <c r="H6" s="3755"/>
      <c r="I6" s="3754" t="s">
        <v>1677</v>
      </c>
      <c r="J6" s="3755"/>
      <c r="K6" s="559" t="s">
        <v>1678</v>
      </c>
      <c r="L6" s="913"/>
      <c r="M6" s="914"/>
      <c r="N6" s="914"/>
      <c r="O6" s="914"/>
      <c r="P6" s="3745"/>
      <c r="Q6" s="3746"/>
      <c r="R6" s="3749"/>
      <c r="S6" s="3750"/>
      <c r="T6" s="3751"/>
      <c r="U6" s="3752"/>
      <c r="V6" s="3753"/>
      <c r="W6" s="3753"/>
      <c r="X6" s="3482"/>
      <c r="Y6" s="3751"/>
      <c r="Z6" s="3752"/>
      <c r="AA6" s="3736"/>
      <c r="AB6" s="3736"/>
      <c r="AC6" s="3736"/>
    </row>
    <row r="7" spans="1:29" s="108" customFormat="1" ht="15.75" thickBot="1">
      <c r="A7" s="362" t="s">
        <v>1679</v>
      </c>
      <c r="B7" s="363"/>
      <c r="C7" s="364">
        <f>'数据-取费表'!B2</f>
        <v>45924</v>
      </c>
      <c r="D7" s="365">
        <v>100</v>
      </c>
      <c r="E7" s="366">
        <f>C7</f>
        <v>45924</v>
      </c>
      <c r="F7" s="367">
        <f>SUMIF(52:52,YEAR(E7)&amp;"-"&amp;MONTH(E7),53:53)</f>
        <v>100</v>
      </c>
      <c r="G7" s="366">
        <f>C7</f>
        <v>45924</v>
      </c>
      <c r="H7" s="365">
        <f>SUMIF(52:52,YEAR(G7)&amp;"-"&amp;MONTH(G7),53:53)</f>
        <v>100</v>
      </c>
      <c r="I7" s="366">
        <f>C7</f>
        <v>45924</v>
      </c>
      <c r="J7" s="365">
        <f>SUMIF(52:52,YEAR(I7)&amp;"-"&amp;MONTH(I7),53:53)</f>
        <v>100</v>
      </c>
      <c r="K7" s="560"/>
      <c r="L7" s="915"/>
      <c r="M7" s="916"/>
      <c r="N7" s="916"/>
      <c r="O7" s="916"/>
      <c r="P7" s="3758" t="s">
        <v>1680</v>
      </c>
      <c r="Q7" s="3760"/>
      <c r="R7" s="701" t="s">
        <v>14</v>
      </c>
      <c r="S7" s="702">
        <f t="shared" ref="S7:S15" si="0">F7</f>
        <v>100</v>
      </c>
      <c r="T7" s="701" t="s">
        <v>14</v>
      </c>
      <c r="U7" s="702">
        <f t="shared" ref="U7:U15" si="1">H7</f>
        <v>100</v>
      </c>
      <c r="V7" s="701" t="s">
        <v>14</v>
      </c>
      <c r="W7" s="702">
        <f t="shared" ref="W7:W15" si="2">J7</f>
        <v>100</v>
      </c>
      <c r="X7" s="703"/>
      <c r="Y7" s="3758" t="s">
        <v>1680</v>
      </c>
      <c r="Z7" s="3759"/>
      <c r="AA7" s="704">
        <f>D7/F7</f>
        <v>1</v>
      </c>
      <c r="AB7" s="704">
        <f>D7/H7</f>
        <v>1</v>
      </c>
      <c r="AC7" s="704">
        <f>D7/J7</f>
        <v>1</v>
      </c>
    </row>
    <row r="8" spans="1:29" s="108" customFormat="1" ht="15.75" thickBot="1">
      <c r="A8" s="362" t="s">
        <v>1681</v>
      </c>
      <c r="B8" s="363"/>
      <c r="C8" s="368" t="s">
        <v>3447</v>
      </c>
      <c r="D8" s="365">
        <v>100</v>
      </c>
      <c r="E8" s="368" t="s">
        <v>3449</v>
      </c>
      <c r="F8" s="367">
        <f>SUMIF(55:55,E8,56:56)-SUMIF(55:55,C8,56:56)+100</f>
        <v>103</v>
      </c>
      <c r="G8" s="368" t="s">
        <v>3449</v>
      </c>
      <c r="H8" s="365">
        <f>SUMIF(55:55,G8,56:56)-SUMIF(55:55,C8,56:56)+100</f>
        <v>103</v>
      </c>
      <c r="I8" s="368" t="s">
        <v>3449</v>
      </c>
      <c r="J8" s="365">
        <f>SUMIF(55:55,I8,56:56)-SUMIF(55:55,C8,56:56)+100</f>
        <v>103</v>
      </c>
      <c r="K8" s="560"/>
      <c r="L8" s="915"/>
      <c r="M8" s="916"/>
      <c r="N8" s="916"/>
      <c r="O8" s="916"/>
      <c r="P8" s="3758" t="s">
        <v>1683</v>
      </c>
      <c r="Q8" s="3759"/>
      <c r="R8" s="701" t="s">
        <v>14</v>
      </c>
      <c r="S8" s="702">
        <f t="shared" si="0"/>
        <v>103</v>
      </c>
      <c r="T8" s="701" t="s">
        <v>14</v>
      </c>
      <c r="U8" s="702">
        <f t="shared" si="1"/>
        <v>103</v>
      </c>
      <c r="V8" s="701" t="s">
        <v>14</v>
      </c>
      <c r="W8" s="702">
        <f t="shared" si="2"/>
        <v>103</v>
      </c>
      <c r="X8" s="703"/>
      <c r="Y8" s="3758" t="s">
        <v>1683</v>
      </c>
      <c r="Z8" s="3759"/>
      <c r="AA8" s="704">
        <f t="shared" ref="AA8:AA40" si="3">D8/F8</f>
        <v>0.970873786407767</v>
      </c>
      <c r="AB8" s="704">
        <f t="shared" ref="AB8:AB40" si="4">D8/H8</f>
        <v>0.970873786407767</v>
      </c>
      <c r="AC8" s="704">
        <f t="shared" ref="AC8:AC40" si="5">D8/J8</f>
        <v>0.970873786407767</v>
      </c>
    </row>
    <row r="9" spans="1:29" s="108" customFormat="1">
      <c r="A9" s="369" t="s">
        <v>1684</v>
      </c>
      <c r="B9" s="63" t="s">
        <v>1685</v>
      </c>
      <c r="C9" s="3486" t="s">
        <v>3448</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724" t="s">
        <v>1686</v>
      </c>
      <c r="Q9" s="3479" t="str">
        <f t="shared" ref="Q9:Q15" si="6">B9</f>
        <v>用途</v>
      </c>
      <c r="R9" s="701" t="s">
        <v>14</v>
      </c>
      <c r="S9" s="702">
        <f t="shared" si="0"/>
        <v>100</v>
      </c>
      <c r="T9" s="701" t="s">
        <v>14</v>
      </c>
      <c r="U9" s="702">
        <f t="shared" si="1"/>
        <v>100</v>
      </c>
      <c r="V9" s="701" t="s">
        <v>14</v>
      </c>
      <c r="W9" s="702">
        <f t="shared" si="2"/>
        <v>100</v>
      </c>
      <c r="X9" s="703"/>
      <c r="Y9" s="3628" t="s">
        <v>1687</v>
      </c>
      <c r="Z9" s="3478"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4"/>
      <c r="Q10" s="3479" t="str">
        <f t="shared" si="6"/>
        <v>土地使用年限（年）</v>
      </c>
      <c r="R10" s="701" t="s">
        <v>14</v>
      </c>
      <c r="S10" s="702">
        <f t="shared" si="0"/>
        <v>100</v>
      </c>
      <c r="T10" s="701" t="s">
        <v>14</v>
      </c>
      <c r="U10" s="702">
        <f t="shared" si="1"/>
        <v>100</v>
      </c>
      <c r="V10" s="701" t="s">
        <v>14</v>
      </c>
      <c r="W10" s="702">
        <f t="shared" si="2"/>
        <v>100</v>
      </c>
      <c r="X10" s="703"/>
      <c r="Y10" s="3628"/>
      <c r="Z10" s="3478"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4"/>
      <c r="Q11" s="3479" t="str">
        <f t="shared" si="6"/>
        <v>容积率</v>
      </c>
      <c r="R11" s="701" t="s">
        <v>14</v>
      </c>
      <c r="S11" s="702">
        <f t="shared" si="0"/>
        <v>100</v>
      </c>
      <c r="T11" s="701" t="s">
        <v>14</v>
      </c>
      <c r="U11" s="702">
        <f t="shared" si="1"/>
        <v>100</v>
      </c>
      <c r="V11" s="701" t="s">
        <v>14</v>
      </c>
      <c r="W11" s="702">
        <f t="shared" si="2"/>
        <v>100</v>
      </c>
      <c r="X11" s="703"/>
      <c r="Y11" s="3628"/>
      <c r="Z11" s="3478" t="str">
        <f t="shared" si="7"/>
        <v>容积率</v>
      </c>
      <c r="AA11" s="704">
        <f t="shared" si="3"/>
        <v>1</v>
      </c>
      <c r="AB11" s="704">
        <f t="shared" si="4"/>
        <v>1</v>
      </c>
      <c r="AC11" s="704">
        <f t="shared" si="5"/>
        <v>1</v>
      </c>
    </row>
    <row r="12" spans="1:29" s="108" customFormat="1" ht="15">
      <c r="A12" s="382"/>
      <c r="B12" s="3496" t="s">
        <v>3486</v>
      </c>
      <c r="C12" s="3497" t="s">
        <v>3487</v>
      </c>
      <c r="D12" s="384">
        <v>100</v>
      </c>
      <c r="E12" s="3497" t="s">
        <v>3487</v>
      </c>
      <c r="F12" s="127">
        <f>SUMIF(64:64,E12,65:65)-SUMIF(64:64,C12,65:65)+100</f>
        <v>100</v>
      </c>
      <c r="G12" s="3497" t="s">
        <v>3487</v>
      </c>
      <c r="H12" s="127">
        <f>SUMIF(64:64,G12,65:65)-SUMIF(64:64,C12,65:65)+100</f>
        <v>100</v>
      </c>
      <c r="I12" s="3497" t="s">
        <v>3487</v>
      </c>
      <c r="J12" s="127">
        <f>SUMIF(64:64,I12,65:65)-SUMIF(64:64,C12,65:65)+100</f>
        <v>100</v>
      </c>
      <c r="K12" s="562"/>
      <c r="L12" s="915"/>
      <c r="M12" s="916"/>
      <c r="N12" s="916"/>
      <c r="O12" s="917"/>
      <c r="P12" s="3724"/>
      <c r="Q12" s="3479" t="str">
        <f t="shared" si="6"/>
        <v>租金内涵</v>
      </c>
      <c r="R12" s="701" t="s">
        <v>14</v>
      </c>
      <c r="S12" s="702">
        <f t="shared" si="0"/>
        <v>100</v>
      </c>
      <c r="T12" s="701" t="s">
        <v>14</v>
      </c>
      <c r="U12" s="702">
        <f t="shared" si="1"/>
        <v>100</v>
      </c>
      <c r="V12" s="701" t="s">
        <v>14</v>
      </c>
      <c r="W12" s="702">
        <f t="shared" si="2"/>
        <v>100</v>
      </c>
      <c r="X12" s="703"/>
      <c r="Y12" s="3628"/>
      <c r="Z12" s="3478" t="str">
        <f t="shared" si="7"/>
        <v>租金内涵</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4"/>
      <c r="Q13" s="3479">
        <f t="shared" si="6"/>
        <v>111</v>
      </c>
      <c r="R13" s="701" t="s">
        <v>14</v>
      </c>
      <c r="S13" s="702">
        <f t="shared" si="0"/>
        <v>100</v>
      </c>
      <c r="T13" s="701" t="s">
        <v>14</v>
      </c>
      <c r="U13" s="702">
        <f t="shared" si="1"/>
        <v>100</v>
      </c>
      <c r="V13" s="701" t="s">
        <v>14</v>
      </c>
      <c r="W13" s="702">
        <f t="shared" si="2"/>
        <v>100</v>
      </c>
      <c r="X13" s="703"/>
      <c r="Y13" s="3628"/>
      <c r="Z13" s="3478">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4"/>
      <c r="Q14" s="3479">
        <f t="shared" si="6"/>
        <v>111</v>
      </c>
      <c r="R14" s="701" t="s">
        <v>14</v>
      </c>
      <c r="S14" s="702">
        <f t="shared" si="0"/>
        <v>100</v>
      </c>
      <c r="T14" s="701" t="s">
        <v>14</v>
      </c>
      <c r="U14" s="702">
        <f t="shared" si="1"/>
        <v>100</v>
      </c>
      <c r="V14" s="701" t="s">
        <v>14</v>
      </c>
      <c r="W14" s="702">
        <f t="shared" si="2"/>
        <v>100</v>
      </c>
      <c r="X14" s="703"/>
      <c r="Y14" s="3628"/>
      <c r="Z14" s="3478">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v>2</v>
      </c>
      <c r="L15" s="923"/>
      <c r="M15" s="914"/>
      <c r="N15" s="914"/>
      <c r="O15" s="922"/>
      <c r="P15" s="3729" t="s">
        <v>1691</v>
      </c>
      <c r="Q15" s="3480" t="str">
        <f t="shared" si="6"/>
        <v>产业集聚程度</v>
      </c>
      <c r="R15" s="705" t="s">
        <v>14</v>
      </c>
      <c r="S15" s="706">
        <f t="shared" si="0"/>
        <v>100</v>
      </c>
      <c r="T15" s="705" t="s">
        <v>14</v>
      </c>
      <c r="U15" s="706">
        <f t="shared" si="1"/>
        <v>100</v>
      </c>
      <c r="V15" s="705" t="s">
        <v>14</v>
      </c>
      <c r="W15" s="706">
        <f t="shared" si="2"/>
        <v>100</v>
      </c>
      <c r="X15" s="3482"/>
      <c r="Y15" s="3729" t="s">
        <v>1691</v>
      </c>
      <c r="Z15" s="3483" t="str">
        <f t="shared" si="7"/>
        <v>产业集聚程度</v>
      </c>
      <c r="AA15" s="3481">
        <f t="shared" si="3"/>
        <v>1</v>
      </c>
      <c r="AB15" s="3481">
        <f t="shared" si="4"/>
        <v>1</v>
      </c>
      <c r="AC15" s="3481">
        <f t="shared" si="5"/>
        <v>1</v>
      </c>
    </row>
    <row r="16" spans="1:29" ht="15">
      <c r="A16" s="379"/>
      <c r="B16" s="397"/>
      <c r="C16" s="398" t="s">
        <v>3473</v>
      </c>
      <c r="D16" s="399"/>
      <c r="E16" s="398" t="s">
        <v>3473</v>
      </c>
      <c r="F16" s="400"/>
      <c r="G16" s="398" t="s">
        <v>3473</v>
      </c>
      <c r="H16" s="401"/>
      <c r="I16" s="398" t="s">
        <v>3473</v>
      </c>
      <c r="J16" s="399"/>
      <c r="K16" s="564"/>
      <c r="L16" s="923"/>
      <c r="M16" s="914"/>
      <c r="N16" s="914"/>
      <c r="O16" s="922"/>
      <c r="P16" s="3730"/>
      <c r="Q16" s="3480"/>
      <c r="R16" s="705"/>
      <c r="S16" s="706"/>
      <c r="T16" s="705"/>
      <c r="U16" s="706"/>
      <c r="V16" s="705"/>
      <c r="W16" s="706"/>
      <c r="X16" s="3482"/>
      <c r="Y16" s="3730"/>
      <c r="Z16" s="3483"/>
      <c r="AA16" s="3481">
        <v>1</v>
      </c>
      <c r="AB16" s="3481">
        <v>1</v>
      </c>
      <c r="AC16" s="3481">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v>2</v>
      </c>
      <c r="L17" s="923"/>
      <c r="M17" s="914"/>
      <c r="N17" s="914"/>
      <c r="O17" s="922"/>
      <c r="P17" s="3730"/>
      <c r="Q17" s="3480" t="str">
        <f>B17</f>
        <v>交通便捷度</v>
      </c>
      <c r="R17" s="705" t="s">
        <v>14</v>
      </c>
      <c r="S17" s="706">
        <f>F17</f>
        <v>100</v>
      </c>
      <c r="T17" s="705" t="s">
        <v>14</v>
      </c>
      <c r="U17" s="706">
        <f>H17</f>
        <v>100</v>
      </c>
      <c r="V17" s="705" t="s">
        <v>14</v>
      </c>
      <c r="W17" s="706">
        <f>J17</f>
        <v>100</v>
      </c>
      <c r="X17" s="3482"/>
      <c r="Y17" s="3730"/>
      <c r="Z17" s="3483" t="str">
        <f>Q17</f>
        <v>交通便捷度</v>
      </c>
      <c r="AA17" s="3481">
        <f t="shared" si="3"/>
        <v>1</v>
      </c>
      <c r="AB17" s="3481">
        <f t="shared" si="4"/>
        <v>1</v>
      </c>
      <c r="AC17" s="3481">
        <f t="shared" si="5"/>
        <v>1</v>
      </c>
    </row>
    <row r="18" spans="1:29" ht="15">
      <c r="A18" s="379"/>
      <c r="B18" s="407"/>
      <c r="C18" s="1901" t="s">
        <v>3472</v>
      </c>
      <c r="D18" s="401"/>
      <c r="E18" s="1901" t="s">
        <v>3472</v>
      </c>
      <c r="F18" s="404"/>
      <c r="G18" s="1901" t="s">
        <v>3472</v>
      </c>
      <c r="H18" s="399"/>
      <c r="I18" s="1901" t="s">
        <v>3472</v>
      </c>
      <c r="J18" s="399"/>
      <c r="K18" s="564"/>
      <c r="L18" s="923"/>
      <c r="M18" s="914"/>
      <c r="N18" s="914"/>
      <c r="O18" s="922"/>
      <c r="P18" s="3730"/>
      <c r="Q18" s="3480"/>
      <c r="R18" s="705"/>
      <c r="S18" s="706"/>
      <c r="T18" s="705"/>
      <c r="U18" s="706"/>
      <c r="V18" s="705"/>
      <c r="W18" s="706"/>
      <c r="X18" s="3482"/>
      <c r="Y18" s="3730"/>
      <c r="Z18" s="3483"/>
      <c r="AA18" s="3481">
        <v>1</v>
      </c>
      <c r="AB18" s="3481">
        <v>1</v>
      </c>
      <c r="AC18" s="3481">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23"/>
      <c r="M19" s="914"/>
      <c r="N19" s="914"/>
      <c r="O19" s="922"/>
      <c r="P19" s="3730"/>
      <c r="Q19" s="3480" t="str">
        <f>B19</f>
        <v>公共配套设施</v>
      </c>
      <c r="R19" s="705" t="s">
        <v>14</v>
      </c>
      <c r="S19" s="706">
        <f>F19</f>
        <v>100</v>
      </c>
      <c r="T19" s="705" t="s">
        <v>14</v>
      </c>
      <c r="U19" s="706">
        <f>H19</f>
        <v>100</v>
      </c>
      <c r="V19" s="705" t="s">
        <v>14</v>
      </c>
      <c r="W19" s="706">
        <f>J19</f>
        <v>100</v>
      </c>
      <c r="X19" s="3482"/>
      <c r="Y19" s="3730"/>
      <c r="Z19" s="3483" t="str">
        <f>Q19</f>
        <v>公共配套设施</v>
      </c>
      <c r="AA19" s="3481">
        <f t="shared" si="3"/>
        <v>1</v>
      </c>
      <c r="AB19" s="3481">
        <f t="shared" si="4"/>
        <v>1</v>
      </c>
      <c r="AC19" s="3481">
        <f t="shared" si="5"/>
        <v>1</v>
      </c>
    </row>
    <row r="20" spans="1:29" ht="15">
      <c r="A20" s="379"/>
      <c r="B20" s="407"/>
      <c r="C20" s="398" t="s">
        <v>3474</v>
      </c>
      <c r="D20" s="399"/>
      <c r="E20" s="398" t="s">
        <v>3474</v>
      </c>
      <c r="F20" s="400"/>
      <c r="G20" s="398" t="s">
        <v>3474</v>
      </c>
      <c r="H20" s="399"/>
      <c r="I20" s="398" t="s">
        <v>3474</v>
      </c>
      <c r="J20" s="399"/>
      <c r="K20" s="564"/>
      <c r="L20" s="923"/>
      <c r="M20" s="914"/>
      <c r="N20" s="914"/>
      <c r="O20" s="922"/>
      <c r="P20" s="3730"/>
      <c r="Q20" s="3480"/>
      <c r="R20" s="705"/>
      <c r="S20" s="706"/>
      <c r="T20" s="705"/>
      <c r="U20" s="706"/>
      <c r="V20" s="705"/>
      <c r="W20" s="706"/>
      <c r="X20" s="3482"/>
      <c r="Y20" s="3730"/>
      <c r="Z20" s="3483"/>
      <c r="AA20" s="3481">
        <v>1</v>
      </c>
      <c r="AB20" s="3481">
        <v>1</v>
      </c>
      <c r="AC20" s="3481">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1</v>
      </c>
      <c r="L21" s="923"/>
      <c r="M21" s="914"/>
      <c r="N21" s="914"/>
      <c r="O21" s="922"/>
      <c r="P21" s="3730"/>
      <c r="Q21" s="3480" t="str">
        <f>B21</f>
        <v>基础设施水平</v>
      </c>
      <c r="R21" s="705" t="s">
        <v>14</v>
      </c>
      <c r="S21" s="706">
        <f>F21</f>
        <v>100</v>
      </c>
      <c r="T21" s="705" t="s">
        <v>14</v>
      </c>
      <c r="U21" s="706">
        <f>H21</f>
        <v>100</v>
      </c>
      <c r="V21" s="705" t="s">
        <v>14</v>
      </c>
      <c r="W21" s="706">
        <f>J21</f>
        <v>100</v>
      </c>
      <c r="X21" s="3482"/>
      <c r="Y21" s="3730"/>
      <c r="Z21" s="3483" t="str">
        <f>Q21</f>
        <v>基础设施水平</v>
      </c>
      <c r="AA21" s="3481">
        <f t="shared" ref="AA21" si="8">D21/F21</f>
        <v>1</v>
      </c>
      <c r="AB21" s="3481">
        <f t="shared" ref="AB21" si="9">D21/H21</f>
        <v>1</v>
      </c>
      <c r="AC21" s="3481">
        <f t="shared" ref="AC21" si="10">D21/J21</f>
        <v>1</v>
      </c>
    </row>
    <row r="22" spans="1:29" ht="15">
      <c r="A22" s="379"/>
      <c r="B22" s="1131"/>
      <c r="C22" s="1901" t="s">
        <v>3467</v>
      </c>
      <c r="D22" s="399"/>
      <c r="E22" s="1901" t="s">
        <v>3467</v>
      </c>
      <c r="F22" s="400"/>
      <c r="G22" s="1901" t="s">
        <v>3467</v>
      </c>
      <c r="H22" s="399"/>
      <c r="I22" s="1901" t="s">
        <v>3467</v>
      </c>
      <c r="J22" s="399"/>
      <c r="K22" s="1130"/>
      <c r="L22" s="923"/>
      <c r="M22" s="914"/>
      <c r="N22" s="914"/>
      <c r="O22" s="922"/>
      <c r="P22" s="3730"/>
      <c r="Q22" s="3480"/>
      <c r="R22" s="705"/>
      <c r="S22" s="706"/>
      <c r="T22" s="705"/>
      <c r="U22" s="706"/>
      <c r="V22" s="705"/>
      <c r="W22" s="706"/>
      <c r="X22" s="3482"/>
      <c r="Y22" s="3730"/>
      <c r="Z22" s="3483"/>
      <c r="AA22" s="3481">
        <v>1</v>
      </c>
      <c r="AB22" s="3481">
        <v>1</v>
      </c>
      <c r="AC22" s="3481">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2</v>
      </c>
      <c r="L23" s="923"/>
      <c r="M23" s="914"/>
      <c r="N23" s="914"/>
      <c r="O23" s="922"/>
      <c r="P23" s="3730"/>
      <c r="Q23" s="3480" t="str">
        <f>B23</f>
        <v>环境质量</v>
      </c>
      <c r="R23" s="705" t="s">
        <v>14</v>
      </c>
      <c r="S23" s="706">
        <f>F23</f>
        <v>100</v>
      </c>
      <c r="T23" s="705" t="s">
        <v>14</v>
      </c>
      <c r="U23" s="706">
        <f>H23</f>
        <v>100</v>
      </c>
      <c r="V23" s="705" t="s">
        <v>14</v>
      </c>
      <c r="W23" s="706">
        <f>J23</f>
        <v>100</v>
      </c>
      <c r="X23" s="3482"/>
      <c r="Y23" s="3730"/>
      <c r="Z23" s="3483" t="str">
        <f>Q23</f>
        <v>环境质量</v>
      </c>
      <c r="AA23" s="3481">
        <f t="shared" si="3"/>
        <v>1</v>
      </c>
      <c r="AB23" s="3481">
        <f t="shared" si="4"/>
        <v>1</v>
      </c>
      <c r="AC23" s="3481">
        <f t="shared" si="5"/>
        <v>1</v>
      </c>
    </row>
    <row r="24" spans="1:29" ht="15">
      <c r="A24" s="379"/>
      <c r="B24" s="1131"/>
      <c r="C24" s="398" t="s">
        <v>3472</v>
      </c>
      <c r="D24" s="399"/>
      <c r="E24" s="398" t="s">
        <v>3472</v>
      </c>
      <c r="F24" s="400"/>
      <c r="G24" s="398" t="s">
        <v>3472</v>
      </c>
      <c r="H24" s="399"/>
      <c r="I24" s="398" t="s">
        <v>3472</v>
      </c>
      <c r="J24" s="399"/>
      <c r="K24" s="564"/>
      <c r="L24" s="923"/>
      <c r="M24" s="914"/>
      <c r="N24" s="914"/>
      <c r="O24" s="922"/>
      <c r="P24" s="3730"/>
      <c r="Q24" s="3480"/>
      <c r="R24" s="705"/>
      <c r="S24" s="706"/>
      <c r="T24" s="705"/>
      <c r="U24" s="706"/>
      <c r="V24" s="705"/>
      <c r="W24" s="706"/>
      <c r="X24" s="3482"/>
      <c r="Y24" s="3730"/>
      <c r="Z24" s="3483"/>
      <c r="AA24" s="3481">
        <v>1</v>
      </c>
      <c r="AB24" s="3481">
        <v>1</v>
      </c>
      <c r="AC24" s="3481">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0"/>
      <c r="Q25" s="3480">
        <f>B25</f>
        <v>111</v>
      </c>
      <c r="R25" s="705" t="s">
        <v>14</v>
      </c>
      <c r="S25" s="706">
        <f>F25</f>
        <v>100</v>
      </c>
      <c r="T25" s="705" t="s">
        <v>14</v>
      </c>
      <c r="U25" s="706">
        <f>H25</f>
        <v>100</v>
      </c>
      <c r="V25" s="705" t="s">
        <v>14</v>
      </c>
      <c r="W25" s="706">
        <f>J25</f>
        <v>100</v>
      </c>
      <c r="X25" s="3482"/>
      <c r="Y25" s="3730"/>
      <c r="Z25" s="3483">
        <f>Q25</f>
        <v>111</v>
      </c>
      <c r="AA25" s="3481">
        <f t="shared" si="3"/>
        <v>1</v>
      </c>
      <c r="AB25" s="3481">
        <f t="shared" si="4"/>
        <v>1</v>
      </c>
      <c r="AC25" s="3481">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0"/>
      <c r="Q26" s="3480">
        <f t="shared" ref="Q26:Q40" si="11">B26</f>
        <v>111</v>
      </c>
      <c r="R26" s="705" t="s">
        <v>14</v>
      </c>
      <c r="S26" s="706">
        <f>F26</f>
        <v>100</v>
      </c>
      <c r="T26" s="705" t="s">
        <v>14</v>
      </c>
      <c r="U26" s="706">
        <f>H26</f>
        <v>100</v>
      </c>
      <c r="V26" s="705" t="s">
        <v>14</v>
      </c>
      <c r="W26" s="706">
        <f>J26</f>
        <v>100</v>
      </c>
      <c r="X26" s="3482"/>
      <c r="Y26" s="3730"/>
      <c r="Z26" s="3483">
        <f>Q26</f>
        <v>111</v>
      </c>
      <c r="AA26" s="3481">
        <f t="shared" si="3"/>
        <v>1</v>
      </c>
      <c r="AB26" s="3481">
        <f t="shared" si="4"/>
        <v>1</v>
      </c>
      <c r="AC26" s="3481">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0"/>
      <c r="Q27" s="3479">
        <f t="shared" si="11"/>
        <v>111</v>
      </c>
      <c r="R27" s="701" t="s">
        <v>14</v>
      </c>
      <c r="S27" s="702">
        <f>F27</f>
        <v>100</v>
      </c>
      <c r="T27" s="701" t="s">
        <v>14</v>
      </c>
      <c r="U27" s="702">
        <f>H27</f>
        <v>100</v>
      </c>
      <c r="V27" s="701" t="s">
        <v>14</v>
      </c>
      <c r="W27" s="702">
        <f>J27</f>
        <v>100</v>
      </c>
      <c r="X27" s="703"/>
      <c r="Y27" s="3730"/>
      <c r="Z27" s="3478">
        <f>Q27</f>
        <v>111</v>
      </c>
      <c r="AA27" s="3481">
        <f>D27/F27</f>
        <v>1</v>
      </c>
      <c r="AB27" s="3481">
        <f>D27/H27</f>
        <v>1</v>
      </c>
      <c r="AC27" s="3481">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0"/>
      <c r="Q28" s="3480">
        <f t="shared" si="11"/>
        <v>111</v>
      </c>
      <c r="R28" s="705" t="s">
        <v>14</v>
      </c>
      <c r="S28" s="706">
        <f t="shared" ref="S28:S40" si="12">F28</f>
        <v>100</v>
      </c>
      <c r="T28" s="705" t="s">
        <v>14</v>
      </c>
      <c r="U28" s="706">
        <f t="shared" ref="U28:U40" si="13">H28</f>
        <v>100</v>
      </c>
      <c r="V28" s="705" t="s">
        <v>14</v>
      </c>
      <c r="W28" s="706">
        <f t="shared" ref="W28:W40" si="14">J28</f>
        <v>100</v>
      </c>
      <c r="X28" s="3482"/>
      <c r="Y28" s="3730"/>
      <c r="Z28" s="3483">
        <f t="shared" ref="Z28:Z40" si="15">Q28</f>
        <v>111</v>
      </c>
      <c r="AA28" s="3481">
        <f t="shared" si="3"/>
        <v>1</v>
      </c>
      <c r="AB28" s="3481">
        <f t="shared" si="4"/>
        <v>1</v>
      </c>
      <c r="AC28" s="3481">
        <f t="shared" si="5"/>
        <v>1</v>
      </c>
    </row>
    <row r="29" spans="1:29" ht="28.5">
      <c r="A29" s="417" t="s">
        <v>1694</v>
      </c>
      <c r="B29" s="63" t="s">
        <v>1817</v>
      </c>
      <c r="C29" s="1967" t="s">
        <v>3456</v>
      </c>
      <c r="D29" s="418">
        <v>100</v>
      </c>
      <c r="E29" s="1967" t="s">
        <v>3456</v>
      </c>
      <c r="F29" s="412">
        <f>SUMIF(88:88,E29,89:89)-SUMIF(88:88,C29,89:89)+100</f>
        <v>100</v>
      </c>
      <c r="G29" s="1967" t="s">
        <v>3456</v>
      </c>
      <c r="H29" s="386">
        <f>SUMIF(88:88,G29,89:89)-SUMIF(88:88,C29,89:89)+100</f>
        <v>100</v>
      </c>
      <c r="I29" s="1967" t="s">
        <v>3456</v>
      </c>
      <c r="J29" s="418">
        <f>SUMIF(88:88,I29,89:89)-SUMIF(88:88,C29,89:89)+100</f>
        <v>100</v>
      </c>
      <c r="K29" s="561">
        <v>1</v>
      </c>
      <c r="L29" s="923"/>
      <c r="M29" s="914"/>
      <c r="N29" s="914"/>
      <c r="O29" s="922"/>
      <c r="P29" s="3731" t="s">
        <v>1696</v>
      </c>
      <c r="Q29" s="3480" t="str">
        <f t="shared" si="11"/>
        <v>建筑类型</v>
      </c>
      <c r="R29" s="705" t="s">
        <v>14</v>
      </c>
      <c r="S29" s="706">
        <f t="shared" si="12"/>
        <v>100</v>
      </c>
      <c r="T29" s="705" t="s">
        <v>14</v>
      </c>
      <c r="U29" s="706">
        <f t="shared" si="13"/>
        <v>100</v>
      </c>
      <c r="V29" s="705" t="s">
        <v>14</v>
      </c>
      <c r="W29" s="706">
        <f t="shared" si="14"/>
        <v>100</v>
      </c>
      <c r="X29" s="3482"/>
      <c r="Y29" s="3732" t="s">
        <v>1696</v>
      </c>
      <c r="Z29" s="3483" t="str">
        <f t="shared" si="15"/>
        <v>建筑类型</v>
      </c>
      <c r="AA29" s="3481">
        <f t="shared" si="3"/>
        <v>1</v>
      </c>
      <c r="AB29" s="3481">
        <f t="shared" si="4"/>
        <v>1</v>
      </c>
      <c r="AC29" s="3481">
        <f t="shared" si="5"/>
        <v>1</v>
      </c>
    </row>
    <row r="30" spans="1:29" s="422" customFormat="1" ht="15">
      <c r="A30" s="419"/>
      <c r="B30" s="375" t="s">
        <v>1697</v>
      </c>
      <c r="C30" s="420">
        <f>'数据-汇总表'!E3</f>
        <v>585.52</v>
      </c>
      <c r="D30" s="127">
        <v>100</v>
      </c>
      <c r="E30" s="420">
        <v>684</v>
      </c>
      <c r="F30" s="376">
        <f>LOOKUP(E30,91:91,92:92)-LOOKUP(C30,91:91,92:92)+100</f>
        <v>100</v>
      </c>
      <c r="G30" s="420">
        <v>800</v>
      </c>
      <c r="H30" s="127">
        <f>LOOKUP(G30,91:91,92:92)-LOOKUP(C30,91:91,92:92)+100</f>
        <v>100</v>
      </c>
      <c r="I30" s="420">
        <v>300</v>
      </c>
      <c r="J30" s="127">
        <f>LOOKUP(I30,91:91,92:92)-LOOKUP(C30,91:91,92:92)+100</f>
        <v>100</v>
      </c>
      <c r="K30" s="562"/>
      <c r="L30" s="921"/>
      <c r="M30" s="924"/>
      <c r="N30" s="924"/>
      <c r="O30" s="925"/>
      <c r="P30" s="3732"/>
      <c r="Q30" s="707" t="str">
        <f t="shared" si="11"/>
        <v>项目建筑规模</v>
      </c>
      <c r="R30" s="708" t="s">
        <v>14</v>
      </c>
      <c r="S30" s="709">
        <f t="shared" si="12"/>
        <v>100</v>
      </c>
      <c r="T30" s="708" t="s">
        <v>14</v>
      </c>
      <c r="U30" s="709">
        <f t="shared" si="13"/>
        <v>100</v>
      </c>
      <c r="V30" s="708" t="s">
        <v>14</v>
      </c>
      <c r="W30" s="709">
        <f t="shared" si="14"/>
        <v>100</v>
      </c>
      <c r="X30" s="710"/>
      <c r="Y30" s="3732"/>
      <c r="Z30" s="711" t="str">
        <f t="shared" si="15"/>
        <v>项目建筑规模</v>
      </c>
      <c r="AA30" s="3481">
        <f t="shared" si="3"/>
        <v>1</v>
      </c>
      <c r="AB30" s="3481">
        <f t="shared" si="4"/>
        <v>1</v>
      </c>
      <c r="AC30" s="3481">
        <f t="shared" si="5"/>
        <v>1</v>
      </c>
    </row>
    <row r="31" spans="1:29" ht="15">
      <c r="A31" s="423"/>
      <c r="B31" s="375" t="s">
        <v>1698</v>
      </c>
      <c r="C31" s="411" t="s">
        <v>3442</v>
      </c>
      <c r="D31" s="386">
        <v>100</v>
      </c>
      <c r="E31" s="411" t="s">
        <v>3442</v>
      </c>
      <c r="F31" s="412">
        <f>SUMIF(93:93,E31,94:94)-SUMIF(93:93,C31,94:94)+100</f>
        <v>100</v>
      </c>
      <c r="G31" s="411" t="s">
        <v>3442</v>
      </c>
      <c r="H31" s="386">
        <f>SUMIF(93:93,G31,94:94)-SUMIF(93:93,C31,94:94)+100</f>
        <v>100</v>
      </c>
      <c r="I31" s="411" t="s">
        <v>3442</v>
      </c>
      <c r="J31" s="386">
        <f>SUMIF(93:93,I31,94:94)-SUMIF(93:93,C31,94:94)+100</f>
        <v>100</v>
      </c>
      <c r="K31" s="561">
        <v>1</v>
      </c>
      <c r="L31" s="923"/>
      <c r="M31" s="914"/>
      <c r="N31" s="914"/>
      <c r="O31" s="922"/>
      <c r="P31" s="3732"/>
      <c r="Q31" s="3480" t="str">
        <f t="shared" si="11"/>
        <v>建筑结构</v>
      </c>
      <c r="R31" s="705" t="s">
        <v>14</v>
      </c>
      <c r="S31" s="706">
        <f t="shared" si="12"/>
        <v>100</v>
      </c>
      <c r="T31" s="705" t="s">
        <v>14</v>
      </c>
      <c r="U31" s="706">
        <f t="shared" si="13"/>
        <v>100</v>
      </c>
      <c r="V31" s="705" t="s">
        <v>14</v>
      </c>
      <c r="W31" s="706">
        <f t="shared" si="14"/>
        <v>100</v>
      </c>
      <c r="X31" s="3482"/>
      <c r="Y31" s="3732"/>
      <c r="Z31" s="3483" t="str">
        <f t="shared" si="15"/>
        <v>建筑结构</v>
      </c>
      <c r="AA31" s="3481">
        <f t="shared" si="3"/>
        <v>1</v>
      </c>
      <c r="AB31" s="3481">
        <f t="shared" si="4"/>
        <v>1</v>
      </c>
      <c r="AC31" s="3481">
        <f t="shared" si="5"/>
        <v>1</v>
      </c>
    </row>
    <row r="32" spans="1:29" ht="15">
      <c r="A32" s="423"/>
      <c r="B32" s="375" t="s">
        <v>1785</v>
      </c>
      <c r="C32" s="411" t="s">
        <v>3462</v>
      </c>
      <c r="D32" s="386">
        <v>100</v>
      </c>
      <c r="E32" s="411" t="s">
        <v>3462</v>
      </c>
      <c r="F32" s="412">
        <f>SUMIF(95:95,E32,96:96)-SUMIF(95:95,C32,96:96)+100</f>
        <v>100</v>
      </c>
      <c r="G32" s="411" t="s">
        <v>3462</v>
      </c>
      <c r="H32" s="386">
        <f>SUMIF(95:95,G32,96:96)-SUMIF(95:95,C32,96:96)+100</f>
        <v>100</v>
      </c>
      <c r="I32" s="411" t="s">
        <v>3462</v>
      </c>
      <c r="J32" s="386">
        <f>SUMIF(95:95,I32,96:96)-SUMIF(95:95,C32,96:96)+100</f>
        <v>100</v>
      </c>
      <c r="K32" s="561">
        <v>1</v>
      </c>
      <c r="L32" s="923"/>
      <c r="M32" s="914"/>
      <c r="N32" s="914"/>
      <c r="O32" s="922"/>
      <c r="P32" s="3732"/>
      <c r="Q32" s="3480" t="str">
        <f t="shared" si="11"/>
        <v>公共部分装修</v>
      </c>
      <c r="R32" s="705" t="s">
        <v>14</v>
      </c>
      <c r="S32" s="706">
        <f t="shared" si="12"/>
        <v>100</v>
      </c>
      <c r="T32" s="705" t="s">
        <v>14</v>
      </c>
      <c r="U32" s="706">
        <f t="shared" si="13"/>
        <v>100</v>
      </c>
      <c r="V32" s="705" t="s">
        <v>14</v>
      </c>
      <c r="W32" s="706">
        <f t="shared" si="14"/>
        <v>100</v>
      </c>
      <c r="X32" s="3482"/>
      <c r="Y32" s="3732"/>
      <c r="Z32" s="3483" t="str">
        <f t="shared" si="15"/>
        <v>公共部分装修</v>
      </c>
      <c r="AA32" s="3481">
        <f t="shared" si="3"/>
        <v>1</v>
      </c>
      <c r="AB32" s="3481">
        <f t="shared" si="4"/>
        <v>1</v>
      </c>
      <c r="AC32" s="3481">
        <f t="shared" si="5"/>
        <v>1</v>
      </c>
    </row>
    <row r="33" spans="1:29" ht="15">
      <c r="A33" s="423"/>
      <c r="B33" s="375" t="s">
        <v>1786</v>
      </c>
      <c r="C33" s="3491">
        <f>'数据-取费表'!N6</f>
        <v>0.77</v>
      </c>
      <c r="D33" s="386">
        <v>100</v>
      </c>
      <c r="E33" s="425">
        <v>0.77</v>
      </c>
      <c r="F33" s="412">
        <f>LOOKUP(E33,98:98,99:99)-LOOKUP(C33,98:98,99:99)+100</f>
        <v>100</v>
      </c>
      <c r="G33" s="425">
        <v>0.77</v>
      </c>
      <c r="H33" s="412">
        <f>LOOKUP(G33,98:98,99:99)-LOOKUP(C33,98:98,99:99)+100</f>
        <v>100</v>
      </c>
      <c r="I33" s="425">
        <v>0.77</v>
      </c>
      <c r="J33" s="386">
        <f>LOOKUP(I33,98:98,99:99)-LOOKUP(C33,98:98,99:99)+100</f>
        <v>100</v>
      </c>
      <c r="K33" s="561">
        <v>1</v>
      </c>
      <c r="L33" s="923"/>
      <c r="M33" s="914"/>
      <c r="N33" s="914"/>
      <c r="O33" s="922"/>
      <c r="P33" s="3732"/>
      <c r="Q33" s="3480" t="str">
        <f t="shared" si="11"/>
        <v>成新度</v>
      </c>
      <c r="R33" s="705" t="s">
        <v>14</v>
      </c>
      <c r="S33" s="706">
        <f t="shared" si="12"/>
        <v>100</v>
      </c>
      <c r="T33" s="705" t="s">
        <v>14</v>
      </c>
      <c r="U33" s="706">
        <f t="shared" si="13"/>
        <v>100</v>
      </c>
      <c r="V33" s="705" t="s">
        <v>14</v>
      </c>
      <c r="W33" s="706">
        <f t="shared" si="14"/>
        <v>100</v>
      </c>
      <c r="X33" s="3482"/>
      <c r="Y33" s="3732"/>
      <c r="Z33" s="3483" t="str">
        <f t="shared" si="15"/>
        <v>成新度</v>
      </c>
      <c r="AA33" s="3481">
        <f t="shared" si="3"/>
        <v>1</v>
      </c>
      <c r="AB33" s="3481">
        <f t="shared" si="4"/>
        <v>1</v>
      </c>
      <c r="AC33" s="3481">
        <f t="shared" si="5"/>
        <v>1</v>
      </c>
    </row>
    <row r="34" spans="1:29" s="108" customFormat="1" ht="15">
      <c r="A34" s="424"/>
      <c r="B34" s="375" t="s">
        <v>1819</v>
      </c>
      <c r="C34" s="411" t="s">
        <v>3465</v>
      </c>
      <c r="D34" s="127">
        <v>100</v>
      </c>
      <c r="E34" s="411" t="s">
        <v>3465</v>
      </c>
      <c r="F34" s="412">
        <f>SUMIF(100:100,E34,101:101)-SUMIF(100:100,C34,101:101)+100</f>
        <v>100</v>
      </c>
      <c r="G34" s="411" t="s">
        <v>3465</v>
      </c>
      <c r="H34" s="386">
        <f>SUMIF(100:100,G34,101:101)-SUMIF(100:100,C34,101:101)+100</f>
        <v>100</v>
      </c>
      <c r="I34" s="411" t="s">
        <v>3465</v>
      </c>
      <c r="J34" s="386">
        <f>SUMIF(100:100,I34,101:101)-SUMIF(100:100,C34,101:101)+100</f>
        <v>100</v>
      </c>
      <c r="K34" s="561">
        <v>1</v>
      </c>
      <c r="L34" s="915"/>
      <c r="M34" s="916"/>
      <c r="N34" s="916"/>
      <c r="O34" s="917"/>
      <c r="P34" s="3732"/>
      <c r="Q34" s="3479" t="str">
        <f t="shared" si="11"/>
        <v>物业管理</v>
      </c>
      <c r="R34" s="701" t="s">
        <v>14</v>
      </c>
      <c r="S34" s="702">
        <f t="shared" si="12"/>
        <v>100</v>
      </c>
      <c r="T34" s="701" t="s">
        <v>14</v>
      </c>
      <c r="U34" s="702">
        <f t="shared" si="13"/>
        <v>100</v>
      </c>
      <c r="V34" s="701" t="s">
        <v>14</v>
      </c>
      <c r="W34" s="702">
        <f t="shared" si="14"/>
        <v>100</v>
      </c>
      <c r="X34" s="703"/>
      <c r="Y34" s="3732"/>
      <c r="Z34" s="3478" t="str">
        <f t="shared" si="15"/>
        <v>物业管理</v>
      </c>
      <c r="AA34" s="704">
        <f t="shared" si="3"/>
        <v>1</v>
      </c>
      <c r="AB34" s="704">
        <f t="shared" si="4"/>
        <v>1</v>
      </c>
      <c r="AC34" s="704">
        <f t="shared" si="5"/>
        <v>1</v>
      </c>
    </row>
    <row r="35" spans="1:29" ht="15">
      <c r="A35" s="423"/>
      <c r="B35" s="375" t="s">
        <v>1787</v>
      </c>
      <c r="C35" s="411" t="s">
        <v>3469</v>
      </c>
      <c r="D35" s="386">
        <v>100</v>
      </c>
      <c r="E35" s="411" t="s">
        <v>3469</v>
      </c>
      <c r="F35" s="412">
        <f>SUMIF(102:102,E35,103:103)-SUMIF(102:102,C35,103:103)+100</f>
        <v>100</v>
      </c>
      <c r="G35" s="411" t="s">
        <v>3469</v>
      </c>
      <c r="H35" s="386">
        <f>SUMIF(102:102,G35,103:103)-SUMIF(102:102,C35,103:103)+100</f>
        <v>100</v>
      </c>
      <c r="I35" s="411" t="s">
        <v>3469</v>
      </c>
      <c r="J35" s="386">
        <f>SUMIF(102:102,I35,103:103)-SUMIF(102:102,C35,103:103)+100</f>
        <v>100</v>
      </c>
      <c r="K35" s="561">
        <v>1</v>
      </c>
      <c r="L35" s="923"/>
      <c r="M35" s="914"/>
      <c r="N35" s="914"/>
      <c r="O35" s="922"/>
      <c r="P35" s="3732" t="s">
        <v>1696</v>
      </c>
      <c r="Q35" s="3480" t="str">
        <f t="shared" si="11"/>
        <v>市政基础设施</v>
      </c>
      <c r="R35" s="705" t="s">
        <v>14</v>
      </c>
      <c r="S35" s="706">
        <f t="shared" si="12"/>
        <v>100</v>
      </c>
      <c r="T35" s="705" t="s">
        <v>14</v>
      </c>
      <c r="U35" s="706">
        <f t="shared" si="13"/>
        <v>100</v>
      </c>
      <c r="V35" s="705" t="s">
        <v>14</v>
      </c>
      <c r="W35" s="706">
        <f t="shared" si="14"/>
        <v>100</v>
      </c>
      <c r="X35" s="3482"/>
      <c r="Y35" s="3732" t="s">
        <v>1696</v>
      </c>
      <c r="Z35" s="3483" t="str">
        <f t="shared" si="15"/>
        <v>市政基础设施</v>
      </c>
      <c r="AA35" s="3481">
        <f t="shared" si="3"/>
        <v>1</v>
      </c>
      <c r="AB35" s="3481">
        <f t="shared" si="4"/>
        <v>1</v>
      </c>
      <c r="AC35" s="3481">
        <f t="shared" si="5"/>
        <v>1</v>
      </c>
    </row>
    <row r="36" spans="1:29" ht="15">
      <c r="A36" s="423"/>
      <c r="B36" s="375" t="s">
        <v>1792</v>
      </c>
      <c r="C36" s="411" t="s">
        <v>3462</v>
      </c>
      <c r="D36" s="386">
        <v>100</v>
      </c>
      <c r="E36" s="411" t="s">
        <v>3462</v>
      </c>
      <c r="F36" s="412">
        <f>SUMIF(104:104,E36,105:105)-SUMIF(104:104,C36,105:105)+100</f>
        <v>100</v>
      </c>
      <c r="G36" s="411" t="s">
        <v>3462</v>
      </c>
      <c r="H36" s="386">
        <f>SUMIF(104:104,G36,105:105)-SUMIF(104:104,C36,105:105)+100</f>
        <v>100</v>
      </c>
      <c r="I36" s="411" t="s">
        <v>3462</v>
      </c>
      <c r="J36" s="386">
        <f>SUMIF(104:104,I36,105:105)-SUMIF(104:104,C36,105:105)+100</f>
        <v>100</v>
      </c>
      <c r="K36" s="561">
        <v>1</v>
      </c>
      <c r="L36" s="923"/>
      <c r="M36" s="914"/>
      <c r="N36" s="914"/>
      <c r="O36" s="922"/>
      <c r="P36" s="3732"/>
      <c r="Q36" s="3480" t="str">
        <f t="shared" si="11"/>
        <v>内部装修</v>
      </c>
      <c r="R36" s="705" t="s">
        <v>14</v>
      </c>
      <c r="S36" s="706">
        <f t="shared" si="12"/>
        <v>100</v>
      </c>
      <c r="T36" s="705" t="s">
        <v>14</v>
      </c>
      <c r="U36" s="706">
        <f t="shared" si="13"/>
        <v>100</v>
      </c>
      <c r="V36" s="705" t="s">
        <v>14</v>
      </c>
      <c r="W36" s="706">
        <f t="shared" si="14"/>
        <v>100</v>
      </c>
      <c r="X36" s="3482"/>
      <c r="Y36" s="3732"/>
      <c r="Z36" s="3483" t="str">
        <f t="shared" si="15"/>
        <v>内部装修</v>
      </c>
      <c r="AA36" s="3481">
        <f t="shared" si="3"/>
        <v>1</v>
      </c>
      <c r="AB36" s="3481">
        <f t="shared" si="4"/>
        <v>1</v>
      </c>
      <c r="AC36" s="3481">
        <f t="shared" si="5"/>
        <v>1</v>
      </c>
    </row>
    <row r="37" spans="1:29" ht="15">
      <c r="A37" s="423"/>
      <c r="B37" s="375" t="s">
        <v>1828</v>
      </c>
      <c r="C37" s="565" t="s">
        <v>3472</v>
      </c>
      <c r="D37" s="386">
        <v>100</v>
      </c>
      <c r="E37" s="565" t="s">
        <v>3472</v>
      </c>
      <c r="F37" s="412">
        <f>SUMIF(106:106,E37,107:107)-SUMIF(106:106,C37,107:107)+100</f>
        <v>100</v>
      </c>
      <c r="G37" s="565" t="s">
        <v>3472</v>
      </c>
      <c r="H37" s="386">
        <f>SUMIF(106:106,G37,107:107)-SUMIF(106:106,C37,107:107)+100</f>
        <v>100</v>
      </c>
      <c r="I37" s="565" t="s">
        <v>3472</v>
      </c>
      <c r="J37" s="386">
        <f>SUMIF(106:106,I37,107:107)-SUMIF(106:106,C37,107:107)+100</f>
        <v>100</v>
      </c>
      <c r="K37" s="561">
        <v>1</v>
      </c>
      <c r="L37" s="923"/>
      <c r="M37" s="914"/>
      <c r="N37" s="914"/>
      <c r="O37" s="922"/>
      <c r="P37" s="3732"/>
      <c r="Q37" s="3480" t="str">
        <f t="shared" si="11"/>
        <v>内部装修状况</v>
      </c>
      <c r="R37" s="705" t="s">
        <v>14</v>
      </c>
      <c r="S37" s="706">
        <f t="shared" si="12"/>
        <v>100</v>
      </c>
      <c r="T37" s="705" t="s">
        <v>14</v>
      </c>
      <c r="U37" s="706">
        <f t="shared" si="13"/>
        <v>100</v>
      </c>
      <c r="V37" s="705" t="s">
        <v>14</v>
      </c>
      <c r="W37" s="706">
        <f t="shared" si="14"/>
        <v>100</v>
      </c>
      <c r="X37" s="3482"/>
      <c r="Y37" s="3732"/>
      <c r="Z37" s="3483" t="str">
        <f t="shared" si="15"/>
        <v>内部装修状况</v>
      </c>
      <c r="AA37" s="3481">
        <f t="shared" si="3"/>
        <v>1</v>
      </c>
      <c r="AB37" s="3481">
        <f t="shared" si="4"/>
        <v>1</v>
      </c>
      <c r="AC37" s="3481">
        <f t="shared" si="5"/>
        <v>1</v>
      </c>
    </row>
    <row r="38" spans="1:29" s="422" customFormat="1" ht="15">
      <c r="A38" s="419"/>
      <c r="B38" s="3492" t="s">
        <v>3475</v>
      </c>
      <c r="C38" s="3493" t="s">
        <v>3543</v>
      </c>
      <c r="D38" s="386">
        <v>100</v>
      </c>
      <c r="E38" s="3493" t="s">
        <v>3477</v>
      </c>
      <c r="F38" s="412">
        <f>SUMIF(108:108,E38,109:109)-SUMIF(108:108,C38,109:109)+100</f>
        <v>100</v>
      </c>
      <c r="G38" s="3493" t="s">
        <v>3477</v>
      </c>
      <c r="H38" s="386">
        <f>SUMIF(108:108,G38,109:109)-SUMIF(108:108,C38,109:109)+100</f>
        <v>100</v>
      </c>
      <c r="I38" s="3493" t="s">
        <v>3477</v>
      </c>
      <c r="J38" s="386">
        <f>SUMIF(108:108,I38,109:1038)-SUMIF(108:108,C38,109:109)+100</f>
        <v>100</v>
      </c>
      <c r="K38" s="562"/>
      <c r="L38" s="921"/>
      <c r="M38" s="924"/>
      <c r="N38" s="924"/>
      <c r="O38" s="925"/>
      <c r="P38" s="3732"/>
      <c r="Q38" s="707" t="str">
        <f t="shared" si="11"/>
        <v>层高</v>
      </c>
      <c r="R38" s="708" t="s">
        <v>14</v>
      </c>
      <c r="S38" s="709">
        <f t="shared" si="12"/>
        <v>100</v>
      </c>
      <c r="T38" s="708" t="s">
        <v>14</v>
      </c>
      <c r="U38" s="709">
        <f t="shared" si="13"/>
        <v>100</v>
      </c>
      <c r="V38" s="708" t="s">
        <v>14</v>
      </c>
      <c r="W38" s="709">
        <f t="shared" si="14"/>
        <v>100</v>
      </c>
      <c r="X38" s="710"/>
      <c r="Y38" s="3732"/>
      <c r="Z38" s="711" t="str">
        <f t="shared" si="15"/>
        <v>层高</v>
      </c>
      <c r="AA38" s="3481">
        <f t="shared" si="3"/>
        <v>1</v>
      </c>
      <c r="AB38" s="3481">
        <f t="shared" si="4"/>
        <v>1</v>
      </c>
      <c r="AC38" s="3481">
        <f t="shared" si="5"/>
        <v>1</v>
      </c>
    </row>
    <row r="39" spans="1:29" ht="15">
      <c r="A39" s="423"/>
      <c r="B39" s="1133">
        <v>111</v>
      </c>
      <c r="C39" s="420" t="s">
        <v>3490</v>
      </c>
      <c r="D39" s="386">
        <v>100</v>
      </c>
      <c r="E39" s="420" t="s">
        <v>3489</v>
      </c>
      <c r="F39" s="412">
        <f>SUMIF(110:110,E39,111:111)-SUMIF(110:110,C39,111:111)+100</f>
        <v>100</v>
      </c>
      <c r="G39" s="420" t="s">
        <v>3489</v>
      </c>
      <c r="H39" s="386">
        <f>SUMIF(110:110,G39,111:111)-SUMIF(110:110,C39,111:111)+100</f>
        <v>100</v>
      </c>
      <c r="I39" s="420" t="s">
        <v>3488</v>
      </c>
      <c r="J39" s="386">
        <f>SUMIF(110:110,I39,111:111)-SUMIF(110:110,C39,111:111)+100</f>
        <v>100</v>
      </c>
      <c r="K39" s="562"/>
      <c r="L39" s="923"/>
      <c r="M39" s="914"/>
      <c r="N39" s="914"/>
      <c r="O39" s="922"/>
      <c r="P39" s="3732"/>
      <c r="Q39" s="3480">
        <f t="shared" si="11"/>
        <v>111</v>
      </c>
      <c r="R39" s="705" t="s">
        <v>14</v>
      </c>
      <c r="S39" s="706">
        <f t="shared" si="12"/>
        <v>100</v>
      </c>
      <c r="T39" s="705" t="s">
        <v>14</v>
      </c>
      <c r="U39" s="706">
        <f t="shared" si="13"/>
        <v>100</v>
      </c>
      <c r="V39" s="705" t="s">
        <v>14</v>
      </c>
      <c r="W39" s="706">
        <f t="shared" si="14"/>
        <v>100</v>
      </c>
      <c r="X39" s="3482"/>
      <c r="Y39" s="3732"/>
      <c r="Z39" s="3483">
        <f t="shared" si="15"/>
        <v>111</v>
      </c>
      <c r="AA39" s="3481">
        <f t="shared" si="3"/>
        <v>1</v>
      </c>
      <c r="AB39" s="3481">
        <f t="shared" si="4"/>
        <v>1</v>
      </c>
      <c r="AC39" s="3481">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3"/>
      <c r="Q40" s="3480">
        <f t="shared" si="11"/>
        <v>111</v>
      </c>
      <c r="R40" s="705" t="s">
        <v>14</v>
      </c>
      <c r="S40" s="706">
        <f t="shared" si="12"/>
        <v>100</v>
      </c>
      <c r="T40" s="705" t="s">
        <v>14</v>
      </c>
      <c r="U40" s="706">
        <f t="shared" si="13"/>
        <v>100</v>
      </c>
      <c r="V40" s="705" t="s">
        <v>14</v>
      </c>
      <c r="W40" s="706">
        <f t="shared" si="14"/>
        <v>100</v>
      </c>
      <c r="X40" s="3482"/>
      <c r="Y40" s="3733"/>
      <c r="Z40" s="3483">
        <f t="shared" si="15"/>
        <v>111</v>
      </c>
      <c r="AA40" s="3481">
        <f t="shared" si="3"/>
        <v>1</v>
      </c>
      <c r="AB40" s="3481">
        <f t="shared" si="4"/>
        <v>1</v>
      </c>
      <c r="AC40" s="3481">
        <f t="shared" si="5"/>
        <v>1</v>
      </c>
    </row>
    <row r="41" spans="1:29" ht="15">
      <c r="A41" s="430" t="s">
        <v>1708</v>
      </c>
      <c r="B41" s="431"/>
      <c r="C41" s="1154" t="s">
        <v>0</v>
      </c>
      <c r="D41" s="1155"/>
      <c r="E41" s="1156">
        <v>1.7</v>
      </c>
      <c r="F41" s="1157"/>
      <c r="G41" s="1158">
        <v>1.5</v>
      </c>
      <c r="H41" s="1159"/>
      <c r="I41" s="1156">
        <v>1.6</v>
      </c>
      <c r="J41" s="1159"/>
      <c r="K41" s="714"/>
      <c r="L41" s="926"/>
      <c r="M41" s="927"/>
      <c r="N41" s="914"/>
      <c r="O41" s="927"/>
      <c r="P41" s="3724" t="str">
        <f>A41</f>
        <v>成交单价（元/平方米）</v>
      </c>
      <c r="Q41" s="3724"/>
      <c r="R41" s="3725">
        <f>E41</f>
        <v>1.7</v>
      </c>
      <c r="S41" s="3725"/>
      <c r="T41" s="3725">
        <f>G41</f>
        <v>1.5</v>
      </c>
      <c r="U41" s="3725"/>
      <c r="V41" s="3725">
        <f>I41</f>
        <v>1.6</v>
      </c>
      <c r="W41" s="3725"/>
      <c r="X41" s="690"/>
      <c r="Y41" s="712"/>
      <c r="Z41" s="690"/>
      <c r="AA41" s="690"/>
      <c r="AB41" s="690"/>
      <c r="AC41" s="690"/>
    </row>
    <row r="42" spans="1:29" ht="15.75" thickBot="1">
      <c r="A42" s="437" t="s">
        <v>1709</v>
      </c>
      <c r="B42" s="438"/>
      <c r="C42" s="1160">
        <f>R43</f>
        <v>1.6</v>
      </c>
      <c r="D42" s="2317" t="s">
        <v>2138</v>
      </c>
      <c r="E42" s="1161">
        <f>R42</f>
        <v>1.7</v>
      </c>
      <c r="F42" s="2318"/>
      <c r="G42" s="1160">
        <f>T42</f>
        <v>1.5</v>
      </c>
      <c r="H42" s="2318"/>
      <c r="I42" s="1161">
        <f>V42</f>
        <v>1.6</v>
      </c>
      <c r="J42" s="2318"/>
      <c r="K42" s="2320">
        <f>F42+H42+J42</f>
        <v>0</v>
      </c>
      <c r="L42" s="926"/>
      <c r="M42" s="927"/>
      <c r="N42" s="914"/>
      <c r="O42" s="927"/>
      <c r="P42" s="3724" t="str">
        <f>A42</f>
        <v>比较价值（元/平方米）</v>
      </c>
      <c r="Q42" s="3724"/>
      <c r="R42" s="3725">
        <f>IF(F1="售价",ROUND(PRODUCT(R41,AA7:AA40),0),ROUND(PRODUCT(R41,AA7:AA40),1))</f>
        <v>1.7</v>
      </c>
      <c r="S42" s="3725"/>
      <c r="T42" s="3725">
        <f>IF(F1="售价",ROUND(PRODUCT(T41,AB7:AB40),0),ROUND(PRODUCT(T41,AB7:AB40),1))</f>
        <v>1.5</v>
      </c>
      <c r="U42" s="3725"/>
      <c r="V42" s="3725">
        <f>IF(F1="售价",ROUND(PRODUCT(V41,AC7:AC40),0),ROUND(PRODUCT(V41,AC7:AC40),1))</f>
        <v>1.6</v>
      </c>
      <c r="W42" s="3725"/>
      <c r="X42" s="690"/>
      <c r="Y42" s="690"/>
      <c r="Z42" s="690"/>
      <c r="AA42" s="690"/>
      <c r="AB42" s="690"/>
      <c r="AC42" s="690"/>
    </row>
    <row r="43" spans="1:29" ht="15.75" thickBot="1">
      <c r="A43" s="441" t="s">
        <v>1710</v>
      </c>
      <c r="B43" s="442"/>
      <c r="C43" s="1163">
        <f>R43</f>
        <v>1.6</v>
      </c>
      <c r="D43" s="1163"/>
      <c r="E43" s="1163"/>
      <c r="F43" s="1163"/>
      <c r="G43" s="1163"/>
      <c r="H43" s="1163"/>
      <c r="I43" s="1163"/>
      <c r="J43" s="1163"/>
      <c r="K43" s="715"/>
      <c r="L43" s="926"/>
      <c r="M43" s="927"/>
      <c r="N43" s="927"/>
      <c r="O43" s="927"/>
      <c r="P43" s="3726" t="str">
        <f>A43</f>
        <v>估价对象XX用房的比较价值（楼面单价，元/平方米）</v>
      </c>
      <c r="Q43" s="3727"/>
      <c r="R43" s="3728">
        <f>IF(F1="售价",ROUND(IF(D42="简单平均",AVERAGE(R42:V42),R42*F42+T42*H42+V42*J42),0),ROUND(IF(D42="简单平均",AVERAGE(R42:V42),R42*F42+T42*H42+V42*J42),1))</f>
        <v>1.6</v>
      </c>
      <c r="S43" s="3728"/>
      <c r="T43" s="3728"/>
      <c r="U43" s="3728"/>
      <c r="V43" s="3728"/>
      <c r="W43" s="372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1711</v>
      </c>
      <c r="D46" s="447"/>
      <c r="E46" s="448">
        <f>IF(E41&lt;E42,E42/E41-1,E41/E42-1)</f>
        <v>0</v>
      </c>
      <c r="F46" s="449" t="str">
        <f>IF(OR(E46&gt;=0.3,E46&lt;=-0.3),"超过30%","")</f>
        <v/>
      </c>
      <c r="G46" s="448">
        <f>IF(G41&lt;G42,G42/G41-1,G41/G42-1)</f>
        <v>0</v>
      </c>
      <c r="H46" s="449" t="str">
        <f>IF(OR(G46&gt;=0.3,G46&lt;=-0.3),"超过30%","")</f>
        <v/>
      </c>
      <c r="I46" s="448">
        <f>IF(I41&lt;I42,I42/I41-1,I41/I42-1)</f>
        <v>0</v>
      </c>
      <c r="J46" s="449" t="str">
        <f>IF(OR(I46&gt;=0.3,I46&lt;=-0.3),"超过30%","")</f>
        <v/>
      </c>
      <c r="K46" s="2730"/>
      <c r="L46" s="889"/>
      <c r="M46" s="927"/>
      <c r="N46" s="927"/>
      <c r="O46" s="927"/>
    </row>
    <row r="47" spans="1:29" ht="13.5" customHeight="1">
      <c r="A47" s="2725"/>
      <c r="B47" s="2725"/>
      <c r="C47" s="446" t="s">
        <v>1712</v>
      </c>
      <c r="D47" s="450"/>
      <c r="E47" s="448">
        <f>IF(E42&lt;G42,G42/E42-1,E42/G42-1)</f>
        <v>0.1333333333333333</v>
      </c>
      <c r="F47" s="449" t="str">
        <f>IF(OR(E47&gt;=0.2,E47&lt;=-0.2),"超过20%","")</f>
        <v/>
      </c>
      <c r="G47" s="448">
        <f>IF(G42&lt;I42,I42/G42-1,G42/I42-1)</f>
        <v>6.6666666666666652E-2</v>
      </c>
      <c r="H47" s="449" t="str">
        <f>IF(OR(G47&gt;=0.2,G47&lt;=-0.2),"超过20%","")</f>
        <v/>
      </c>
      <c r="I47" s="448">
        <f>IF(I42&lt;E42,E42/I42-1,I42/E42-1)</f>
        <v>6.25E-2</v>
      </c>
      <c r="J47" s="449" t="str">
        <f>IF(OR(I47&gt;=0.2,I47&lt;=-0.2),"超过20%","")</f>
        <v/>
      </c>
      <c r="K47" s="2730"/>
      <c r="L47" s="889"/>
      <c r="M47" s="927"/>
      <c r="N47" s="927"/>
      <c r="O47" s="927"/>
    </row>
    <row r="48" spans="1:29" s="451" customFormat="1" ht="13.5" customHeight="1">
      <c r="A48" s="2728"/>
      <c r="B48" s="2728"/>
      <c r="C48" s="446" t="s">
        <v>1713</v>
      </c>
      <c r="D48" s="450"/>
      <c r="E48" s="448">
        <f>IF(E41&lt;G41,G41/E41-1,E41/G41-1)</f>
        <v>0.1333333333333333</v>
      </c>
      <c r="F48" s="449" t="str">
        <f>IF(OR(E48&gt;=0.3,E48&lt;=-0.3),"超过30%","")</f>
        <v/>
      </c>
      <c r="G48" s="448">
        <f>IF(G41&lt;I41,I41/G41-1,G41/I41-1)</f>
        <v>6.6666666666666652E-2</v>
      </c>
      <c r="H48" s="449" t="str">
        <f>IF(OR(G48&gt;=0.3,G48&lt;=-0.3),"超过30%","")</f>
        <v/>
      </c>
      <c r="I48" s="448">
        <f>IF(I41&lt;E41,E41/I41-1,I41/E41-1)</f>
        <v>6.25E-2</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1714</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1718</v>
      </c>
      <c r="D55" s="3487" t="s">
        <v>3450</v>
      </c>
      <c r="E55" s="472"/>
      <c r="F55" s="472"/>
      <c r="G55" s="472"/>
      <c r="H55" s="472"/>
      <c r="I55" s="472"/>
      <c r="J55" s="472"/>
      <c r="K55" s="472"/>
      <c r="L55" s="473"/>
      <c r="M55" s="474"/>
      <c r="N55" s="932"/>
      <c r="O55" s="932"/>
      <c r="P55" s="475"/>
      <c r="Q55" s="453"/>
    </row>
    <row r="56" spans="1:17" s="108" customFormat="1" ht="15.75" thickBot="1">
      <c r="A56" s="470"/>
      <c r="B56" s="459"/>
      <c r="C56" s="587">
        <v>100</v>
      </c>
      <c r="D56" s="461">
        <f>'比较法-工业'!D56</f>
        <v>103</v>
      </c>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t="s">
        <v>3451</v>
      </c>
      <c r="D59" s="532" t="s">
        <v>3452</v>
      </c>
      <c r="E59" s="532" t="s">
        <v>3453</v>
      </c>
      <c r="F59" s="532" t="s">
        <v>3454</v>
      </c>
      <c r="G59" s="532" t="s">
        <v>3455</v>
      </c>
      <c r="H59" s="532"/>
      <c r="I59" s="532"/>
      <c r="J59" s="532"/>
      <c r="K59" s="533"/>
      <c r="L59" s="534"/>
      <c r="M59" s="535"/>
      <c r="N59" s="933"/>
      <c r="O59" s="933"/>
      <c r="P59" s="42"/>
      <c r="Q59" s="453"/>
    </row>
    <row r="60" spans="1:17" ht="15.75" thickBot="1">
      <c r="A60" s="483"/>
      <c r="B60" s="492"/>
      <c r="C60" s="485">
        <v>100</v>
      </c>
      <c r="D60" s="485">
        <f>C60-2</f>
        <v>98</v>
      </c>
      <c r="E60" s="485">
        <f t="shared" ref="E60:G60" si="17">D60-2</f>
        <v>96</v>
      </c>
      <c r="F60" s="485">
        <f t="shared" si="17"/>
        <v>94</v>
      </c>
      <c r="G60" s="485">
        <f t="shared" si="17"/>
        <v>92</v>
      </c>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8">D62&amp;"（含）"&amp;"-"&amp;E62</f>
        <v>1（含）-2</v>
      </c>
      <c r="E61" s="496" t="str">
        <f t="shared" si="18"/>
        <v>2（含）-</v>
      </c>
      <c r="F61" s="496" t="str">
        <f t="shared" si="18"/>
        <v>（含）-</v>
      </c>
      <c r="G61" s="496" t="str">
        <f t="shared" si="18"/>
        <v>（含）-</v>
      </c>
      <c r="H61" s="496" t="str">
        <f t="shared" si="18"/>
        <v>（含）-</v>
      </c>
      <c r="I61" s="496" t="str">
        <f t="shared" si="18"/>
        <v>（含）-</v>
      </c>
      <c r="J61" s="496" t="str">
        <f t="shared" si="18"/>
        <v>（含）-</v>
      </c>
      <c r="K61" s="496" t="str">
        <f t="shared" si="18"/>
        <v>（含）-</v>
      </c>
      <c r="L61" s="496" t="str">
        <f t="shared" si="18"/>
        <v>（含）-</v>
      </c>
      <c r="M61" s="399" t="str">
        <f>M62&amp;"（含）"&amp;"-"&amp;P62</f>
        <v>（含）-</v>
      </c>
      <c r="N61" s="934"/>
      <c r="O61" s="934"/>
      <c r="P61" s="42"/>
      <c r="Q61" s="453"/>
    </row>
    <row r="62" spans="1:17" ht="15">
      <c r="A62" s="483"/>
      <c r="B62" s="497"/>
      <c r="C62" s="498">
        <v>0</v>
      </c>
      <c r="D62" s="498">
        <v>1</v>
      </c>
      <c r="E62" s="498">
        <v>2</v>
      </c>
      <c r="F62" s="498"/>
      <c r="G62" s="498"/>
      <c r="H62" s="498"/>
      <c r="I62" s="498"/>
      <c r="J62" s="498"/>
      <c r="K62" s="499"/>
      <c r="L62" s="500"/>
      <c r="M62" s="501"/>
      <c r="N62" s="933"/>
      <c r="O62" s="933"/>
      <c r="P62" s="42"/>
      <c r="Q62" s="453"/>
    </row>
    <row r="63" spans="1:17" ht="15.75" thickBot="1">
      <c r="A63" s="483"/>
      <c r="B63" s="484"/>
      <c r="C63" s="493">
        <v>100</v>
      </c>
      <c r="D63" s="493">
        <f t="shared" ref="D63:M63" si="19">C63-$K11</f>
        <v>100</v>
      </c>
      <c r="E63" s="493">
        <f t="shared" si="19"/>
        <v>100</v>
      </c>
      <c r="F63" s="493">
        <f t="shared" si="19"/>
        <v>100</v>
      </c>
      <c r="G63" s="493">
        <f t="shared" si="19"/>
        <v>100</v>
      </c>
      <c r="H63" s="493">
        <f t="shared" si="19"/>
        <v>100</v>
      </c>
      <c r="I63" s="493">
        <f t="shared" si="19"/>
        <v>100</v>
      </c>
      <c r="J63" s="493">
        <f t="shared" si="19"/>
        <v>100</v>
      </c>
      <c r="K63" s="493">
        <f t="shared" si="19"/>
        <v>100</v>
      </c>
      <c r="L63" s="493">
        <f t="shared" si="19"/>
        <v>100</v>
      </c>
      <c r="M63" s="494">
        <f t="shared" si="19"/>
        <v>100</v>
      </c>
      <c r="N63" s="934"/>
      <c r="O63" s="934"/>
      <c r="P63" s="42"/>
      <c r="Q63" s="453"/>
    </row>
    <row r="64" spans="1:17" s="422" customFormat="1" ht="15.75" thickTop="1">
      <c r="A64" s="502"/>
      <c r="B64" s="487" t="str">
        <f>B12</f>
        <v>租金内涵</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88" t="s">
        <v>3457</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20">C89-$K29</f>
        <v>99</v>
      </c>
      <c r="E89" s="493">
        <f t="shared" si="20"/>
        <v>98</v>
      </c>
      <c r="F89" s="493">
        <f t="shared" si="20"/>
        <v>97</v>
      </c>
      <c r="G89" s="493">
        <f t="shared" si="20"/>
        <v>96</v>
      </c>
      <c r="H89" s="493">
        <f t="shared" si="20"/>
        <v>95</v>
      </c>
      <c r="I89" s="493">
        <f t="shared" si="20"/>
        <v>94</v>
      </c>
      <c r="J89" s="493">
        <f t="shared" si="20"/>
        <v>93</v>
      </c>
      <c r="K89" s="493">
        <f t="shared" si="20"/>
        <v>92</v>
      </c>
      <c r="L89" s="493">
        <f t="shared" si="20"/>
        <v>91</v>
      </c>
      <c r="M89" s="494">
        <f t="shared" si="20"/>
        <v>90</v>
      </c>
      <c r="N89" s="934"/>
      <c r="O89" s="934"/>
      <c r="P89" s="42"/>
      <c r="Q89" s="453"/>
    </row>
    <row r="90" spans="1:17" ht="29.25" thickTop="1">
      <c r="A90" s="483"/>
      <c r="B90" s="487" t="s">
        <v>1737</v>
      </c>
      <c r="C90" s="527" t="str">
        <f>C91&amp;"(含)"&amp;"-"&amp;D91</f>
        <v>0(含)-1000</v>
      </c>
      <c r="D90" s="527" t="str">
        <f t="shared" ref="D90:L90" si="21">D91&amp;"(含)"&amp;"-"&amp;E91</f>
        <v>1000(含)-2000</v>
      </c>
      <c r="E90" s="527" t="str">
        <f t="shared" si="21"/>
        <v>2000(含)-3000</v>
      </c>
      <c r="F90" s="527" t="str">
        <f t="shared" si="21"/>
        <v>3000(含)-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932"/>
      <c r="O90" s="932"/>
      <c r="P90" s="42"/>
      <c r="Q90" s="453"/>
    </row>
    <row r="91" spans="1:17" s="422" customFormat="1">
      <c r="A91" s="542"/>
      <c r="B91" s="543"/>
      <c r="C91" s="544">
        <v>0</v>
      </c>
      <c r="D91" s="544">
        <v>1000</v>
      </c>
      <c r="E91" s="544">
        <v>2000</v>
      </c>
      <c r="F91" s="544">
        <v>3000</v>
      </c>
      <c r="G91" s="544"/>
      <c r="H91" s="544"/>
      <c r="I91" s="544"/>
      <c r="J91" s="545"/>
      <c r="K91" s="545"/>
      <c r="L91" s="546"/>
      <c r="M91" s="547"/>
      <c r="N91" s="935"/>
      <c r="O91" s="935"/>
      <c r="P91" s="507"/>
      <c r="Q91" s="508"/>
    </row>
    <row r="92" spans="1:17" s="422" customFormat="1" ht="15.75" thickBot="1">
      <c r="A92" s="502"/>
      <c r="B92" s="492"/>
      <c r="C92" s="509">
        <v>100</v>
      </c>
      <c r="D92" s="485">
        <v>99</v>
      </c>
      <c r="E92" s="485">
        <v>98</v>
      </c>
      <c r="F92" s="485">
        <v>97</v>
      </c>
      <c r="G92" s="485"/>
      <c r="H92" s="485"/>
      <c r="I92" s="485"/>
      <c r="J92" s="485"/>
      <c r="K92" s="485"/>
      <c r="L92" s="485"/>
      <c r="M92" s="486"/>
      <c r="N92" s="934"/>
      <c r="O92" s="934"/>
      <c r="P92" s="507"/>
      <c r="Q92" s="508"/>
    </row>
    <row r="93" spans="1:17" ht="15" thickTop="1">
      <c r="A93" s="548"/>
      <c r="B93" s="487" t="s">
        <v>1738</v>
      </c>
      <c r="C93" s="3489" t="s">
        <v>3458</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2">C94-$K31</f>
        <v>99</v>
      </c>
      <c r="E94" s="493">
        <f t="shared" si="22"/>
        <v>98</v>
      </c>
      <c r="F94" s="493">
        <f t="shared" si="22"/>
        <v>97</v>
      </c>
      <c r="G94" s="493">
        <f t="shared" si="22"/>
        <v>96</v>
      </c>
      <c r="H94" s="493">
        <f t="shared" si="22"/>
        <v>95</v>
      </c>
      <c r="I94" s="493">
        <f t="shared" si="22"/>
        <v>94</v>
      </c>
      <c r="J94" s="493">
        <f t="shared" si="22"/>
        <v>93</v>
      </c>
      <c r="K94" s="493">
        <f t="shared" si="22"/>
        <v>92</v>
      </c>
      <c r="L94" s="493">
        <f t="shared" si="22"/>
        <v>91</v>
      </c>
      <c r="M94" s="494">
        <f t="shared" si="22"/>
        <v>90</v>
      </c>
      <c r="N94" s="934"/>
      <c r="O94" s="934"/>
      <c r="P94" s="42"/>
      <c r="Q94" s="453"/>
    </row>
    <row r="95" spans="1:17" ht="15" thickTop="1">
      <c r="A95" s="548"/>
      <c r="B95" s="487" t="s">
        <v>1740</v>
      </c>
      <c r="C95" s="3489" t="s">
        <v>3459</v>
      </c>
      <c r="D95" s="3489" t="s">
        <v>3461</v>
      </c>
      <c r="E95" s="3489" t="s">
        <v>3463</v>
      </c>
      <c r="F95" s="3490" t="s">
        <v>3464</v>
      </c>
      <c r="G95" s="532"/>
      <c r="H95" s="532"/>
      <c r="I95" s="532"/>
      <c r="J95" s="532"/>
      <c r="K95" s="533"/>
      <c r="L95" s="534"/>
      <c r="M95" s="535"/>
      <c r="N95" s="933"/>
      <c r="O95" s="933"/>
      <c r="P95" s="42"/>
      <c r="Q95" s="453"/>
    </row>
    <row r="96" spans="1:17" ht="15.75" thickBot="1">
      <c r="A96" s="483"/>
      <c r="B96" s="492"/>
      <c r="C96" s="493">
        <v>100</v>
      </c>
      <c r="D96" s="493">
        <f t="shared" ref="D96:M96" si="23">C96-$K32</f>
        <v>99</v>
      </c>
      <c r="E96" s="493">
        <f t="shared" si="23"/>
        <v>98</v>
      </c>
      <c r="F96" s="493">
        <f t="shared" si="23"/>
        <v>97</v>
      </c>
      <c r="G96" s="493">
        <f t="shared" si="23"/>
        <v>96</v>
      </c>
      <c r="H96" s="493">
        <f t="shared" si="23"/>
        <v>95</v>
      </c>
      <c r="I96" s="493">
        <f t="shared" si="23"/>
        <v>94</v>
      </c>
      <c r="J96" s="493">
        <f t="shared" si="23"/>
        <v>93</v>
      </c>
      <c r="K96" s="493">
        <f t="shared" si="23"/>
        <v>92</v>
      </c>
      <c r="L96" s="493">
        <f t="shared" si="23"/>
        <v>91</v>
      </c>
      <c r="M96" s="494">
        <f t="shared" si="23"/>
        <v>90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4">D99+$K33</f>
        <v>102</v>
      </c>
      <c r="F99" s="493">
        <f t="shared" si="24"/>
        <v>103</v>
      </c>
      <c r="G99" s="493">
        <f t="shared" si="24"/>
        <v>104</v>
      </c>
      <c r="H99" s="493">
        <f t="shared" si="24"/>
        <v>105</v>
      </c>
      <c r="I99" s="493">
        <f t="shared" si="24"/>
        <v>106</v>
      </c>
      <c r="J99" s="493">
        <f t="shared" si="24"/>
        <v>107</v>
      </c>
      <c r="K99" s="493">
        <f t="shared" si="24"/>
        <v>108</v>
      </c>
      <c r="L99" s="493">
        <f t="shared" si="24"/>
        <v>109</v>
      </c>
      <c r="M99" s="493">
        <f t="shared" si="24"/>
        <v>110</v>
      </c>
      <c r="N99" s="934"/>
      <c r="O99" s="934"/>
      <c r="P99" s="42"/>
      <c r="Q99" s="453"/>
    </row>
    <row r="100" spans="1:17" s="422" customFormat="1" ht="15" thickTop="1">
      <c r="A100" s="542"/>
      <c r="B100" s="487" t="s">
        <v>1741</v>
      </c>
      <c r="C100" s="3489" t="s">
        <v>3466</v>
      </c>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99</v>
      </c>
      <c r="E101" s="493">
        <f t="shared" ref="E101:M101" si="25">D101-$K34</f>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5"/>
      <c r="O101" s="935"/>
      <c r="P101" s="507"/>
      <c r="Q101" s="508"/>
    </row>
    <row r="102" spans="1:17" ht="15" thickTop="1">
      <c r="A102" s="548"/>
      <c r="B102" s="487" t="s">
        <v>1742</v>
      </c>
      <c r="C102" s="3489" t="s">
        <v>3468</v>
      </c>
      <c r="D102" s="3489" t="s">
        <v>3470</v>
      </c>
      <c r="E102" s="3489" t="s">
        <v>3471</v>
      </c>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6">C103-$K35</f>
        <v>99</v>
      </c>
      <c r="E103" s="493">
        <f t="shared" si="26"/>
        <v>98</v>
      </c>
      <c r="F103" s="493">
        <f t="shared" si="26"/>
        <v>97</v>
      </c>
      <c r="G103" s="493">
        <f t="shared" si="26"/>
        <v>96</v>
      </c>
      <c r="H103" s="493">
        <f t="shared" si="26"/>
        <v>95</v>
      </c>
      <c r="I103" s="493">
        <f t="shared" si="26"/>
        <v>94</v>
      </c>
      <c r="J103" s="493">
        <f t="shared" si="26"/>
        <v>93</v>
      </c>
      <c r="K103" s="493">
        <f t="shared" si="26"/>
        <v>92</v>
      </c>
      <c r="L103" s="493">
        <f t="shared" si="26"/>
        <v>91</v>
      </c>
      <c r="M103" s="494">
        <f t="shared" si="26"/>
        <v>90</v>
      </c>
      <c r="N103" s="934"/>
      <c r="O103" s="934"/>
      <c r="P103" s="42"/>
      <c r="Q103" s="453"/>
    </row>
    <row r="104" spans="1:17" ht="15" thickTop="1">
      <c r="A104" s="548"/>
      <c r="B104" s="487" t="s">
        <v>1744</v>
      </c>
      <c r="C104" s="3489" t="s">
        <v>3459</v>
      </c>
      <c r="D104" s="3489" t="s">
        <v>3461</v>
      </c>
      <c r="E104" s="3489" t="s">
        <v>3463</v>
      </c>
      <c r="F104" s="3490" t="s">
        <v>3464</v>
      </c>
      <c r="G104" s="503"/>
      <c r="H104" s="532"/>
      <c r="I104" s="532"/>
      <c r="J104" s="532"/>
      <c r="K104" s="533"/>
      <c r="L104" s="534"/>
      <c r="M104" s="535"/>
      <c r="N104" s="933"/>
      <c r="O104" s="933"/>
      <c r="P104" s="42"/>
      <c r="Q104" s="453"/>
    </row>
    <row r="105" spans="1:17" ht="15.75" thickBot="1">
      <c r="A105" s="483"/>
      <c r="B105" s="492"/>
      <c r="C105" s="493">
        <v>100</v>
      </c>
      <c r="D105" s="493">
        <f>C105-$K36</f>
        <v>99</v>
      </c>
      <c r="E105" s="493">
        <f>D105-$K36</f>
        <v>98</v>
      </c>
      <c r="F105" s="493">
        <f>E105-$K36</f>
        <v>97</v>
      </c>
      <c r="G105" s="493">
        <f>F105-$K36</f>
        <v>96</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7">C107-$K37</f>
        <v>99</v>
      </c>
      <c r="E107" s="493">
        <f t="shared" si="27"/>
        <v>98</v>
      </c>
      <c r="F107" s="493">
        <f t="shared" si="27"/>
        <v>97</v>
      </c>
      <c r="G107" s="493">
        <f t="shared" si="27"/>
        <v>96</v>
      </c>
      <c r="H107" s="493">
        <f t="shared" si="27"/>
        <v>95</v>
      </c>
      <c r="I107" s="493">
        <f t="shared" si="27"/>
        <v>94</v>
      </c>
      <c r="J107" s="493">
        <f t="shared" si="27"/>
        <v>93</v>
      </c>
      <c r="K107" s="493">
        <f t="shared" si="27"/>
        <v>92</v>
      </c>
      <c r="L107" s="493">
        <f t="shared" si="27"/>
        <v>91</v>
      </c>
      <c r="M107" s="493">
        <f t="shared" si="27"/>
        <v>90</v>
      </c>
      <c r="N107" s="934"/>
      <c r="O107" s="934"/>
      <c r="P107" s="42"/>
      <c r="Q107" s="453"/>
    </row>
    <row r="108" spans="1:17" s="422" customFormat="1" ht="15" thickTop="1">
      <c r="A108" s="542"/>
      <c r="B108" s="487" t="str">
        <f>B38</f>
        <v>层高</v>
      </c>
      <c r="C108" s="3489" t="s">
        <v>3476</v>
      </c>
      <c r="D108" s="3489" t="s">
        <v>3477</v>
      </c>
      <c r="E108" s="503"/>
      <c r="F108" s="503"/>
      <c r="G108" s="503"/>
      <c r="H108" s="504"/>
      <c r="I108" s="504"/>
      <c r="J108" s="504"/>
      <c r="K108" s="504"/>
      <c r="L108" s="505"/>
      <c r="M108" s="506"/>
      <c r="N108" s="935"/>
      <c r="O108" s="935"/>
      <c r="P108" s="507"/>
      <c r="Q108" s="508"/>
    </row>
    <row r="109" spans="1:17" s="422" customFormat="1" ht="15.75" thickBot="1">
      <c r="A109" s="502"/>
      <c r="B109" s="484"/>
      <c r="C109" s="509">
        <v>100</v>
      </c>
      <c r="D109" s="485">
        <f>'比较法-工业'!D109</f>
        <v>108</v>
      </c>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134" type="noConversion"/>
  <conditionalFormatting sqref="F46 H46">
    <cfRule type="containsText" dxfId="166" priority="20" stopIfTrue="1" operator="containsText" text="超过">
      <formula>NOT(ISERROR(SEARCH("超过",F46)))</formula>
    </cfRule>
  </conditionalFormatting>
  <conditionalFormatting sqref="H48">
    <cfRule type="containsText" dxfId="165" priority="19" stopIfTrue="1" operator="containsText" text="超过">
      <formula>NOT(ISERROR(SEARCH("超过",H48)))</formula>
    </cfRule>
  </conditionalFormatting>
  <conditionalFormatting sqref="F48">
    <cfRule type="containsText" dxfId="164" priority="18" stopIfTrue="1" operator="containsText" text="超过">
      <formula>NOT(ISERROR(SEARCH("超过",F48)))</formula>
    </cfRule>
  </conditionalFormatting>
  <conditionalFormatting sqref="F47 H47">
    <cfRule type="containsText" dxfId="163" priority="17" stopIfTrue="1" operator="containsText" text="超过">
      <formula>NOT(ISERROR(SEARCH("超过",F47)))</formula>
    </cfRule>
  </conditionalFormatting>
  <conditionalFormatting sqref="E46">
    <cfRule type="expression" dxfId="162" priority="16" stopIfTrue="1">
      <formula>$F$46="超过30%"</formula>
    </cfRule>
  </conditionalFormatting>
  <conditionalFormatting sqref="E47">
    <cfRule type="expression" dxfId="161" priority="15" stopIfTrue="1">
      <formula>$F$47="超过20%"</formula>
    </cfRule>
  </conditionalFormatting>
  <conditionalFormatting sqref="E48">
    <cfRule type="expression" dxfId="160" priority="14" stopIfTrue="1">
      <formula>$F$48="超过30%"</formula>
    </cfRule>
  </conditionalFormatting>
  <conditionalFormatting sqref="G48">
    <cfRule type="expression" dxfId="159" priority="13" stopIfTrue="1">
      <formula>$H$48="超过30%"</formula>
    </cfRule>
  </conditionalFormatting>
  <conditionalFormatting sqref="G46">
    <cfRule type="expression" dxfId="158" priority="12" stopIfTrue="1">
      <formula>$H$46="超过30%"</formula>
    </cfRule>
  </conditionalFormatting>
  <conditionalFormatting sqref="G47">
    <cfRule type="expression" dxfId="157" priority="11" stopIfTrue="1">
      <formula>$H$47="超过20%"</formula>
    </cfRule>
  </conditionalFormatting>
  <conditionalFormatting sqref="J46">
    <cfRule type="containsText" dxfId="156" priority="10" stopIfTrue="1" operator="containsText" text="超过">
      <formula>NOT(ISERROR(SEARCH("超过",J46)))</formula>
    </cfRule>
  </conditionalFormatting>
  <conditionalFormatting sqref="J48">
    <cfRule type="containsText" dxfId="155" priority="9" stopIfTrue="1" operator="containsText" text="超过">
      <formula>NOT(ISERROR(SEARCH("超过",J48)))</formula>
    </cfRule>
  </conditionalFormatting>
  <conditionalFormatting sqref="J47">
    <cfRule type="containsText" dxfId="154" priority="8" stopIfTrue="1" operator="containsText" text="超过">
      <formula>NOT(ISERROR(SEARCH("超过",J47)))</formula>
    </cfRule>
  </conditionalFormatting>
  <conditionalFormatting sqref="I46">
    <cfRule type="expression" dxfId="153" priority="7" stopIfTrue="1">
      <formula>$J$46="超过30%"</formula>
    </cfRule>
  </conditionalFormatting>
  <conditionalFormatting sqref="I47">
    <cfRule type="expression" dxfId="152" priority="6" stopIfTrue="1">
      <formula>$J$47="超过20%"</formula>
    </cfRule>
  </conditionalFormatting>
  <conditionalFormatting sqref="I48">
    <cfRule type="expression" dxfId="151" priority="5" stopIfTrue="1">
      <formula>$J$48="超过30%"</formula>
    </cfRule>
  </conditionalFormatting>
  <conditionalFormatting sqref="F42">
    <cfRule type="expression" dxfId="150" priority="4">
      <formula>$D$42="简单平均"</formula>
    </cfRule>
  </conditionalFormatting>
  <conditionalFormatting sqref="H42">
    <cfRule type="expression" dxfId="149" priority="3">
      <formula>$D$42="简单平均"</formula>
    </cfRule>
  </conditionalFormatting>
  <conditionalFormatting sqref="J42">
    <cfRule type="expression" dxfId="148" priority="2">
      <formula>$D$42="简单平均"</formula>
    </cfRule>
  </conditionalFormatting>
  <conditionalFormatting sqref="F7:F40 H7:H40 J7:J40">
    <cfRule type="cellIs" dxfId="147" priority="1" operator="notEqual">
      <formula>100</formula>
    </cfRule>
  </conditionalFormatting>
  <dataValidations count="20">
    <dataValidation type="list" allowBlank="1" showInputMessage="1" showErrorMessage="1" sqref="E1">
      <formula1>"项目模式,单套模式"</formula1>
    </dataValidation>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7" zoomScale="80" zoomScaleNormal="70" zoomScaleSheetLayoutView="80" workbookViewId="0">
      <selection activeCell="E19" sqref="E1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31.78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427.43090000000001</v>
      </c>
      <c r="C2" s="1387" t="s">
        <v>879</v>
      </c>
      <c r="D2" s="1471">
        <f ca="1">C40+J29+L46</f>
        <v>4274309</v>
      </c>
      <c r="E2" s="1388" t="s">
        <v>880</v>
      </c>
      <c r="F2" s="1389"/>
      <c r="G2" s="2706"/>
      <c r="H2" s="2695"/>
      <c r="I2" s="2695"/>
      <c r="J2" s="2695"/>
      <c r="K2" s="2696"/>
      <c r="L2" s="2695"/>
      <c r="M2" s="2695"/>
    </row>
    <row r="3" spans="1:37" ht="18" customHeight="1" thickBot="1">
      <c r="A3" s="1390" t="s">
        <v>881</v>
      </c>
      <c r="B3" s="1391">
        <f ca="1">IF(ISERROR(D2/F43),0,ROUND(D2/F43,0))</f>
        <v>7300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209577</v>
      </c>
      <c r="D5" s="1364" t="s">
        <v>889</v>
      </c>
      <c r="E5" s="1071"/>
      <c r="F5" s="1072"/>
      <c r="G5" s="1384"/>
      <c r="H5" s="299">
        <v>1</v>
      </c>
      <c r="I5" s="300" t="s">
        <v>888</v>
      </c>
      <c r="J5" s="1070">
        <f ca="1">J6+J10+J12</f>
        <v>315837</v>
      </c>
      <c r="K5" s="1364" t="s">
        <v>889</v>
      </c>
      <c r="L5" s="1071"/>
      <c r="M5" s="1072"/>
    </row>
    <row r="6" spans="1:37" ht="18" customHeight="1">
      <c r="A6" s="1069" t="s">
        <v>398</v>
      </c>
      <c r="B6" s="3765" t="s">
        <v>694</v>
      </c>
      <c r="C6" s="1074">
        <f ca="1">ROUND(F6*F8*F7*(1-F9),0)</f>
        <v>209577</v>
      </c>
      <c r="D6" s="155" t="s">
        <v>2106</v>
      </c>
      <c r="E6" s="302" t="s">
        <v>696</v>
      </c>
      <c r="F6" s="303">
        <f ca="1">INDIRECT("'数据-取费表'!u"&amp;$G$1)</f>
        <v>0.98063999999999996</v>
      </c>
      <c r="G6" s="1384"/>
      <c r="H6" s="1069" t="s">
        <v>398</v>
      </c>
      <c r="I6" s="3765" t="s">
        <v>694</v>
      </c>
      <c r="J6" s="301">
        <f ca="1">ROUND(M6*M8*M7*(1-M9),0)</f>
        <v>315443</v>
      </c>
      <c r="K6" s="1376" t="s">
        <v>2107</v>
      </c>
      <c r="L6" s="302" t="s">
        <v>696</v>
      </c>
      <c r="M6" s="303">
        <f ca="1">INDIRECT("'数据-取费表'!z"&amp;$G$1)</f>
        <v>1.64</v>
      </c>
    </row>
    <row r="7" spans="1:37" ht="18" customHeight="1">
      <c r="A7" s="1073"/>
      <c r="B7" s="3766"/>
      <c r="C7" s="1075"/>
      <c r="D7" s="307"/>
      <c r="E7" s="1076" t="s">
        <v>697</v>
      </c>
      <c r="F7" s="303">
        <f ca="1">IF(INDIRECT("'数据-取费表'!ah"&amp;$G$1)="",INDIRECT("'数据-取费表'!k"&amp;$G$1),INDIRECT("'数据-取费表'!ah"&amp;$G$1))</f>
        <v>585.52</v>
      </c>
      <c r="G7" s="1384"/>
      <c r="H7" s="304"/>
      <c r="I7" s="3766"/>
      <c r="J7" s="306"/>
      <c r="K7" s="307"/>
      <c r="L7" s="302" t="s">
        <v>697</v>
      </c>
      <c r="M7" s="303">
        <f ca="1">F7</f>
        <v>585.52</v>
      </c>
    </row>
    <row r="8" spans="1:37" ht="18" customHeight="1">
      <c r="A8" s="304"/>
      <c r="B8" s="3766"/>
      <c r="C8" s="306"/>
      <c r="D8" s="307"/>
      <c r="E8" s="302" t="s">
        <v>698</v>
      </c>
      <c r="F8" s="303">
        <f ca="1">INDIRECT("'数据-取费表'!ai"&amp;$G$1)</f>
        <v>365</v>
      </c>
      <c r="G8" s="1384"/>
      <c r="H8" s="304"/>
      <c r="I8" s="3766"/>
      <c r="J8" s="306"/>
      <c r="K8" s="307"/>
      <c r="L8" s="302" t="s">
        <v>698</v>
      </c>
      <c r="M8" s="303">
        <f ca="1">INDIRECT("'数据-取费表'!ai"&amp;$G$1)</f>
        <v>365</v>
      </c>
    </row>
    <row r="9" spans="1:37" ht="18" customHeight="1">
      <c r="A9" s="304"/>
      <c r="B9" s="3767"/>
      <c r="C9" s="306"/>
      <c r="D9" s="307"/>
      <c r="E9" s="302" t="s">
        <v>699</v>
      </c>
      <c r="F9" s="312">
        <f ca="1">INDIRECT("'数据-取费表'!w"&amp;$G$1)</f>
        <v>0</v>
      </c>
      <c r="G9" s="1384"/>
      <c r="H9" s="304"/>
      <c r="I9" s="3767"/>
      <c r="J9" s="306"/>
      <c r="K9" s="307"/>
      <c r="L9" s="313" t="s">
        <v>699</v>
      </c>
      <c r="M9" s="314">
        <f ca="1">INDIRECT("'数据-取费表'!ab"&amp;$G$1)</f>
        <v>0.1</v>
      </c>
    </row>
    <row r="10" spans="1:37" ht="18" customHeight="1">
      <c r="A10" s="1069" t="s">
        <v>402</v>
      </c>
      <c r="B10" s="1365" t="s">
        <v>700</v>
      </c>
      <c r="C10" s="316">
        <f ca="1">ROUND(IF(F10="押一",C6/12*F11,IF(F10="押二",C6/12*2*F11,IF(F10="押三",C6/12*3*F11,C11*F11))),0)</f>
        <v>0</v>
      </c>
      <c r="D10" s="1366" t="s">
        <v>2116</v>
      </c>
      <c r="E10" s="313" t="s">
        <v>701</v>
      </c>
      <c r="F10" s="1116" t="s">
        <v>3541</v>
      </c>
      <c r="G10" s="1384"/>
      <c r="H10" s="1069" t="s">
        <v>402</v>
      </c>
      <c r="I10" s="1365" t="s">
        <v>700</v>
      </c>
      <c r="J10" s="301">
        <f ca="1">ROUND(IF(M10="押一",J6/12*M11,IF(M10="押二",J6/12*2*M11,IF(M10="押三",J6/12*3*M11,J11*M11))),0)</f>
        <v>394</v>
      </c>
      <c r="K10" s="1377" t="s">
        <v>2118</v>
      </c>
      <c r="L10" s="313" t="s">
        <v>701</v>
      </c>
      <c r="M10" s="1116" t="s">
        <v>3441</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2215047</v>
      </c>
      <c r="D13" s="1081" t="s">
        <v>705</v>
      </c>
      <c r="E13" s="1081" t="s">
        <v>706</v>
      </c>
      <c r="F13" s="1082">
        <f ca="1">INDIRECT("'数据-取费表'!y"&amp;$G$1)</f>
        <v>0.77</v>
      </c>
      <c r="G13" s="1384"/>
      <c r="H13" s="1079">
        <v>2</v>
      </c>
      <c r="I13" s="1080" t="s">
        <v>704</v>
      </c>
      <c r="J13" s="1068">
        <f ca="1">ROUND(J14*J15,0)</f>
        <v>2099980</v>
      </c>
      <c r="K13" s="1087" t="s">
        <v>705</v>
      </c>
      <c r="L13" s="1392"/>
      <c r="M13" s="1393"/>
    </row>
    <row r="14" spans="1:37" ht="18" customHeight="1">
      <c r="A14" s="982" t="s">
        <v>397</v>
      </c>
      <c r="B14" s="302" t="s">
        <v>707</v>
      </c>
      <c r="C14" s="318">
        <f ca="1">ROUND(INDIRECT("'数据-取费表'!l"&amp;$G$1)*F43+'数据-取费表'!L14*INDIRECT("'数据-取费表'!S"&amp;$G$1),0)</f>
        <v>1932216</v>
      </c>
      <c r="D14" s="1345" t="s">
        <v>708</v>
      </c>
      <c r="E14" s="1342"/>
      <c r="F14" s="319"/>
      <c r="G14" s="1384"/>
      <c r="H14" s="982" t="s">
        <v>398</v>
      </c>
      <c r="I14" s="302" t="s">
        <v>709</v>
      </c>
      <c r="J14" s="21">
        <f ca="1">C29</f>
        <v>2876685</v>
      </c>
      <c r="K14" s="12"/>
      <c r="L14" s="807"/>
      <c r="M14" s="808"/>
    </row>
    <row r="15" spans="1:37" s="1397" customFormat="1" ht="18" customHeight="1" thickBot="1">
      <c r="A15" s="982" t="s">
        <v>399</v>
      </c>
      <c r="B15" s="302" t="s">
        <v>710</v>
      </c>
      <c r="C15" s="21">
        <f ca="1">ROUND(C14*F15,0)</f>
        <v>96611</v>
      </c>
      <c r="D15" s="320" t="s">
        <v>711</v>
      </c>
      <c r="E15" s="320" t="s">
        <v>712</v>
      </c>
      <c r="F15" s="321">
        <f>'数据-取费表'!B33</f>
        <v>0.05</v>
      </c>
      <c r="G15" s="1396"/>
      <c r="H15" s="1089" t="s">
        <v>402</v>
      </c>
      <c r="I15" s="1090" t="s">
        <v>706</v>
      </c>
      <c r="J15" s="1099">
        <f ca="1">INDIRECT("'数据-取费表'!ad"&amp;$G$1)</f>
        <v>0.73</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66462</v>
      </c>
      <c r="K16" s="1087" t="s">
        <v>715</v>
      </c>
      <c r="L16" s="1088"/>
      <c r="M16" s="1072"/>
    </row>
    <row r="17" spans="1:37" s="1397" customFormat="1" ht="18" customHeight="1">
      <c r="A17" s="982" t="s">
        <v>681</v>
      </c>
      <c r="B17" s="302" t="s">
        <v>716</v>
      </c>
      <c r="C17" s="21">
        <f ca="1">ROUND(F17*(F43+INDIRECT("'数据-取费表'!S"&amp;$G$1)),0)</f>
        <v>117104</v>
      </c>
      <c r="D17" s="302" t="s">
        <v>717</v>
      </c>
      <c r="E17" s="302" t="s">
        <v>718</v>
      </c>
      <c r="F17" s="23">
        <f>'数据-取费表'!B35</f>
        <v>200</v>
      </c>
      <c r="G17" s="1396"/>
      <c r="H17" s="982" t="s">
        <v>398</v>
      </c>
      <c r="I17" s="302" t="s">
        <v>719</v>
      </c>
      <c r="J17" s="2316">
        <f ca="1">ROUND(IF(AND(项目基本情况!B11="自然人",项目基本情况!B10="北京市"),J6*M17/(1+'数据-取费表'!C42),J18+J19+J20),0)</f>
        <v>52574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38644</v>
      </c>
      <c r="D18" s="302" t="s">
        <v>711</v>
      </c>
      <c r="E18" s="302" t="s">
        <v>712</v>
      </c>
      <c r="F18" s="322">
        <f>'数据-取费表'!B36</f>
        <v>0.02</v>
      </c>
      <c r="G18" s="1396"/>
      <c r="H18" s="982" t="s">
        <v>397</v>
      </c>
      <c r="I18" s="302" t="s">
        <v>723</v>
      </c>
      <c r="J18" s="21">
        <f ca="1">ROUND(J6*M18/(1+'数据-取费表'!C42),0)</f>
        <v>16523</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2184575</v>
      </c>
      <c r="D19" s="131" t="s">
        <v>726</v>
      </c>
      <c r="E19" s="1360"/>
      <c r="F19" s="23"/>
      <c r="G19" s="1384"/>
      <c r="H19" s="982" t="s">
        <v>399</v>
      </c>
      <c r="I19" s="302" t="s">
        <v>727</v>
      </c>
      <c r="J19" s="21">
        <f ca="1">IF(K19="按租金收入计税",ROUND(J6*M19/(1+'数据-取费表'!C42),0),ROUND(C29*M19*0.7,0))</f>
        <v>36051</v>
      </c>
      <c r="K19" s="1370" t="s">
        <v>3334</v>
      </c>
      <c r="L19" s="302" t="s">
        <v>712</v>
      </c>
      <c r="M19" s="322">
        <f>IF(K19="按租金收入计税",'数据-取费表'!B51,'数据-取费表'!B50)</f>
        <v>0.12</v>
      </c>
    </row>
    <row r="20" spans="1:37" s="1397" customFormat="1" ht="18" customHeight="1">
      <c r="A20" s="982" t="s">
        <v>402</v>
      </c>
      <c r="B20" s="302" t="s">
        <v>728</v>
      </c>
      <c r="C20" s="21">
        <f ca="1">ROUND(C19*F20,0)</f>
        <v>65537</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8630</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70428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2100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ROUND(J5*M24,0)</f>
        <v>3158</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249375</v>
      </c>
      <c r="K25" s="1095" t="s">
        <v>753</v>
      </c>
      <c r="L25" s="1096"/>
      <c r="M25" s="1097"/>
    </row>
    <row r="26" spans="1:37" ht="18" customHeight="1">
      <c r="A26" s="982" t="s">
        <v>397</v>
      </c>
      <c r="B26" s="302" t="s">
        <v>754</v>
      </c>
      <c r="C26" s="21">
        <f ca="1">ROUND((C19+C20)*F26,0)</f>
        <v>337517</v>
      </c>
      <c r="D26" s="323" t="s">
        <v>755</v>
      </c>
      <c r="E26" s="313" t="s">
        <v>756</v>
      </c>
      <c r="F26" s="312">
        <f ca="1">INDIRECT("'数据-取费表'!q"&amp;$G$1)</f>
        <v>0.15</v>
      </c>
      <c r="G26" s="1384"/>
      <c r="H26" s="299" t="s">
        <v>395</v>
      </c>
      <c r="I26" s="300" t="s">
        <v>757</v>
      </c>
      <c r="J26" s="301">
        <f ca="1">IF(J5&lt;&gt;0,ROUND(J25*(1-((1+M28)/(1+M26))^M27)/(M26-M28),0),0)</f>
        <v>4279889</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30.01</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1.4999999999999999E-2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2876685</v>
      </c>
      <c r="D29" s="1092"/>
      <c r="E29" s="1090"/>
      <c r="F29" s="1093"/>
      <c r="G29" s="1396"/>
      <c r="H29" s="334" t="s">
        <v>396</v>
      </c>
      <c r="I29" s="335" t="s">
        <v>768</v>
      </c>
      <c r="J29" s="336">
        <f ca="1">ROUND(J26/(1+F40)^F41,0)</f>
        <v>3892922</v>
      </c>
      <c r="K29" s="337" t="s">
        <v>769</v>
      </c>
      <c r="L29" s="338"/>
      <c r="M29" s="339">
        <f ca="1">INDIRECT("'数据-取费表'!k"&amp;$G$1)</f>
        <v>585.52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47871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34930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10978</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23952</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8630</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ROUND(C13*F37,0)</f>
        <v>2215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2096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161706</v>
      </c>
      <c r="D39" s="1095" t="s">
        <v>773</v>
      </c>
      <c r="E39" s="1096"/>
      <c r="F39" s="1097"/>
      <c r="G39" s="1384"/>
      <c r="H39" s="2700"/>
      <c r="I39" s="1398"/>
      <c r="J39" s="1399"/>
      <c r="K39" s="2704"/>
      <c r="L39" s="2700"/>
      <c r="M39" s="2700"/>
    </row>
    <row r="40" spans="1:18" ht="18" customHeight="1">
      <c r="A40" s="299" t="s">
        <v>395</v>
      </c>
      <c r="B40" s="300" t="s">
        <v>774</v>
      </c>
      <c r="C40" s="301">
        <f ca="1">ROUND(C39*(1-((1+F42)/(1+F40))^F41)/(F40-F42),0)</f>
        <v>265831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1.77</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ROUND(C40/F43,0)</f>
        <v>454</v>
      </c>
      <c r="D43" s="337" t="s">
        <v>777</v>
      </c>
      <c r="E43" s="338" t="s">
        <v>778</v>
      </c>
      <c r="F43" s="339">
        <f ca="1">INDIRECT("'数据-取费表'!k"&amp;$G$1)</f>
        <v>585.52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f ca="1">ROUND((C68-C40)/10000,4)</f>
        <v>13.5717</v>
      </c>
      <c r="D45" s="3432" t="s">
        <v>3351</v>
      </c>
      <c r="E45" s="1400"/>
      <c r="F45" s="1400"/>
      <c r="O45" s="1403" t="s">
        <v>808</v>
      </c>
      <c r="P45" s="1461"/>
      <c r="Q45" s="1461"/>
      <c r="R45" s="1461"/>
    </row>
    <row r="46" spans="1:18" s="1384" customFormat="1" ht="13.5" thickBot="1">
      <c r="A46" s="1404" t="s">
        <v>809</v>
      </c>
      <c r="C46" s="1405">
        <f ca="1">ROUND(C45,0)</f>
        <v>14</v>
      </c>
      <c r="D46" s="1406" t="str">
        <f>C2</f>
        <v>万元</v>
      </c>
      <c r="I46" s="1407" t="s">
        <v>810</v>
      </c>
      <c r="J46" s="1408"/>
      <c r="K46" s="1409"/>
      <c r="L46" s="1410">
        <f ca="1">IF(M47="住宅",0,IF(L48&gt;J51,L60,J60))</f>
        <v>115556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3442</v>
      </c>
      <c r="K47" s="1416" t="s">
        <v>816</v>
      </c>
      <c r="L47" s="1417">
        <f ca="1">INDIRECT("'数据-取费表'!d"&amp;$G$1)</f>
        <v>50</v>
      </c>
      <c r="M47" s="1380" t="str">
        <f>IF(ISNUMBER(FIND("住宅",C1)),"住宅","非住宅")</f>
        <v>非住宅</v>
      </c>
      <c r="O47" s="1418" t="s">
        <v>403</v>
      </c>
      <c r="P47" s="1419" t="s">
        <v>817</v>
      </c>
      <c r="Q47" s="1420">
        <f ca="1">C40+J29</f>
        <v>4158753</v>
      </c>
      <c r="R47" s="1420" t="s">
        <v>818</v>
      </c>
    </row>
    <row r="48" spans="1:18" s="1384" customFormat="1" ht="28.5" thickBot="1">
      <c r="A48" s="1110" t="s">
        <v>438</v>
      </c>
      <c r="B48" s="300" t="s">
        <v>692</v>
      </c>
      <c r="C48" s="1359">
        <f ca="1">C49+C53+C55</f>
        <v>308134</v>
      </c>
      <c r="D48" s="1112"/>
      <c r="E48" s="1113"/>
      <c r="F48" s="962"/>
      <c r="G48" s="722"/>
      <c r="H48" s="723"/>
      <c r="I48" s="1421" t="s">
        <v>819</v>
      </c>
      <c r="J48" s="1422" t="s">
        <v>3443</v>
      </c>
      <c r="K48" s="1423" t="s">
        <v>820</v>
      </c>
      <c r="L48" s="1424">
        <f ca="1">INDIRECT("'数据-取费表'!f"&amp;$G$1)</f>
        <v>31.78</v>
      </c>
      <c r="O48" s="1418" t="s">
        <v>404</v>
      </c>
      <c r="P48" s="1419" t="s">
        <v>821</v>
      </c>
      <c r="Q48" s="1420">
        <f ca="1">J60</f>
        <v>115556</v>
      </c>
      <c r="R48" s="1420" t="s">
        <v>822</v>
      </c>
    </row>
    <row r="49" spans="1:18" s="1384" customFormat="1" ht="13.5" thickBot="1">
      <c r="A49" s="975" t="s">
        <v>439</v>
      </c>
      <c r="B49" s="1371" t="s">
        <v>779</v>
      </c>
      <c r="C49" s="1114">
        <f ca="1">ROUND(F49*F51*F50*(1-F52),0)</f>
        <v>307749</v>
      </c>
      <c r="D49" s="1055" t="s">
        <v>695</v>
      </c>
      <c r="E49" s="1372" t="s">
        <v>780</v>
      </c>
      <c r="F49" s="1060">
        <f>'数据-取费表'!AB20</f>
        <v>1.6</v>
      </c>
      <c r="G49" s="1425"/>
      <c r="H49" s="723"/>
      <c r="I49" s="1421" t="s">
        <v>823</v>
      </c>
      <c r="J49" s="1426">
        <f>'数据-取费表'!N18</f>
        <v>2011</v>
      </c>
      <c r="K49" s="1423" t="s">
        <v>824</v>
      </c>
      <c r="L49" s="1427"/>
      <c r="O49" s="1428" t="s">
        <v>405</v>
      </c>
      <c r="P49" s="1419" t="s">
        <v>825</v>
      </c>
      <c r="Q49" s="1420">
        <f ca="1">C29</f>
        <v>2876685</v>
      </c>
      <c r="R49" s="1420" t="s">
        <v>818</v>
      </c>
    </row>
    <row r="50" spans="1:18" s="1384" customFormat="1" ht="13.5" thickBot="1">
      <c r="A50" s="976"/>
      <c r="B50" s="979"/>
      <c r="C50" s="980"/>
      <c r="D50" s="953"/>
      <c r="E50" s="1056" t="s">
        <v>697</v>
      </c>
      <c r="F50" s="1057">
        <f ca="1">F7</f>
        <v>585.52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118951</v>
      </c>
      <c r="M51" s="1436"/>
      <c r="O51" s="1428" t="s">
        <v>407</v>
      </c>
      <c r="P51" s="1419" t="s">
        <v>831</v>
      </c>
      <c r="Q51" s="1431">
        <f>J52</f>
        <v>7.4999999999999997E-2</v>
      </c>
      <c r="R51" s="1420"/>
    </row>
    <row r="52" spans="1:18" s="1384" customFormat="1" ht="13.5" thickBot="1">
      <c r="A52" s="977"/>
      <c r="B52" s="979"/>
      <c r="C52" s="980"/>
      <c r="D52" s="953"/>
      <c r="E52" s="981" t="s">
        <v>699</v>
      </c>
      <c r="F52" s="1054">
        <f>'数据-取费表'!AB6</f>
        <v>0.1</v>
      </c>
      <c r="I52" s="1437" t="s">
        <v>832</v>
      </c>
      <c r="J52" s="1438">
        <v>7.4999999999999997E-2</v>
      </c>
      <c r="K52" s="1437" t="s">
        <v>833</v>
      </c>
      <c r="L52" s="1438"/>
      <c r="O52" s="1428" t="s">
        <v>408</v>
      </c>
      <c r="P52" s="1419" t="s">
        <v>834</v>
      </c>
      <c r="Q52" s="1420">
        <f ca="1">J53</f>
        <v>31.78</v>
      </c>
      <c r="R52" s="1420" t="s">
        <v>835</v>
      </c>
    </row>
    <row r="53" spans="1:18" s="1384" customFormat="1" ht="30.75" customHeight="1" thickBot="1">
      <c r="A53" s="1111" t="s">
        <v>440</v>
      </c>
      <c r="B53" s="323" t="s">
        <v>700</v>
      </c>
      <c r="C53" s="316">
        <f ca="1">ROUND(IF(F53="押一",C49/12*F11,IF(F53="押二",C49/12*2*F11,IF(F53="押三",C49/12*3*F11,C54*F11))),0)</f>
        <v>385</v>
      </c>
      <c r="D53" s="1366" t="s">
        <v>2119</v>
      </c>
      <c r="E53" s="313" t="s">
        <v>701</v>
      </c>
      <c r="F53" s="1116" t="s">
        <v>3441</v>
      </c>
      <c r="I53" s="1439" t="s">
        <v>836</v>
      </c>
      <c r="J53" s="2168">
        <f ca="1">IF(M47="住宅",IF(D1="——",MAX(J51,L48),MAX(J51,L48-'数据-取费表'!B24)),IF(D1="——",MIN(J51,L48),MIN(J51,L48-'数据-取费表'!B24)))</f>
        <v>31.78</v>
      </c>
      <c r="K53" s="3768" t="s">
        <v>837</v>
      </c>
      <c r="L53" s="3769"/>
      <c r="O53" s="1418" t="s">
        <v>409</v>
      </c>
      <c r="P53" s="1419" t="s">
        <v>838</v>
      </c>
      <c r="Q53" s="1420">
        <f ca="1">Q47+Q48</f>
        <v>4274309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0.23699999999999999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2215047</v>
      </c>
      <c r="D56" s="1447"/>
      <c r="E56" s="1448"/>
      <c r="F56" s="1440"/>
      <c r="I56" s="1449" t="s">
        <v>842</v>
      </c>
      <c r="J56" s="1450" t="s">
        <v>3423</v>
      </c>
      <c r="K56" s="1421" t="s">
        <v>843</v>
      </c>
      <c r="L56" s="1424" t="str">
        <f ca="1">IF(L48&lt;J51,"——",L48-J51)</f>
        <v>——</v>
      </c>
      <c r="O56" s="1418" t="s">
        <v>403</v>
      </c>
      <c r="P56" s="1419" t="s">
        <v>817</v>
      </c>
      <c r="Q56" s="1420">
        <f ca="1">C40+J29</f>
        <v>4158753</v>
      </c>
      <c r="R56" s="1420" t="s">
        <v>818</v>
      </c>
    </row>
    <row r="57" spans="1:18" s="1384" customFormat="1" ht="24.75" thickBot="1">
      <c r="A57" s="1451"/>
      <c r="B57" s="950" t="s">
        <v>767</v>
      </c>
      <c r="C57" s="238">
        <f ca="1">C29</f>
        <v>2876685</v>
      </c>
      <c r="D57" s="1452"/>
      <c r="E57" s="1453"/>
      <c r="F57" s="1454"/>
      <c r="I57" s="1455" t="s">
        <v>844</v>
      </c>
      <c r="J57" s="1456">
        <f ca="1">IF(OR(M47="住宅",J51&lt;L48,J56="是"),"——",J51-L48)</f>
        <v>14.219999999999999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65237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51311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1150674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16140</v>
      </c>
      <c r="D60" s="964" t="s">
        <v>724</v>
      </c>
      <c r="E60" s="950" t="s">
        <v>712</v>
      </c>
      <c r="F60" s="331">
        <f t="shared" ref="F60:F66" si="0">F32</f>
        <v>5.5000000000000007E-2</v>
      </c>
      <c r="I60" s="1458" t="s">
        <v>853</v>
      </c>
      <c r="J60" s="1459">
        <f ca="1">IF(OR(M47="住宅",J51&lt;L48,J56="是"),"0",ROUND(J59/(1+J52)^J53,0))</f>
        <v>115556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35171</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4158753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8630</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2215</v>
      </c>
      <c r="D65" s="964" t="s">
        <v>743</v>
      </c>
      <c r="E65" s="950" t="s">
        <v>744</v>
      </c>
      <c r="F65" s="330">
        <f t="shared" ca="1" si="0"/>
        <v>1E-3</v>
      </c>
      <c r="I65" s="1462" t="s">
        <v>867</v>
      </c>
      <c r="J65" s="1463">
        <v>40</v>
      </c>
      <c r="K65" s="1463">
        <v>30</v>
      </c>
      <c r="L65" s="1463">
        <v>50</v>
      </c>
      <c r="M65" s="1465">
        <v>0.02</v>
      </c>
      <c r="O65" s="1418" t="s">
        <v>403</v>
      </c>
      <c r="P65" s="1419" t="s">
        <v>868</v>
      </c>
      <c r="Q65" s="1420">
        <f ca="1">C40+J29</f>
        <v>4158753</v>
      </c>
      <c r="R65" s="1420" t="s">
        <v>818</v>
      </c>
    </row>
    <row r="66" spans="1:18" s="1384" customFormat="1" ht="16.5" thickBot="1">
      <c r="A66" s="982" t="s">
        <v>793</v>
      </c>
      <c r="B66" s="950" t="s">
        <v>728</v>
      </c>
      <c r="C66" s="21">
        <f ca="1">ROUND(C48*F66,0)</f>
        <v>3081</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242897</v>
      </c>
      <c r="D67" s="963" t="s">
        <v>753</v>
      </c>
      <c r="E67" s="968"/>
      <c r="F67" s="969"/>
      <c r="O67" s="1428" t="s">
        <v>405</v>
      </c>
      <c r="P67" s="1419" t="s">
        <v>850</v>
      </c>
      <c r="Q67" s="1466">
        <f ca="1">L51</f>
        <v>118951</v>
      </c>
      <c r="R67" s="1420" t="s">
        <v>870</v>
      </c>
    </row>
    <row r="68" spans="1:18" s="1384" customFormat="1" ht="16.5" thickBot="1">
      <c r="A68" s="947" t="s">
        <v>395</v>
      </c>
      <c r="B68" s="948" t="s">
        <v>774</v>
      </c>
      <c r="C68" s="301">
        <f ca="1">ROUND(C67*(1-((1+F70)/(1+F68))^F69)/(F68-F70),0)</f>
        <v>401548</v>
      </c>
      <c r="D68" s="965" t="s">
        <v>758</v>
      </c>
      <c r="E68" s="950" t="s">
        <v>759</v>
      </c>
      <c r="F68" s="312">
        <f ca="1">F40</f>
        <v>5.5E-2</v>
      </c>
      <c r="O68" s="1428" t="s">
        <v>406</v>
      </c>
      <c r="P68" s="1467" t="s">
        <v>871</v>
      </c>
      <c r="Q68" s="1420">
        <f ca="1">ROUND(Q69-Q70*Q71,0)</f>
        <v>6653</v>
      </c>
      <c r="R68" s="1420" t="s">
        <v>414</v>
      </c>
    </row>
    <row r="69" spans="1:18" s="1384" customFormat="1" ht="13.5" thickBot="1">
      <c r="A69" s="951"/>
      <c r="B69" s="952"/>
      <c r="C69" s="306"/>
      <c r="D69" s="970" t="s">
        <v>762</v>
      </c>
      <c r="E69" s="950" t="s">
        <v>763</v>
      </c>
      <c r="F69" s="333">
        <f ca="1">F41</f>
        <v>1.77</v>
      </c>
      <c r="O69" s="1428" t="s">
        <v>411</v>
      </c>
      <c r="P69" s="1467" t="s">
        <v>872</v>
      </c>
      <c r="Q69" s="1420">
        <f ca="1">C39</f>
        <v>161706</v>
      </c>
      <c r="R69" s="1420" t="s">
        <v>818</v>
      </c>
    </row>
    <row r="70" spans="1:18" s="1384" customFormat="1" ht="13.5" thickBot="1">
      <c r="A70" s="954"/>
      <c r="B70" s="955"/>
      <c r="C70" s="310"/>
      <c r="D70" s="966"/>
      <c r="E70" s="950" t="s">
        <v>766</v>
      </c>
      <c r="F70" s="1054">
        <f>'数据-取费表'!AA6</f>
        <v>1.4999999999999999E-2</v>
      </c>
      <c r="O70" s="1428" t="s">
        <v>412</v>
      </c>
      <c r="P70" s="1467" t="s">
        <v>873</v>
      </c>
      <c r="Q70" s="1420">
        <f ca="1">C13</f>
        <v>2215047</v>
      </c>
      <c r="R70" s="1420" t="s">
        <v>818</v>
      </c>
    </row>
    <row r="71" spans="1:18" s="1384" customFormat="1" ht="13.5" thickBot="1">
      <c r="A71" s="971" t="s">
        <v>396</v>
      </c>
      <c r="B71" s="972" t="s">
        <v>776</v>
      </c>
      <c r="C71" s="336">
        <f ca="1">ROUND(C68/F71,0)</f>
        <v>686</v>
      </c>
      <c r="D71" s="973" t="s">
        <v>777</v>
      </c>
      <c r="E71" s="974" t="s">
        <v>778</v>
      </c>
      <c r="F71" s="339">
        <f ca="1">F43</f>
        <v>585.52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155053</v>
      </c>
      <c r="D75" s="1384"/>
      <c r="E75" s="1384"/>
      <c r="F75" s="1384"/>
      <c r="K75" s="1402"/>
      <c r="L75" s="1384"/>
      <c r="O75" s="1418" t="s">
        <v>409</v>
      </c>
      <c r="P75" s="1419" t="s">
        <v>838</v>
      </c>
      <c r="Q75" s="1420">
        <f ca="1">Q65+Q66</f>
        <v>4158753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4.1000000000000036E-2</v>
      </c>
    </row>
    <row r="80" spans="1:18">
      <c r="B80" s="340" t="s">
        <v>800</v>
      </c>
      <c r="C80" s="274">
        <f ca="1">ROUND(C75/C39,3)</f>
        <v>0.95899999999999996</v>
      </c>
    </row>
    <row r="81" spans="2:3">
      <c r="B81" s="270" t="s">
        <v>801</v>
      </c>
      <c r="C81" s="238"/>
    </row>
    <row r="82" spans="2:3">
      <c r="B82" s="273" t="s">
        <v>802</v>
      </c>
      <c r="C82" s="275">
        <f ca="1">1-C83</f>
        <v>-7.3330000000000002</v>
      </c>
    </row>
    <row r="83" spans="2:3">
      <c r="B83" s="273" t="s">
        <v>803</v>
      </c>
      <c r="C83" s="274">
        <f ca="1">ROUND(C13/C40,3)</f>
        <v>8.3330000000000002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245.2491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4189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58552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58552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58552</v>
      </c>
      <c r="D10" s="845">
        <f ca="1">IF(B1="",'数据-汇总表'!E6,IF(INDIRECT("'数据-取费表'!c"&amp;$G$1)="住宅",INDIRECT("'数据-取费表'!s"&amp;$G$1),INDIRECT("'数据-取费表'!k"&amp;$G$1)+INDIRECT("'数据-取费表'!s"&amp;$G$1)))</f>
        <v>585.52</v>
      </c>
      <c r="E10" s="225">
        <f>'数据-取费表'!B28</f>
        <v>100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117104</v>
      </c>
      <c r="D19" s="849">
        <f ca="1">D9+D10</f>
        <v>585.52</v>
      </c>
      <c r="E19" s="211">
        <f>'数据-取费表'!B31</f>
        <v>200</v>
      </c>
      <c r="F19" s="231"/>
      <c r="G19" s="1856"/>
    </row>
    <row r="20" spans="1:7" s="214" customFormat="1" ht="13.5" customHeight="1">
      <c r="A20" s="255" t="s">
        <v>1574</v>
      </c>
      <c r="B20" s="210" t="s">
        <v>1575</v>
      </c>
      <c r="C20" s="232">
        <f ca="1">ROUND((C5+C19)*F20,0)</f>
        <v>5270</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11333</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3723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7445</v>
      </c>
      <c r="D24" s="238"/>
      <c r="E24" s="238"/>
      <c r="F24" s="239"/>
      <c r="G24" s="240" t="s">
        <v>1586</v>
      </c>
    </row>
    <row r="25" spans="1:7" s="214" customFormat="1" ht="24">
      <c r="A25" s="780" t="s">
        <v>1476</v>
      </c>
      <c r="B25" s="215" t="s">
        <v>1587</v>
      </c>
      <c r="C25" s="1128">
        <f ca="1">ROUND(IF('数据-取费表'!B22&lt;=1,C20*F22*'数据-取费表'!B22/2,C20*(POWER((1+F22),'数据-取费表'!B22/2)-1)),0)</f>
        <v>165</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27139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27139</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237444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2184575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1932216</v>
      </c>
      <c r="D34" s="217"/>
      <c r="E34" s="220"/>
      <c r="F34" s="257"/>
      <c r="G34" s="219"/>
    </row>
    <row r="35" spans="1:7" ht="13.5" customHeight="1">
      <c r="A35" s="780" t="s">
        <v>351</v>
      </c>
      <c r="B35" s="215" t="s">
        <v>1527</v>
      </c>
      <c r="C35" s="220">
        <f ca="1">ROUND(C34*F35,0)</f>
        <v>96611</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117104</v>
      </c>
      <c r="D37" s="217">
        <f ca="1">D19</f>
        <v>585.52</v>
      </c>
      <c r="E37" s="249">
        <f>'数据-取费表'!B35</f>
        <v>200</v>
      </c>
      <c r="F37" s="259"/>
      <c r="G37" s="261"/>
    </row>
    <row r="38" spans="1:7" ht="13.5" customHeight="1">
      <c r="A38" s="780" t="s">
        <v>354</v>
      </c>
      <c r="B38" s="215" t="s">
        <v>1533</v>
      </c>
      <c r="C38" s="220">
        <f ca="1">ROUND(C34*F38,0)</f>
        <v>38644</v>
      </c>
      <c r="D38" s="220"/>
      <c r="E38" s="220"/>
      <c r="F38" s="259">
        <f>'数据-取费表'!B36</f>
        <v>0.02</v>
      </c>
      <c r="G38" s="219" t="s">
        <v>1528</v>
      </c>
    </row>
    <row r="39" spans="1:7" s="214" customFormat="1" ht="13.5" customHeight="1">
      <c r="A39" s="255" t="s">
        <v>1534</v>
      </c>
      <c r="B39" s="210" t="s">
        <v>1535</v>
      </c>
      <c r="C39" s="232">
        <f ca="1">ROUND(C33*F20,0)</f>
        <v>65537</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70428</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68377</v>
      </c>
      <c r="D42" s="238"/>
      <c r="E42" s="238"/>
      <c r="F42" s="239"/>
      <c r="G42" s="3721" t="s">
        <v>1591</v>
      </c>
    </row>
    <row r="43" spans="1:7" ht="13.5" customHeight="1">
      <c r="A43" s="780" t="s">
        <v>347</v>
      </c>
      <c r="B43" s="215" t="s">
        <v>1545</v>
      </c>
      <c r="C43" s="238">
        <f ca="1">ROUND(IF('数据-取费表'!B22&lt;=1,C39*F22*'数据-取费表'!B20/2,C39*(POWER((1+F22),'数据-取费表'!B20/2)-1)),0)</f>
        <v>2051</v>
      </c>
      <c r="D43" s="238"/>
      <c r="E43" s="238"/>
      <c r="F43" s="239"/>
      <c r="G43" s="3722"/>
    </row>
    <row r="44" spans="1:7" ht="13.5" customHeight="1">
      <c r="A44" s="780" t="s">
        <v>348</v>
      </c>
      <c r="B44" s="215" t="s">
        <v>1546</v>
      </c>
      <c r="C44" s="238">
        <f ca="1">ROUND(IF('数据-取费表'!B22&lt;=1,C40*F22*'数据-取费表'!B20/2,C40*(POWER((1+F22),'数据-取费表'!B20/2)-1)),4)</f>
        <v>5.9999999999999995E-4</v>
      </c>
      <c r="D44" s="238"/>
      <c r="E44" s="238"/>
      <c r="F44" s="239"/>
      <c r="G44" s="3723"/>
    </row>
    <row r="45" spans="1:7" s="214" customFormat="1" ht="13.5" customHeight="1">
      <c r="A45" s="255" t="s">
        <v>1547</v>
      </c>
      <c r="B45" s="244" t="s">
        <v>1513</v>
      </c>
      <c r="C45" s="245">
        <f ca="1">C46</f>
        <v>337517</v>
      </c>
      <c r="D45" s="235">
        <f ca="1">C47</f>
        <v>3.0000000000000001E-3</v>
      </c>
      <c r="E45" s="236" t="s">
        <v>1539</v>
      </c>
      <c r="F45" s="246">
        <f ca="1">F27</f>
        <v>0.15</v>
      </c>
      <c r="G45" s="247" t="s">
        <v>1548</v>
      </c>
    </row>
    <row r="46" spans="1:7" s="214" customFormat="1" ht="13.5" customHeight="1">
      <c r="A46" s="780" t="s">
        <v>346</v>
      </c>
      <c r="B46" s="248" t="s">
        <v>1549</v>
      </c>
      <c r="C46" s="249">
        <f ca="1">ROUND((C33+C39)*F27,0)</f>
        <v>337517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2876685</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2215047</v>
      </c>
      <c r="D51" s="232"/>
      <c r="E51" s="232"/>
      <c r="F51" s="264"/>
      <c r="G51" s="234" t="s">
        <v>1560</v>
      </c>
    </row>
    <row r="52" spans="1:7" s="208" customFormat="1" ht="16.5" thickBot="1">
      <c r="A52" s="265" t="s">
        <v>1561</v>
      </c>
      <c r="B52" s="266"/>
      <c r="C52" s="267">
        <f ca="1">C31+C51</f>
        <v>2452491</v>
      </c>
      <c r="D52" s="266"/>
      <c r="E52" s="266"/>
      <c r="F52" s="266"/>
      <c r="G52" s="268"/>
    </row>
    <row r="55" spans="1:7" ht="15">
      <c r="B55" s="270" t="s">
        <v>1562</v>
      </c>
      <c r="C55" s="271"/>
    </row>
    <row r="56" spans="1:7">
      <c r="B56" s="273" t="s">
        <v>802</v>
      </c>
      <c r="C56" s="275">
        <f ca="1">1-C57</f>
        <v>9.6999999999999975E-2</v>
      </c>
    </row>
    <row r="57" spans="1:7">
      <c r="B57" s="273" t="s">
        <v>803</v>
      </c>
      <c r="C57" s="274">
        <f ca="1">ROUND(C51/C52,3)</f>
        <v>0.90300000000000002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-7</v>
      </c>
      <c r="C2" s="276" t="s">
        <v>1595</v>
      </c>
      <c r="D2" s="276"/>
      <c r="E2" s="2806"/>
      <c r="F2" s="2806"/>
      <c r="G2" s="2806"/>
      <c r="H2" s="2806"/>
      <c r="I2" s="2806"/>
      <c r="J2" s="2806"/>
      <c r="K2" s="2806"/>
    </row>
    <row r="3" spans="1:33" ht="18" customHeight="1" thickBot="1">
      <c r="A3" s="203" t="s">
        <v>1464</v>
      </c>
      <c r="B3" s="204">
        <f ca="1">ROUND(B2*10000/IF(C1="",'数据-汇总表'!E3,INDIRECT("'数据-取费表'!K"&amp;$K$1)),0)</f>
        <v>-120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585.52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585.52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6</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6</v>
      </c>
      <c r="D20" s="846">
        <f ca="1">IF(C1="",'数据-汇总表'!E6,IF(INDIRECT("'数据-取费表'!c"&amp;$K$1)="住宅",INDIRECT("'数据-取费表'!s"&amp;$K$1),INDIRECT("'数据-取费表'!k"&amp;$K$1)+INDIRECT("'数据-取费表'!s"&amp;$K$1)))</f>
        <v>585.52</v>
      </c>
      <c r="E20" s="21">
        <f>'数据-取费表'!B28</f>
        <v>100</v>
      </c>
      <c r="F20" s="804"/>
      <c r="G20" s="12"/>
      <c r="H20" s="809"/>
      <c r="I20" s="809"/>
      <c r="J20" s="809"/>
      <c r="K20" s="810"/>
    </row>
    <row r="21" spans="1:33" s="803" customFormat="1" ht="13.5" customHeight="1">
      <c r="A21" s="790" t="s">
        <v>357</v>
      </c>
      <c r="B21" s="813" t="s">
        <v>1628</v>
      </c>
      <c r="C21" s="814">
        <f ca="1">C16+C17+C18</f>
        <v>6</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65" t="s">
        <v>694</v>
      </c>
      <c r="C6" s="1074">
        <f ca="1">ROUND(F6*F8*F7*(1-F9)/10000,0)</f>
        <v>0</v>
      </c>
      <c r="D6" s="155" t="s">
        <v>2109</v>
      </c>
      <c r="E6" s="302" t="s">
        <v>696</v>
      </c>
      <c r="F6" s="303">
        <f ca="1">INDIRECT("'数据-取费表'!u"&amp;$G$1)</f>
        <v>0</v>
      </c>
      <c r="G6" s="1384"/>
      <c r="H6" s="1069" t="s">
        <v>398</v>
      </c>
      <c r="I6" s="3765" t="s">
        <v>694</v>
      </c>
      <c r="J6" s="301">
        <f ca="1">ROUND(M6*M8*M7*(1-M9)/10000,0)</f>
        <v>0</v>
      </c>
      <c r="K6" s="155" t="s">
        <v>2108</v>
      </c>
      <c r="L6" s="302" t="s">
        <v>696</v>
      </c>
      <c r="M6" s="303">
        <f ca="1">INDIRECT("'数据-取费表'!z"&amp;$G$1)</f>
        <v>0</v>
      </c>
    </row>
    <row r="7" spans="1:37" ht="18" customHeight="1">
      <c r="A7" s="1073"/>
      <c r="B7" s="3766"/>
      <c r="C7" s="1075"/>
      <c r="D7" s="307"/>
      <c r="E7" s="1076" t="s">
        <v>697</v>
      </c>
      <c r="F7" s="303">
        <f ca="1">IF(INDIRECT("'数据-取费表'!ah"&amp;$G$1)="",INDIRECT("'数据-取费表'!k"&amp;$G$1),INDIRECT("'数据-取费表'!ah"&amp;$G$1))</f>
        <v>0</v>
      </c>
      <c r="G7" s="1384"/>
      <c r="H7" s="304"/>
      <c r="I7" s="3766"/>
      <c r="J7" s="306"/>
      <c r="K7" s="307"/>
      <c r="L7" s="302" t="s">
        <v>697</v>
      </c>
      <c r="M7" s="303">
        <f ca="1">F7</f>
        <v>0</v>
      </c>
    </row>
    <row r="8" spans="1:37" ht="18" customHeight="1">
      <c r="A8" s="304"/>
      <c r="B8" s="3766"/>
      <c r="C8" s="306"/>
      <c r="D8" s="307"/>
      <c r="E8" s="302" t="s">
        <v>698</v>
      </c>
      <c r="F8" s="303">
        <f ca="1">INDIRECT("'数据-取费表'!ai"&amp;$G$1)</f>
        <v>0</v>
      </c>
      <c r="G8" s="1384"/>
      <c r="H8" s="304"/>
      <c r="I8" s="3766"/>
      <c r="J8" s="306"/>
      <c r="K8" s="307"/>
      <c r="L8" s="302" t="s">
        <v>698</v>
      </c>
      <c r="M8" s="303">
        <f ca="1">INDIRECT("'数据-取费表'!ai"&amp;$G$1)</f>
        <v>0</v>
      </c>
    </row>
    <row r="9" spans="1:37" ht="18" customHeight="1">
      <c r="A9" s="304"/>
      <c r="B9" s="3767"/>
      <c r="C9" s="306"/>
      <c r="D9" s="307"/>
      <c r="E9" s="302" t="s">
        <v>699</v>
      </c>
      <c r="F9" s="312">
        <f ca="1">INDIRECT("'数据-取费表'!w"&amp;$G$1)</f>
        <v>0</v>
      </c>
      <c r="G9" s="1384"/>
      <c r="H9" s="304"/>
      <c r="I9" s="376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768" t="s">
        <v>837</v>
      </c>
      <c r="L53" s="376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776" t="s">
        <v>2317</v>
      </c>
      <c r="K2" s="3777"/>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778" t="s">
        <v>2327</v>
      </c>
      <c r="K3" s="3779"/>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778" t="s">
        <v>2329</v>
      </c>
      <c r="K4" s="3779"/>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784" t="s">
        <v>2333</v>
      </c>
      <c r="B6" s="3785"/>
      <c r="C6" s="3786"/>
      <c r="D6" s="2870"/>
      <c r="E6" s="2871"/>
      <c r="F6" s="2872"/>
      <c r="G6" s="2873"/>
      <c r="H6" s="2848"/>
      <c r="I6" s="2849"/>
      <c r="J6" s="3770">
        <v>1</v>
      </c>
      <c r="K6" s="3771"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770"/>
      <c r="K7" s="3772"/>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787" t="s">
        <v>2347</v>
      </c>
      <c r="C8" s="3788"/>
      <c r="D8" s="2889" t="s">
        <v>2348</v>
      </c>
      <c r="E8" s="2890" t="s">
        <v>2349</v>
      </c>
      <c r="F8" s="2891" t="s">
        <v>2350</v>
      </c>
      <c r="G8" s="2892"/>
      <c r="H8" s="2848"/>
      <c r="I8" s="2849"/>
      <c r="J8" s="3770"/>
      <c r="K8" s="3772"/>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787" t="s">
        <v>2353</v>
      </c>
      <c r="C9" s="3788"/>
      <c r="D9" s="2889">
        <f>ROUND(D6*E9,0)</f>
        <v>0</v>
      </c>
      <c r="E9" s="2893"/>
      <c r="F9" s="2894" t="s">
        <v>2354</v>
      </c>
      <c r="G9" s="2873"/>
      <c r="H9" s="2848"/>
      <c r="I9" s="2849"/>
      <c r="J9" s="3770"/>
      <c r="K9" s="3772"/>
      <c r="L9" s="2883" t="s">
        <v>2355</v>
      </c>
      <c r="M9" s="2884"/>
      <c r="N9" s="2860"/>
      <c r="O9" s="2885"/>
      <c r="P9" s="2885"/>
      <c r="Q9" s="2886">
        <v>365</v>
      </c>
      <c r="R9" s="2887">
        <f t="shared" si="0"/>
        <v>0</v>
      </c>
      <c r="S9" s="2841"/>
      <c r="T9" s="2841"/>
      <c r="U9" s="2841"/>
      <c r="V9" s="2849"/>
    </row>
    <row r="10" spans="1:22" s="2853" customFormat="1" ht="13.15" customHeight="1">
      <c r="A10" s="2888">
        <v>2</v>
      </c>
      <c r="B10" s="3787" t="s">
        <v>2356</v>
      </c>
      <c r="C10" s="3788"/>
      <c r="D10" s="2889">
        <f>ROUND(D6*E10,0)</f>
        <v>0</v>
      </c>
      <c r="E10" s="2893"/>
      <c r="F10" s="2894" t="s">
        <v>2357</v>
      </c>
      <c r="G10" s="2873"/>
      <c r="H10" s="2848"/>
      <c r="I10" s="2849"/>
      <c r="J10" s="3770"/>
      <c r="K10" s="3772"/>
      <c r="L10" s="2883" t="s">
        <v>2358</v>
      </c>
      <c r="M10" s="2884"/>
      <c r="N10" s="2860"/>
      <c r="O10" s="2885"/>
      <c r="P10" s="2885"/>
      <c r="Q10" s="2886">
        <v>365</v>
      </c>
      <c r="R10" s="2887">
        <f t="shared" si="0"/>
        <v>0</v>
      </c>
      <c r="S10" s="2841"/>
      <c r="T10" s="2841"/>
      <c r="U10" s="2841"/>
      <c r="V10" s="2849"/>
    </row>
    <row r="11" spans="1:22" s="2853" customFormat="1" ht="13.15" customHeight="1">
      <c r="A11" s="2888">
        <v>3</v>
      </c>
      <c r="B11" s="3787" t="s">
        <v>2359</v>
      </c>
      <c r="C11" s="3788"/>
      <c r="D11" s="2889">
        <f>D12+D14+D15+D16</f>
        <v>0</v>
      </c>
      <c r="E11" s="2895" t="e">
        <f>D11/D6</f>
        <v>#DIV/0!</v>
      </c>
      <c r="F11" s="2891"/>
      <c r="G11" s="2892"/>
      <c r="H11" s="2848"/>
      <c r="I11" s="2849"/>
      <c r="J11" s="3770"/>
      <c r="K11" s="3772"/>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780" t="s">
        <v>2362</v>
      </c>
      <c r="C12" s="3781"/>
      <c r="D12" s="2897">
        <f>ROUND(D13*1.2%*(1-30%),0)</f>
        <v>0</v>
      </c>
      <c r="E12" s="2898">
        <v>1.2E-2</v>
      </c>
      <c r="F12" s="2891" t="s">
        <v>2363</v>
      </c>
      <c r="G12" s="2892"/>
      <c r="H12" s="2848"/>
      <c r="I12" s="2849"/>
      <c r="J12" s="3770"/>
      <c r="K12" s="3772"/>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770"/>
      <c r="K13" s="3772"/>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780" t="s">
        <v>2368</v>
      </c>
      <c r="C14" s="3781"/>
      <c r="D14" s="2897">
        <f>ROUND(E14*B5/10000,0)</f>
        <v>0</v>
      </c>
      <c r="E14" s="2886"/>
      <c r="F14" s="2891" t="s">
        <v>2369</v>
      </c>
      <c r="G14" s="2892"/>
      <c r="H14" s="2848"/>
      <c r="I14" s="2849"/>
      <c r="J14" s="3770"/>
      <c r="K14" s="3773"/>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780" t="s">
        <v>2372</v>
      </c>
      <c r="C15" s="3781"/>
      <c r="D15" s="2897">
        <f>ROUND(D6*E15,0)</f>
        <v>0</v>
      </c>
      <c r="E15" s="2898">
        <v>5.5E-2</v>
      </c>
      <c r="F15" s="2891" t="s">
        <v>2373</v>
      </c>
      <c r="G15" s="2873"/>
      <c r="H15" s="2848"/>
      <c r="I15" s="2849"/>
      <c r="J15" s="3770">
        <v>2</v>
      </c>
      <c r="K15" s="3771"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780" t="s">
        <v>2381</v>
      </c>
      <c r="C16" s="3781"/>
      <c r="D16" s="2908">
        <f>D6*E16</f>
        <v>0</v>
      </c>
      <c r="E16" s="2909"/>
      <c r="F16" s="2894" t="s">
        <v>2382</v>
      </c>
      <c r="G16" s="2873"/>
      <c r="H16" s="2848"/>
      <c r="I16" s="2849"/>
      <c r="J16" s="3770"/>
      <c r="K16" s="3772"/>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782" t="s">
        <v>2384</v>
      </c>
      <c r="C17" s="3783"/>
      <c r="D17" s="2911">
        <f>ROUND(D6*E17,0)</f>
        <v>0</v>
      </c>
      <c r="E17" s="2912"/>
      <c r="F17" s="2913" t="s">
        <v>2385</v>
      </c>
      <c r="G17" s="2873"/>
      <c r="H17" s="2848"/>
      <c r="I17" s="2849"/>
      <c r="J17" s="3770"/>
      <c r="K17" s="3772"/>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770"/>
      <c r="K18" s="3772"/>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770"/>
      <c r="K19" s="3773"/>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70">
        <v>3</v>
      </c>
      <c r="K20" s="3771"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770"/>
      <c r="K21" s="3772"/>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770"/>
      <c r="K22" s="3772"/>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770"/>
      <c r="K23" s="3772"/>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770"/>
      <c r="K24" s="3773"/>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774">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77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776" t="s">
        <v>2317</v>
      </c>
      <c r="K32" s="3777"/>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778" t="s">
        <v>2327</v>
      </c>
      <c r="K33" s="3779"/>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778" t="s">
        <v>2329</v>
      </c>
      <c r="K34" s="377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770">
        <v>1</v>
      </c>
      <c r="K36" s="3771"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770"/>
      <c r="K37" s="3772"/>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70"/>
      <c r="K38" s="3772"/>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770"/>
      <c r="K39" s="3772"/>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770"/>
      <c r="K40" s="3773"/>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774">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77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427.43090000000001</v>
      </c>
      <c r="C2" s="1872" t="s">
        <v>1651</v>
      </c>
      <c r="D2" s="1873" t="s">
        <v>1652</v>
      </c>
      <c r="E2" s="2607">
        <f>SUM(E6:E13)</f>
        <v>585.52</v>
      </c>
      <c r="F2" s="2707"/>
      <c r="G2" s="1489"/>
      <c r="H2" s="1489"/>
      <c r="I2" s="1489"/>
      <c r="J2" s="1489"/>
      <c r="K2" s="1489"/>
      <c r="L2" s="1489"/>
      <c r="M2" s="1489"/>
      <c r="N2" s="1489"/>
      <c r="O2" s="1489"/>
      <c r="P2" s="1489"/>
      <c r="Q2" s="1489"/>
      <c r="R2" s="1489"/>
      <c r="S2" s="1489"/>
    </row>
    <row r="3" spans="1:22" ht="15.75">
      <c r="A3" s="1870" t="s">
        <v>686</v>
      </c>
      <c r="B3" s="2601">
        <f ca="1">ROUND(B2*10000/E2,0)</f>
        <v>7300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89" t="s">
        <v>1654</v>
      </c>
      <c r="C5" s="379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427.43090000000001</v>
      </c>
      <c r="C6" s="1872" t="s">
        <v>1651</v>
      </c>
      <c r="D6" s="2709"/>
      <c r="E6" s="2606">
        <f>IF(OR(A6=0,F6="否"),0,'数据-取费表'!K6+'数据-取费表'!S6)</f>
        <v>585.52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585.52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37" t="s">
        <v>1667</v>
      </c>
      <c r="D4" s="3738"/>
      <c r="E4" s="3739" t="s">
        <v>1668</v>
      </c>
      <c r="F4" s="3740"/>
      <c r="G4" s="3737" t="s">
        <v>1669</v>
      </c>
      <c r="H4" s="3738"/>
      <c r="I4" s="3737" t="s">
        <v>1670</v>
      </c>
      <c r="J4" s="3738"/>
      <c r="K4" s="1889" t="s">
        <v>1671</v>
      </c>
      <c r="L4" s="2715"/>
      <c r="M4" s="2716"/>
      <c r="N4" s="2716"/>
      <c r="O4" s="2716"/>
      <c r="P4" s="3741" t="s">
        <v>1672</v>
      </c>
      <c r="Q4" s="3742"/>
      <c r="R4" s="3747" t="s">
        <v>1668</v>
      </c>
      <c r="S4" s="3748"/>
      <c r="T4" s="3747" t="s">
        <v>1669</v>
      </c>
      <c r="U4" s="3748"/>
      <c r="V4" s="3753" t="s">
        <v>1670</v>
      </c>
      <c r="W4" s="3753"/>
      <c r="X4" s="1355"/>
      <c r="Y4" s="3747" t="s">
        <v>1672</v>
      </c>
      <c r="Z4" s="3748"/>
      <c r="AA4" s="3734" t="s">
        <v>1668</v>
      </c>
      <c r="AB4" s="3734" t="s">
        <v>1669</v>
      </c>
      <c r="AC4" s="3734" t="s">
        <v>1670</v>
      </c>
    </row>
    <row r="5" spans="1:29" ht="15">
      <c r="A5" s="358"/>
      <c r="B5" s="359"/>
      <c r="C5" s="3797" t="s">
        <v>1673</v>
      </c>
      <c r="D5" s="3757"/>
      <c r="E5" s="3798" t="s">
        <v>1674</v>
      </c>
      <c r="F5" s="3764"/>
      <c r="G5" s="3797" t="s">
        <v>1675</v>
      </c>
      <c r="H5" s="3757"/>
      <c r="I5" s="3797" t="s">
        <v>1676</v>
      </c>
      <c r="J5" s="3757"/>
      <c r="K5" s="1890"/>
      <c r="L5" s="2715"/>
      <c r="M5" s="2716"/>
      <c r="N5" s="2716"/>
      <c r="O5" s="2716"/>
      <c r="P5" s="3743"/>
      <c r="Q5" s="3744"/>
      <c r="R5" s="3749"/>
      <c r="S5" s="3750"/>
      <c r="T5" s="3749"/>
      <c r="U5" s="3750"/>
      <c r="V5" s="3753"/>
      <c r="W5" s="3753"/>
      <c r="X5" s="1355"/>
      <c r="Y5" s="3749"/>
      <c r="Z5" s="3750"/>
      <c r="AA5" s="3735"/>
      <c r="AB5" s="3735"/>
      <c r="AC5" s="3735"/>
    </row>
    <row r="6" spans="1:29" ht="15.75" thickBot="1">
      <c r="A6" s="360"/>
      <c r="B6" s="361"/>
      <c r="C6" s="3754" t="s">
        <v>1677</v>
      </c>
      <c r="D6" s="3755"/>
      <c r="E6" s="3761" t="s">
        <v>1677</v>
      </c>
      <c r="F6" s="3762"/>
      <c r="G6" s="3754" t="s">
        <v>1677</v>
      </c>
      <c r="H6" s="3755"/>
      <c r="I6" s="3754" t="s">
        <v>1677</v>
      </c>
      <c r="J6" s="3755"/>
      <c r="K6" s="1890" t="s">
        <v>1678</v>
      </c>
      <c r="L6" s="2715"/>
      <c r="M6" s="2716"/>
      <c r="N6" s="2716"/>
      <c r="O6" s="2716"/>
      <c r="P6" s="3745"/>
      <c r="Q6" s="3746"/>
      <c r="R6" s="3749"/>
      <c r="S6" s="3750"/>
      <c r="T6" s="3751"/>
      <c r="U6" s="3752"/>
      <c r="V6" s="3753"/>
      <c r="W6" s="3753"/>
      <c r="X6" s="1355"/>
      <c r="Y6" s="3751"/>
      <c r="Z6" s="3752"/>
      <c r="AA6" s="3736"/>
      <c r="AB6" s="3736"/>
      <c r="AC6" s="3736"/>
    </row>
    <row r="7" spans="1:29" s="108" customFormat="1" ht="15.75" thickBot="1">
      <c r="A7" s="362" t="s">
        <v>1679</v>
      </c>
      <c r="B7" s="363"/>
      <c r="C7" s="364">
        <f>'数据-取费表'!B2</f>
        <v>45924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58" t="s">
        <v>1680</v>
      </c>
      <c r="Q7" s="3760"/>
      <c r="R7" s="701" t="s">
        <v>20</v>
      </c>
      <c r="S7" s="702">
        <f t="shared" ref="S7:S15" si="0">F7</f>
        <v>0</v>
      </c>
      <c r="T7" s="701" t="s">
        <v>20</v>
      </c>
      <c r="U7" s="702">
        <f t="shared" ref="U7:U15" si="1">H7</f>
        <v>0</v>
      </c>
      <c r="V7" s="701" t="s">
        <v>20</v>
      </c>
      <c r="W7" s="702">
        <f t="shared" ref="W7:W15" si="2">J7</f>
        <v>0</v>
      </c>
      <c r="X7" s="703"/>
      <c r="Y7" s="3758" t="s">
        <v>1680</v>
      </c>
      <c r="Z7" s="375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58" t="s">
        <v>1683</v>
      </c>
      <c r="Q8" s="3759"/>
      <c r="R8" s="701" t="s">
        <v>20</v>
      </c>
      <c r="S8" s="702">
        <f t="shared" si="0"/>
        <v>100</v>
      </c>
      <c r="T8" s="701" t="s">
        <v>20</v>
      </c>
      <c r="U8" s="702">
        <f t="shared" si="1"/>
        <v>100</v>
      </c>
      <c r="V8" s="701" t="s">
        <v>20</v>
      </c>
      <c r="W8" s="702">
        <f t="shared" si="2"/>
        <v>100</v>
      </c>
      <c r="X8" s="703"/>
      <c r="Y8" s="3758" t="s">
        <v>1683</v>
      </c>
      <c r="Z8" s="375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96"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96"/>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96"/>
      <c r="Q11" s="1343" t="str">
        <f t="shared" si="6"/>
        <v>容积率</v>
      </c>
      <c r="R11" s="701" t="s">
        <v>18</v>
      </c>
      <c r="S11" s="702" t="e">
        <f t="shared" si="0"/>
        <v>#N/A</v>
      </c>
      <c r="T11" s="701" t="s">
        <v>18</v>
      </c>
      <c r="U11" s="702" t="e">
        <f t="shared" si="1"/>
        <v>#N/A</v>
      </c>
      <c r="V11" s="701" t="s">
        <v>18</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96"/>
      <c r="Q12" s="1343">
        <f t="shared" si="6"/>
        <v>111</v>
      </c>
      <c r="R12" s="701" t="s">
        <v>18</v>
      </c>
      <c r="S12" s="702">
        <f t="shared" si="0"/>
        <v>100</v>
      </c>
      <c r="T12" s="701" t="s">
        <v>18</v>
      </c>
      <c r="U12" s="702">
        <f t="shared" si="1"/>
        <v>100</v>
      </c>
      <c r="V12" s="701" t="s">
        <v>18</v>
      </c>
      <c r="W12" s="702">
        <f t="shared" si="2"/>
        <v>100</v>
      </c>
      <c r="X12" s="703"/>
      <c r="Y12" s="362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96"/>
      <c r="Q13" s="1343">
        <f t="shared" si="6"/>
        <v>111</v>
      </c>
      <c r="R13" s="701" t="s">
        <v>18</v>
      </c>
      <c r="S13" s="702">
        <f t="shared" si="0"/>
        <v>100</v>
      </c>
      <c r="T13" s="701" t="s">
        <v>18</v>
      </c>
      <c r="U13" s="702">
        <f t="shared" si="1"/>
        <v>100</v>
      </c>
      <c r="V13" s="701" t="s">
        <v>18</v>
      </c>
      <c r="W13" s="702">
        <f t="shared" si="2"/>
        <v>100</v>
      </c>
      <c r="X13" s="703"/>
      <c r="Y13" s="362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96"/>
      <c r="Q14" s="1343">
        <f t="shared" si="6"/>
        <v>111</v>
      </c>
      <c r="R14" s="701" t="s">
        <v>18</v>
      </c>
      <c r="S14" s="702">
        <f t="shared" si="0"/>
        <v>100</v>
      </c>
      <c r="T14" s="701" t="s">
        <v>18</v>
      </c>
      <c r="U14" s="702">
        <f t="shared" si="1"/>
        <v>100</v>
      </c>
      <c r="V14" s="701" t="s">
        <v>18</v>
      </c>
      <c r="W14" s="702">
        <f t="shared" si="2"/>
        <v>100</v>
      </c>
      <c r="X14" s="703"/>
      <c r="Y14" s="362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94" t="s">
        <v>1691</v>
      </c>
      <c r="Q15" s="1352" t="str">
        <f t="shared" si="6"/>
        <v>居住社区成熟度</v>
      </c>
      <c r="R15" s="705" t="s">
        <v>18</v>
      </c>
      <c r="S15" s="706">
        <f t="shared" si="0"/>
        <v>100</v>
      </c>
      <c r="T15" s="705" t="s">
        <v>18</v>
      </c>
      <c r="U15" s="706">
        <f t="shared" si="1"/>
        <v>100</v>
      </c>
      <c r="V15" s="705" t="s">
        <v>18</v>
      </c>
      <c r="W15" s="706">
        <f t="shared" si="2"/>
        <v>100</v>
      </c>
      <c r="X15" s="1355"/>
      <c r="Y15" s="372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95"/>
      <c r="Q16" s="1352"/>
      <c r="R16" s="705"/>
      <c r="S16" s="706"/>
      <c r="T16" s="705"/>
      <c r="U16" s="706"/>
      <c r="V16" s="705"/>
      <c r="W16" s="706"/>
      <c r="X16" s="1355"/>
      <c r="Y16" s="373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95"/>
      <c r="Q17" s="1352" t="str">
        <f>B17</f>
        <v>交通便捷度</v>
      </c>
      <c r="R17" s="705" t="s">
        <v>18</v>
      </c>
      <c r="S17" s="706">
        <f>F17</f>
        <v>100</v>
      </c>
      <c r="T17" s="705" t="s">
        <v>18</v>
      </c>
      <c r="U17" s="706">
        <f>H17</f>
        <v>100</v>
      </c>
      <c r="V17" s="705" t="s">
        <v>18</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95"/>
      <c r="Q18" s="1352"/>
      <c r="R18" s="705"/>
      <c r="S18" s="706"/>
      <c r="T18" s="705"/>
      <c r="U18" s="706"/>
      <c r="V18" s="705"/>
      <c r="W18" s="706"/>
      <c r="X18" s="1355"/>
      <c r="Y18" s="373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95"/>
      <c r="Q19" s="1352" t="str">
        <f>B19</f>
        <v>公共配套设施</v>
      </c>
      <c r="R19" s="705" t="s">
        <v>18</v>
      </c>
      <c r="S19" s="706">
        <f>F19</f>
        <v>100</v>
      </c>
      <c r="T19" s="705" t="s">
        <v>18</v>
      </c>
      <c r="U19" s="706">
        <f>H19</f>
        <v>100</v>
      </c>
      <c r="V19" s="705" t="s">
        <v>18</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95"/>
      <c r="Q20" s="1352"/>
      <c r="R20" s="705"/>
      <c r="S20" s="706"/>
      <c r="T20" s="705"/>
      <c r="U20" s="706"/>
      <c r="V20" s="705"/>
      <c r="W20" s="706"/>
      <c r="X20" s="1355"/>
      <c r="Y20" s="373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95"/>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95"/>
      <c r="Q22" s="1352"/>
      <c r="R22" s="705"/>
      <c r="S22" s="706"/>
      <c r="T22" s="705"/>
      <c r="U22" s="706"/>
      <c r="V22" s="705"/>
      <c r="W22" s="706"/>
      <c r="X22" s="1355"/>
      <c r="Y22" s="373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95"/>
      <c r="Q23" s="1352" t="str">
        <f>B23</f>
        <v>自然及人文环境</v>
      </c>
      <c r="R23" s="705" t="s">
        <v>18</v>
      </c>
      <c r="S23" s="706">
        <f>F23</f>
        <v>100</v>
      </c>
      <c r="T23" s="705" t="s">
        <v>18</v>
      </c>
      <c r="U23" s="706">
        <f>H23</f>
        <v>100</v>
      </c>
      <c r="V23" s="705" t="s">
        <v>18</v>
      </c>
      <c r="W23" s="706">
        <f>J23</f>
        <v>100</v>
      </c>
      <c r="X23" s="1355"/>
      <c r="Y23" s="373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95"/>
      <c r="Q24" s="1352"/>
      <c r="R24" s="705"/>
      <c r="S24" s="706"/>
      <c r="T24" s="705"/>
      <c r="U24" s="706"/>
      <c r="V24" s="705"/>
      <c r="W24" s="706"/>
      <c r="X24" s="1355"/>
      <c r="Y24" s="373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9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95"/>
      <c r="Q26" s="1352" t="str">
        <f t="shared" si="11"/>
        <v>朝向</v>
      </c>
      <c r="R26" s="705" t="s">
        <v>18</v>
      </c>
      <c r="S26" s="706">
        <f t="shared" si="12"/>
        <v>100</v>
      </c>
      <c r="T26" s="705" t="s">
        <v>18</v>
      </c>
      <c r="U26" s="706">
        <f t="shared" si="13"/>
        <v>100</v>
      </c>
      <c r="V26" s="705" t="s">
        <v>18</v>
      </c>
      <c r="W26" s="706">
        <f t="shared" si="14"/>
        <v>100</v>
      </c>
      <c r="X26" s="1355"/>
      <c r="Y26" s="373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95"/>
      <c r="Q27" s="1343">
        <f t="shared" si="11"/>
        <v>111</v>
      </c>
      <c r="R27" s="701" t="s">
        <v>18</v>
      </c>
      <c r="S27" s="702">
        <f t="shared" si="12"/>
        <v>100</v>
      </c>
      <c r="T27" s="701" t="s">
        <v>18</v>
      </c>
      <c r="U27" s="702">
        <f t="shared" si="13"/>
        <v>100</v>
      </c>
      <c r="V27" s="701" t="s">
        <v>18</v>
      </c>
      <c r="W27" s="702">
        <f t="shared" si="14"/>
        <v>100</v>
      </c>
      <c r="X27" s="703"/>
      <c r="Y27" s="373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95"/>
      <c r="Q28" s="1352">
        <f t="shared" si="11"/>
        <v>111</v>
      </c>
      <c r="R28" s="705" t="s">
        <v>18</v>
      </c>
      <c r="S28" s="706">
        <f t="shared" si="12"/>
        <v>100</v>
      </c>
      <c r="T28" s="705" t="s">
        <v>18</v>
      </c>
      <c r="U28" s="706">
        <f t="shared" si="13"/>
        <v>100</v>
      </c>
      <c r="V28" s="705" t="s">
        <v>18</v>
      </c>
      <c r="W28" s="706">
        <f t="shared" si="14"/>
        <v>100</v>
      </c>
      <c r="X28" s="1355"/>
      <c r="Y28" s="373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95"/>
      <c r="Q29" s="1352">
        <f t="shared" si="11"/>
        <v>111</v>
      </c>
      <c r="R29" s="705" t="s">
        <v>18</v>
      </c>
      <c r="S29" s="706">
        <f t="shared" si="12"/>
        <v>100</v>
      </c>
      <c r="T29" s="705" t="s">
        <v>18</v>
      </c>
      <c r="U29" s="706">
        <f t="shared" si="13"/>
        <v>100</v>
      </c>
      <c r="V29" s="705" t="s">
        <v>18</v>
      </c>
      <c r="W29" s="706">
        <f t="shared" si="14"/>
        <v>100</v>
      </c>
      <c r="X29" s="1355"/>
      <c r="Y29" s="373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95"/>
      <c r="Q30" s="1352">
        <f t="shared" si="11"/>
        <v>111</v>
      </c>
      <c r="R30" s="705" t="s">
        <v>18</v>
      </c>
      <c r="S30" s="706">
        <f t="shared" si="12"/>
        <v>100</v>
      </c>
      <c r="T30" s="705" t="s">
        <v>18</v>
      </c>
      <c r="U30" s="706">
        <f t="shared" si="13"/>
        <v>100</v>
      </c>
      <c r="V30" s="705" t="s">
        <v>18</v>
      </c>
      <c r="W30" s="706">
        <f t="shared" si="14"/>
        <v>100</v>
      </c>
      <c r="X30" s="1355"/>
      <c r="Y30" s="373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95"/>
      <c r="Q31" s="1352">
        <f t="shared" si="11"/>
        <v>111</v>
      </c>
      <c r="R31" s="705" t="s">
        <v>18</v>
      </c>
      <c r="S31" s="706">
        <f t="shared" si="12"/>
        <v>100</v>
      </c>
      <c r="T31" s="705" t="s">
        <v>18</v>
      </c>
      <c r="U31" s="706">
        <f t="shared" si="13"/>
        <v>100</v>
      </c>
      <c r="V31" s="705" t="s">
        <v>18</v>
      </c>
      <c r="W31" s="706">
        <f t="shared" si="14"/>
        <v>100</v>
      </c>
      <c r="X31" s="1355"/>
      <c r="Y31" s="373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91" t="s">
        <v>1696</v>
      </c>
      <c r="Q32" s="1352" t="str">
        <f t="shared" si="11"/>
        <v>建筑类型</v>
      </c>
      <c r="R32" s="705" t="s">
        <v>18</v>
      </c>
      <c r="S32" s="706">
        <f t="shared" si="12"/>
        <v>100</v>
      </c>
      <c r="T32" s="705" t="s">
        <v>18</v>
      </c>
      <c r="U32" s="706">
        <f t="shared" si="13"/>
        <v>100</v>
      </c>
      <c r="V32" s="705" t="s">
        <v>18</v>
      </c>
      <c r="W32" s="706">
        <f t="shared" si="14"/>
        <v>100</v>
      </c>
      <c r="X32" s="1355"/>
      <c r="Y32" s="373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92"/>
      <c r="Q33" s="707" t="str">
        <f t="shared" si="11"/>
        <v>项目建筑规模</v>
      </c>
      <c r="R33" s="708" t="s">
        <v>18</v>
      </c>
      <c r="S33" s="709" t="e">
        <f t="shared" si="12"/>
        <v>#N/A</v>
      </c>
      <c r="T33" s="708" t="s">
        <v>18</v>
      </c>
      <c r="U33" s="709" t="e">
        <f t="shared" si="13"/>
        <v>#N/A</v>
      </c>
      <c r="V33" s="708" t="s">
        <v>18</v>
      </c>
      <c r="W33" s="709" t="e">
        <f t="shared" si="14"/>
        <v>#N/A</v>
      </c>
      <c r="X33" s="710"/>
      <c r="Y33" s="373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92"/>
      <c r="Q34" s="1352" t="str">
        <f t="shared" si="11"/>
        <v>建筑结构</v>
      </c>
      <c r="R34" s="705" t="s">
        <v>18</v>
      </c>
      <c r="S34" s="706">
        <f t="shared" si="12"/>
        <v>100</v>
      </c>
      <c r="T34" s="705" t="s">
        <v>18</v>
      </c>
      <c r="U34" s="706">
        <f t="shared" si="13"/>
        <v>100</v>
      </c>
      <c r="V34" s="705" t="s">
        <v>18</v>
      </c>
      <c r="W34" s="706">
        <f t="shared" si="14"/>
        <v>100</v>
      </c>
      <c r="X34" s="1355"/>
      <c r="Y34" s="373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92"/>
      <c r="Q35" s="1352" t="str">
        <f t="shared" si="11"/>
        <v>建筑品质</v>
      </c>
      <c r="R35" s="705" t="s">
        <v>18</v>
      </c>
      <c r="S35" s="706">
        <f t="shared" si="12"/>
        <v>100</v>
      </c>
      <c r="T35" s="705" t="s">
        <v>18</v>
      </c>
      <c r="U35" s="706">
        <f t="shared" si="13"/>
        <v>100</v>
      </c>
      <c r="V35" s="705" t="s">
        <v>18</v>
      </c>
      <c r="W35" s="706">
        <f t="shared" si="14"/>
        <v>100</v>
      </c>
      <c r="X35" s="1355"/>
      <c r="Y35" s="373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92"/>
      <c r="Q36" s="1352" t="str">
        <f t="shared" si="11"/>
        <v>公共部分装修</v>
      </c>
      <c r="R36" s="705" t="s">
        <v>18</v>
      </c>
      <c r="S36" s="706">
        <f t="shared" si="12"/>
        <v>100</v>
      </c>
      <c r="T36" s="705" t="s">
        <v>18</v>
      </c>
      <c r="U36" s="706">
        <f t="shared" si="13"/>
        <v>100</v>
      </c>
      <c r="V36" s="705" t="s">
        <v>18</v>
      </c>
      <c r="W36" s="706">
        <f t="shared" si="14"/>
        <v>100</v>
      </c>
      <c r="X36" s="1355"/>
      <c r="Y36" s="373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92"/>
      <c r="Q37" s="1343" t="str">
        <f t="shared" si="11"/>
        <v>成新度</v>
      </c>
      <c r="R37" s="701" t="s">
        <v>18</v>
      </c>
      <c r="S37" s="702" t="e">
        <f t="shared" si="12"/>
        <v>#N/A</v>
      </c>
      <c r="T37" s="701" t="s">
        <v>18</v>
      </c>
      <c r="U37" s="702" t="e">
        <f t="shared" si="13"/>
        <v>#N/A</v>
      </c>
      <c r="V37" s="701" t="s">
        <v>18</v>
      </c>
      <c r="W37" s="702" t="e">
        <f t="shared" si="14"/>
        <v>#N/A</v>
      </c>
      <c r="X37" s="703"/>
      <c r="Y37" s="373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92" t="s">
        <v>1696</v>
      </c>
      <c r="Q38" s="1352" t="str">
        <f t="shared" si="11"/>
        <v>物业管理</v>
      </c>
      <c r="R38" s="705" t="s">
        <v>18</v>
      </c>
      <c r="S38" s="706">
        <f t="shared" si="12"/>
        <v>100</v>
      </c>
      <c r="T38" s="705" t="s">
        <v>18</v>
      </c>
      <c r="U38" s="706">
        <f t="shared" si="13"/>
        <v>100</v>
      </c>
      <c r="V38" s="705" t="s">
        <v>18</v>
      </c>
      <c r="W38" s="706">
        <f t="shared" si="14"/>
        <v>100</v>
      </c>
      <c r="X38" s="1355"/>
      <c r="Y38" s="373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92"/>
      <c r="Q39" s="1352" t="str">
        <f t="shared" si="11"/>
        <v>市政基础设施</v>
      </c>
      <c r="R39" s="705" t="s">
        <v>18</v>
      </c>
      <c r="S39" s="706">
        <f t="shared" si="12"/>
        <v>100</v>
      </c>
      <c r="T39" s="705" t="s">
        <v>18</v>
      </c>
      <c r="U39" s="706">
        <f t="shared" si="13"/>
        <v>100</v>
      </c>
      <c r="V39" s="705" t="s">
        <v>18</v>
      </c>
      <c r="W39" s="706">
        <f t="shared" si="14"/>
        <v>100</v>
      </c>
      <c r="X39" s="1355"/>
      <c r="Y39" s="373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92"/>
      <c r="Q40" s="1352" t="str">
        <f t="shared" si="11"/>
        <v>房型</v>
      </c>
      <c r="R40" s="705" t="s">
        <v>18</v>
      </c>
      <c r="S40" s="706">
        <f t="shared" si="12"/>
        <v>100</v>
      </c>
      <c r="T40" s="705" t="s">
        <v>18</v>
      </c>
      <c r="U40" s="706">
        <f t="shared" si="13"/>
        <v>100</v>
      </c>
      <c r="V40" s="705" t="s">
        <v>18</v>
      </c>
      <c r="W40" s="706">
        <f t="shared" si="14"/>
        <v>100</v>
      </c>
      <c r="X40" s="1355"/>
      <c r="Y40" s="373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92"/>
      <c r="Q41" s="707" t="str">
        <f t="shared" si="11"/>
        <v>单套/主力户型建筑面积</v>
      </c>
      <c r="R41" s="708" t="s">
        <v>18</v>
      </c>
      <c r="S41" s="709">
        <f t="shared" si="12"/>
        <v>100</v>
      </c>
      <c r="T41" s="708" t="s">
        <v>18</v>
      </c>
      <c r="U41" s="709">
        <f t="shared" si="13"/>
        <v>100</v>
      </c>
      <c r="V41" s="708" t="s">
        <v>18</v>
      </c>
      <c r="W41" s="709">
        <f t="shared" si="14"/>
        <v>100</v>
      </c>
      <c r="X41" s="710"/>
      <c r="Y41" s="373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92"/>
      <c r="Q42" s="1352" t="str">
        <f t="shared" si="11"/>
        <v>内部装修</v>
      </c>
      <c r="R42" s="705" t="s">
        <v>18</v>
      </c>
      <c r="S42" s="706">
        <f t="shared" si="12"/>
        <v>100</v>
      </c>
      <c r="T42" s="705" t="s">
        <v>18</v>
      </c>
      <c r="U42" s="706">
        <f t="shared" si="13"/>
        <v>100</v>
      </c>
      <c r="V42" s="705" t="s">
        <v>18</v>
      </c>
      <c r="W42" s="706">
        <f t="shared" si="14"/>
        <v>100</v>
      </c>
      <c r="X42" s="1355"/>
      <c r="Y42" s="373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92"/>
      <c r="Q43" s="1352" t="str">
        <f t="shared" si="11"/>
        <v>内部装修维护情况</v>
      </c>
      <c r="R43" s="705" t="s">
        <v>18</v>
      </c>
      <c r="S43" s="706">
        <f t="shared" si="12"/>
        <v>100</v>
      </c>
      <c r="T43" s="705" t="s">
        <v>18</v>
      </c>
      <c r="U43" s="706">
        <f t="shared" si="13"/>
        <v>100</v>
      </c>
      <c r="V43" s="705" t="s">
        <v>18</v>
      </c>
      <c r="W43" s="706">
        <f t="shared" si="14"/>
        <v>100</v>
      </c>
      <c r="X43" s="1355"/>
      <c r="Y43" s="373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92"/>
      <c r="Q44" s="1343">
        <f t="shared" si="11"/>
        <v>111</v>
      </c>
      <c r="R44" s="701" t="s">
        <v>18</v>
      </c>
      <c r="S44" s="702">
        <f t="shared" si="12"/>
        <v>100</v>
      </c>
      <c r="T44" s="701" t="s">
        <v>18</v>
      </c>
      <c r="U44" s="702">
        <f t="shared" si="13"/>
        <v>100</v>
      </c>
      <c r="V44" s="701" t="s">
        <v>18</v>
      </c>
      <c r="W44" s="702">
        <f t="shared" si="14"/>
        <v>100</v>
      </c>
      <c r="X44" s="703"/>
      <c r="Y44" s="373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92"/>
      <c r="Q45" s="1352">
        <f t="shared" si="11"/>
        <v>111</v>
      </c>
      <c r="R45" s="705" t="s">
        <v>18</v>
      </c>
      <c r="S45" s="706">
        <f t="shared" si="12"/>
        <v>100</v>
      </c>
      <c r="T45" s="705" t="s">
        <v>18</v>
      </c>
      <c r="U45" s="706">
        <f t="shared" si="13"/>
        <v>100</v>
      </c>
      <c r="V45" s="705" t="s">
        <v>18</v>
      </c>
      <c r="W45" s="706">
        <f t="shared" si="14"/>
        <v>100</v>
      </c>
      <c r="X45" s="1355"/>
      <c r="Y45" s="373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93"/>
      <c r="Q46" s="1352">
        <f t="shared" si="11"/>
        <v>111</v>
      </c>
      <c r="R46" s="705" t="s">
        <v>17</v>
      </c>
      <c r="S46" s="706">
        <f t="shared" si="12"/>
        <v>100</v>
      </c>
      <c r="T46" s="705" t="s">
        <v>17</v>
      </c>
      <c r="U46" s="706">
        <f t="shared" si="13"/>
        <v>100</v>
      </c>
      <c r="V46" s="705" t="s">
        <v>17</v>
      </c>
      <c r="W46" s="706">
        <f t="shared" si="14"/>
        <v>100</v>
      </c>
      <c r="X46" s="1355"/>
      <c r="Y46" s="373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4" t="str">
        <f>A47</f>
        <v>成交单价（元/平方米）</v>
      </c>
      <c r="Q47" s="3724"/>
      <c r="R47" s="3725">
        <f>E47</f>
        <v>0</v>
      </c>
      <c r="S47" s="3725"/>
      <c r="T47" s="3725">
        <f>G47</f>
        <v>0</v>
      </c>
      <c r="U47" s="3725"/>
      <c r="V47" s="3725">
        <f>I47</f>
        <v>0</v>
      </c>
      <c r="W47" s="372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4" t="str">
        <f>A48</f>
        <v>比较价值（元/平方米）</v>
      </c>
      <c r="Q48" s="3724"/>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2025-9</v>
      </c>
      <c r="D58" s="1185">
        <f>EDATE(C58,-1)</f>
        <v>45870</v>
      </c>
      <c r="E58" s="1185">
        <f>EDATE(D58,-1)</f>
        <v>45839</v>
      </c>
      <c r="F58" s="1185">
        <f t="shared" ref="F58:O58" si="19">EDATE(E58,-1)</f>
        <v>45809</v>
      </c>
      <c r="G58" s="1185">
        <f t="shared" si="19"/>
        <v>45778</v>
      </c>
      <c r="H58" s="1185">
        <f t="shared" si="19"/>
        <v>45748</v>
      </c>
      <c r="I58" s="1185">
        <f t="shared" si="19"/>
        <v>45717</v>
      </c>
      <c r="J58" s="1185">
        <f t="shared" si="19"/>
        <v>45689</v>
      </c>
      <c r="K58" s="1185">
        <f t="shared" si="19"/>
        <v>45658</v>
      </c>
      <c r="L58" s="1185">
        <f t="shared" si="19"/>
        <v>45627</v>
      </c>
      <c r="M58" s="1185">
        <f t="shared" si="19"/>
        <v>45597</v>
      </c>
      <c r="N58" s="1185">
        <f t="shared" si="19"/>
        <v>45566</v>
      </c>
      <c r="O58" s="1185">
        <f t="shared" si="19"/>
        <v>45536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受贵公司委托，我公司对北京市通州区环科中路16号22幢1层101厂房用房房地产抵押价值进行了预评估。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估价对象为北京市通州区环科中路16号22幢1层101厂房用房房地产，为所有。根据《国有土地使用证》[]，估价对象（分摊）出让国有建设用地使用权面积为0平方米，建筑面积为585.52平方米。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环科中路16号22幢1层101厂房用房房地产,属开发建设的工业项目，该项目尚在开发建设中。根据《国有土地使用证》[]，估价对象（分摊）出让国有建设用地使用权面积为0平方米，规划建筑面积为585.52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通州区环科中路16号22幢1层101厂房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2025年9月24日（评估专业人员实地查勘之日）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585.52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37" t="s">
        <v>1770</v>
      </c>
      <c r="D4" s="3738"/>
      <c r="E4" s="3739" t="s">
        <v>1771</v>
      </c>
      <c r="F4" s="3740"/>
      <c r="G4" s="3737" t="s">
        <v>1772</v>
      </c>
      <c r="H4" s="3738"/>
      <c r="I4" s="3737" t="s">
        <v>1773</v>
      </c>
      <c r="J4" s="3738"/>
      <c r="K4" s="559" t="s">
        <v>1774</v>
      </c>
      <c r="L4" s="2715"/>
      <c r="M4" s="2716"/>
      <c r="N4" s="2716"/>
      <c r="O4" s="2716"/>
      <c r="P4" s="3741" t="s">
        <v>1775</v>
      </c>
      <c r="Q4" s="3742"/>
      <c r="R4" s="3747" t="s">
        <v>1771</v>
      </c>
      <c r="S4" s="3748"/>
      <c r="T4" s="3747" t="s">
        <v>1772</v>
      </c>
      <c r="U4" s="3748"/>
      <c r="V4" s="3753" t="s">
        <v>1773</v>
      </c>
      <c r="W4" s="3753"/>
      <c r="X4" s="1355"/>
      <c r="Y4" s="3747" t="s">
        <v>1775</v>
      </c>
      <c r="Z4" s="3748"/>
      <c r="AA4" s="3734" t="s">
        <v>1771</v>
      </c>
      <c r="AB4" s="3753" t="s">
        <v>1772</v>
      </c>
      <c r="AC4" s="3734" t="s">
        <v>1773</v>
      </c>
    </row>
    <row r="5" spans="1:29" ht="15">
      <c r="A5" s="358"/>
      <c r="B5" s="359"/>
      <c r="C5" s="3797" t="s">
        <v>1673</v>
      </c>
      <c r="D5" s="3757"/>
      <c r="E5" s="3798" t="s">
        <v>1674</v>
      </c>
      <c r="F5" s="3764"/>
      <c r="G5" s="3797" t="s">
        <v>1675</v>
      </c>
      <c r="H5" s="3757"/>
      <c r="I5" s="3797" t="s">
        <v>1676</v>
      </c>
      <c r="J5" s="3757"/>
      <c r="K5" s="559"/>
      <c r="L5" s="2715"/>
      <c r="M5" s="2716"/>
      <c r="N5" s="2716"/>
      <c r="O5" s="2716"/>
      <c r="P5" s="3743"/>
      <c r="Q5" s="3744"/>
      <c r="R5" s="3749"/>
      <c r="S5" s="3750"/>
      <c r="T5" s="3749"/>
      <c r="U5" s="3750"/>
      <c r="V5" s="3753"/>
      <c r="W5" s="3753"/>
      <c r="X5" s="1355"/>
      <c r="Y5" s="3749"/>
      <c r="Z5" s="3750"/>
      <c r="AA5" s="3735"/>
      <c r="AB5" s="3753"/>
      <c r="AC5" s="3735"/>
    </row>
    <row r="6" spans="1:29" ht="15.75" thickBot="1">
      <c r="A6" s="360"/>
      <c r="B6" s="361"/>
      <c r="C6" s="3754" t="s">
        <v>1677</v>
      </c>
      <c r="D6" s="3755"/>
      <c r="E6" s="3761" t="s">
        <v>1677</v>
      </c>
      <c r="F6" s="3762"/>
      <c r="G6" s="3754" t="s">
        <v>1677</v>
      </c>
      <c r="H6" s="3755"/>
      <c r="I6" s="3754" t="s">
        <v>1677</v>
      </c>
      <c r="J6" s="3755"/>
      <c r="K6" s="559" t="s">
        <v>1678</v>
      </c>
      <c r="L6" s="2715"/>
      <c r="M6" s="2716"/>
      <c r="N6" s="2716"/>
      <c r="O6" s="2716"/>
      <c r="P6" s="3745"/>
      <c r="Q6" s="3746"/>
      <c r="R6" s="3749"/>
      <c r="S6" s="3750"/>
      <c r="T6" s="3751"/>
      <c r="U6" s="3752"/>
      <c r="V6" s="3753"/>
      <c r="W6" s="3753"/>
      <c r="X6" s="1355"/>
      <c r="Y6" s="3751"/>
      <c r="Z6" s="3752"/>
      <c r="AA6" s="3736"/>
      <c r="AB6" s="3753"/>
      <c r="AC6" s="3736"/>
    </row>
    <row r="7" spans="1:29" s="108" customFormat="1" ht="15.75" thickBot="1">
      <c r="A7" s="362" t="s">
        <v>1679</v>
      </c>
      <c r="B7" s="363"/>
      <c r="C7" s="364">
        <f>'数据-取费表'!B2</f>
        <v>45924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58" t="s">
        <v>1680</v>
      </c>
      <c r="Q7" s="3760"/>
      <c r="R7" s="701" t="s">
        <v>14</v>
      </c>
      <c r="S7" s="702">
        <f t="shared" ref="S7:S15" si="0">F7</f>
        <v>0</v>
      </c>
      <c r="T7" s="701" t="s">
        <v>14</v>
      </c>
      <c r="U7" s="702">
        <f t="shared" ref="U7:U15" si="1">H7</f>
        <v>0</v>
      </c>
      <c r="V7" s="701" t="s">
        <v>14</v>
      </c>
      <c r="W7" s="702">
        <f t="shared" ref="W7:W15" si="2">J7</f>
        <v>0</v>
      </c>
      <c r="X7" s="703"/>
      <c r="Y7" s="3758" t="s">
        <v>1680</v>
      </c>
      <c r="Z7" s="375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58" t="s">
        <v>1683</v>
      </c>
      <c r="Q8" s="3759"/>
      <c r="R8" s="701" t="s">
        <v>14</v>
      </c>
      <c r="S8" s="702">
        <f t="shared" si="0"/>
        <v>100</v>
      </c>
      <c r="T8" s="701" t="s">
        <v>14</v>
      </c>
      <c r="U8" s="702">
        <f t="shared" si="1"/>
        <v>100</v>
      </c>
      <c r="V8" s="701" t="s">
        <v>14</v>
      </c>
      <c r="W8" s="702">
        <f t="shared" si="2"/>
        <v>100</v>
      </c>
      <c r="X8" s="703"/>
      <c r="Y8" s="3758" t="s">
        <v>1683</v>
      </c>
      <c r="Z8" s="375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96"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96"/>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96"/>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96"/>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96"/>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96"/>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94" t="s">
        <v>1691</v>
      </c>
      <c r="Q15" s="1352" t="str">
        <f t="shared" si="6"/>
        <v>商业繁华度</v>
      </c>
      <c r="R15" s="705" t="s">
        <v>14</v>
      </c>
      <c r="S15" s="706">
        <f t="shared" si="0"/>
        <v>100</v>
      </c>
      <c r="T15" s="705" t="s">
        <v>14</v>
      </c>
      <c r="U15" s="706">
        <f t="shared" si="1"/>
        <v>100</v>
      </c>
      <c r="V15" s="705" t="s">
        <v>14</v>
      </c>
      <c r="W15" s="706">
        <f t="shared" si="2"/>
        <v>100</v>
      </c>
      <c r="X15" s="1355"/>
      <c r="Y15" s="372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95"/>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95"/>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95"/>
      <c r="Q18" s="1352"/>
      <c r="R18" s="705"/>
      <c r="S18" s="706"/>
      <c r="T18" s="705"/>
      <c r="U18" s="706"/>
      <c r="V18" s="705"/>
      <c r="W18" s="706"/>
      <c r="X18" s="1355"/>
      <c r="Y18" s="373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95"/>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95"/>
      <c r="Q20" s="1352"/>
      <c r="R20" s="705"/>
      <c r="S20" s="706"/>
      <c r="T20" s="705"/>
      <c r="U20" s="706"/>
      <c r="V20" s="705"/>
      <c r="W20" s="706"/>
      <c r="X20" s="1355"/>
      <c r="Y20" s="373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95"/>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95"/>
      <c r="Q22" s="1352"/>
      <c r="R22" s="705"/>
      <c r="S22" s="706"/>
      <c r="T22" s="705"/>
      <c r="U22" s="706"/>
      <c r="V22" s="705"/>
      <c r="W22" s="706"/>
      <c r="X22" s="1355"/>
      <c r="Y22" s="373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95"/>
      <c r="Q23" s="1352" t="str">
        <f>B23</f>
        <v>自然及人文环境</v>
      </c>
      <c r="R23" s="705" t="s">
        <v>14</v>
      </c>
      <c r="S23" s="706">
        <f>F23</f>
        <v>100</v>
      </c>
      <c r="T23" s="705" t="s">
        <v>14</v>
      </c>
      <c r="U23" s="706">
        <f>H23</f>
        <v>100</v>
      </c>
      <c r="V23" s="705" t="s">
        <v>14</v>
      </c>
      <c r="W23" s="706">
        <f>J23</f>
        <v>100</v>
      </c>
      <c r="X23" s="1355"/>
      <c r="Y23" s="373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95"/>
      <c r="Q24" s="1352"/>
      <c r="R24" s="705"/>
      <c r="S24" s="706"/>
      <c r="T24" s="705"/>
      <c r="U24" s="706"/>
      <c r="V24" s="705"/>
      <c r="W24" s="706"/>
      <c r="X24" s="1355"/>
      <c r="Y24" s="373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95"/>
      <c r="Q25" s="1352" t="str">
        <f t="shared" ref="Q25:Q46" si="11">B25</f>
        <v>临街状况</v>
      </c>
      <c r="R25" s="705" t="s">
        <v>14</v>
      </c>
      <c r="S25" s="706">
        <f>F25</f>
        <v>100</v>
      </c>
      <c r="T25" s="705" t="s">
        <v>14</v>
      </c>
      <c r="U25" s="706">
        <f>H25</f>
        <v>100</v>
      </c>
      <c r="V25" s="705" t="s">
        <v>14</v>
      </c>
      <c r="W25" s="706">
        <f>J25</f>
        <v>100</v>
      </c>
      <c r="X25" s="1355"/>
      <c r="Y25" s="373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95"/>
      <c r="Q26" s="1352" t="str">
        <f t="shared" si="11"/>
        <v>平面位置/可视性</v>
      </c>
      <c r="R26" s="705" t="s">
        <v>14</v>
      </c>
      <c r="S26" s="706">
        <f>F26</f>
        <v>100</v>
      </c>
      <c r="T26" s="705" t="s">
        <v>14</v>
      </c>
      <c r="U26" s="706">
        <f>H26</f>
        <v>100</v>
      </c>
      <c r="V26" s="705" t="s">
        <v>14</v>
      </c>
      <c r="W26" s="706">
        <f>J26</f>
        <v>100</v>
      </c>
      <c r="X26" s="1355"/>
      <c r="Y26" s="373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95"/>
      <c r="Q27" s="1343" t="str">
        <f t="shared" si="11"/>
        <v>人流量</v>
      </c>
      <c r="R27" s="701" t="s">
        <v>14</v>
      </c>
      <c r="S27" s="702">
        <f>F27</f>
        <v>100</v>
      </c>
      <c r="T27" s="701" t="s">
        <v>14</v>
      </c>
      <c r="U27" s="702">
        <f>H27</f>
        <v>100</v>
      </c>
      <c r="V27" s="701" t="s">
        <v>14</v>
      </c>
      <c r="W27" s="702">
        <f>J27</f>
        <v>100</v>
      </c>
      <c r="X27" s="703"/>
      <c r="Y27" s="373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9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95"/>
      <c r="Q29" s="1352">
        <f t="shared" si="11"/>
        <v>111</v>
      </c>
      <c r="R29" s="705" t="s">
        <v>14</v>
      </c>
      <c r="S29" s="706">
        <f t="shared" si="12"/>
        <v>100</v>
      </c>
      <c r="T29" s="705" t="s">
        <v>14</v>
      </c>
      <c r="U29" s="706">
        <f t="shared" si="13"/>
        <v>100</v>
      </c>
      <c r="V29" s="705" t="s">
        <v>14</v>
      </c>
      <c r="W29" s="706">
        <f t="shared" si="14"/>
        <v>100</v>
      </c>
      <c r="X29" s="1355"/>
      <c r="Y29" s="373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95"/>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95"/>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91" t="s">
        <v>1696</v>
      </c>
      <c r="Q32" s="1352" t="str">
        <f t="shared" si="11"/>
        <v>商业类型</v>
      </c>
      <c r="R32" s="705" t="s">
        <v>14</v>
      </c>
      <c r="S32" s="706">
        <f t="shared" si="12"/>
        <v>100</v>
      </c>
      <c r="T32" s="705" t="s">
        <v>14</v>
      </c>
      <c r="U32" s="706">
        <f t="shared" si="13"/>
        <v>100</v>
      </c>
      <c r="V32" s="705" t="s">
        <v>14</v>
      </c>
      <c r="W32" s="706">
        <f t="shared" si="14"/>
        <v>100</v>
      </c>
      <c r="X32" s="1355"/>
      <c r="Y32" s="373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92"/>
      <c r="Q33" s="707" t="str">
        <f t="shared" si="11"/>
        <v>项目建筑规模</v>
      </c>
      <c r="R33" s="708" t="s">
        <v>14</v>
      </c>
      <c r="S33" s="709" t="e">
        <f t="shared" si="12"/>
        <v>#N/A</v>
      </c>
      <c r="T33" s="708" t="s">
        <v>14</v>
      </c>
      <c r="U33" s="709" t="e">
        <f t="shared" si="13"/>
        <v>#N/A</v>
      </c>
      <c r="V33" s="708" t="s">
        <v>14</v>
      </c>
      <c r="W33" s="709" t="e">
        <f t="shared" si="14"/>
        <v>#N/A</v>
      </c>
      <c r="X33" s="710"/>
      <c r="Y33" s="373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92"/>
      <c r="Q34" s="1352" t="str">
        <f t="shared" si="11"/>
        <v>建筑结构</v>
      </c>
      <c r="R34" s="705" t="s">
        <v>14</v>
      </c>
      <c r="S34" s="706">
        <f t="shared" si="12"/>
        <v>100</v>
      </c>
      <c r="T34" s="705" t="s">
        <v>14</v>
      </c>
      <c r="U34" s="706">
        <f t="shared" si="13"/>
        <v>100</v>
      </c>
      <c r="V34" s="705" t="s">
        <v>14</v>
      </c>
      <c r="W34" s="706">
        <f t="shared" si="14"/>
        <v>100</v>
      </c>
      <c r="X34" s="1355"/>
      <c r="Y34" s="373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92"/>
      <c r="Q35" s="1352" t="str">
        <f t="shared" si="11"/>
        <v>公共部分装修</v>
      </c>
      <c r="R35" s="705" t="s">
        <v>14</v>
      </c>
      <c r="S35" s="706">
        <f t="shared" si="12"/>
        <v>100</v>
      </c>
      <c r="T35" s="705" t="s">
        <v>14</v>
      </c>
      <c r="U35" s="706">
        <f t="shared" si="13"/>
        <v>100</v>
      </c>
      <c r="V35" s="705" t="s">
        <v>14</v>
      </c>
      <c r="W35" s="706">
        <f t="shared" si="14"/>
        <v>100</v>
      </c>
      <c r="X35" s="1355"/>
      <c r="Y35" s="373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92"/>
      <c r="Q36" s="1352" t="str">
        <f t="shared" si="11"/>
        <v>成新度</v>
      </c>
      <c r="R36" s="705" t="s">
        <v>14</v>
      </c>
      <c r="S36" s="706" t="e">
        <f t="shared" si="12"/>
        <v>#N/A</v>
      </c>
      <c r="T36" s="705" t="s">
        <v>14</v>
      </c>
      <c r="U36" s="706" t="e">
        <f t="shared" si="13"/>
        <v>#N/A</v>
      </c>
      <c r="V36" s="705" t="s">
        <v>14</v>
      </c>
      <c r="W36" s="706" t="e">
        <f t="shared" si="14"/>
        <v>#N/A</v>
      </c>
      <c r="X36" s="1355"/>
      <c r="Y36" s="373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92"/>
      <c r="Q37" s="1343" t="str">
        <f t="shared" si="11"/>
        <v>市政基础设施</v>
      </c>
      <c r="R37" s="701" t="s">
        <v>14</v>
      </c>
      <c r="S37" s="702">
        <f t="shared" si="12"/>
        <v>100</v>
      </c>
      <c r="T37" s="701" t="s">
        <v>14</v>
      </c>
      <c r="U37" s="702">
        <f t="shared" si="13"/>
        <v>100</v>
      </c>
      <c r="V37" s="701" t="s">
        <v>14</v>
      </c>
      <c r="W37" s="702">
        <f t="shared" si="14"/>
        <v>100</v>
      </c>
      <c r="X37" s="703"/>
      <c r="Y37" s="373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92" t="s">
        <v>1696</v>
      </c>
      <c r="Q38" s="1352" t="str">
        <f t="shared" si="11"/>
        <v>业态</v>
      </c>
      <c r="R38" s="705" t="s">
        <v>14</v>
      </c>
      <c r="S38" s="706">
        <f t="shared" si="12"/>
        <v>100</v>
      </c>
      <c r="T38" s="705" t="s">
        <v>14</v>
      </c>
      <c r="U38" s="706">
        <f t="shared" si="13"/>
        <v>100</v>
      </c>
      <c r="V38" s="705" t="s">
        <v>14</v>
      </c>
      <c r="W38" s="706">
        <f t="shared" si="14"/>
        <v>100</v>
      </c>
      <c r="X38" s="1355"/>
      <c r="Y38" s="373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92"/>
      <c r="Q39" s="1352" t="str">
        <f t="shared" si="11"/>
        <v>层高</v>
      </c>
      <c r="R39" s="705" t="s">
        <v>14</v>
      </c>
      <c r="S39" s="706">
        <f t="shared" si="12"/>
        <v>100</v>
      </c>
      <c r="T39" s="705" t="s">
        <v>14</v>
      </c>
      <c r="U39" s="706">
        <f t="shared" si="13"/>
        <v>100</v>
      </c>
      <c r="V39" s="705" t="s">
        <v>14</v>
      </c>
      <c r="W39" s="706">
        <f t="shared" si="14"/>
        <v>100</v>
      </c>
      <c r="X39" s="1355"/>
      <c r="Y39" s="373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92"/>
      <c r="Q40" s="1352" t="str">
        <f t="shared" si="11"/>
        <v>单套建筑面积</v>
      </c>
      <c r="R40" s="705" t="s">
        <v>14</v>
      </c>
      <c r="S40" s="706">
        <f t="shared" si="12"/>
        <v>100</v>
      </c>
      <c r="T40" s="705" t="s">
        <v>14</v>
      </c>
      <c r="U40" s="706">
        <f t="shared" si="13"/>
        <v>100</v>
      </c>
      <c r="V40" s="705" t="s">
        <v>14</v>
      </c>
      <c r="W40" s="706">
        <f t="shared" si="14"/>
        <v>100</v>
      </c>
      <c r="X40" s="1355"/>
      <c r="Y40" s="373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92"/>
      <c r="Q41" s="707" t="str">
        <f t="shared" si="11"/>
        <v>进深比</v>
      </c>
      <c r="R41" s="708" t="s">
        <v>14</v>
      </c>
      <c r="S41" s="709">
        <f t="shared" si="12"/>
        <v>100</v>
      </c>
      <c r="T41" s="708" t="s">
        <v>14</v>
      </c>
      <c r="U41" s="709">
        <f t="shared" si="13"/>
        <v>100</v>
      </c>
      <c r="V41" s="708" t="s">
        <v>14</v>
      </c>
      <c r="W41" s="709">
        <f t="shared" si="14"/>
        <v>100</v>
      </c>
      <c r="X41" s="710"/>
      <c r="Y41" s="373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92"/>
      <c r="Q42" s="1352" t="str">
        <f t="shared" si="11"/>
        <v>内部装修</v>
      </c>
      <c r="R42" s="705" t="s">
        <v>14</v>
      </c>
      <c r="S42" s="706">
        <f t="shared" si="12"/>
        <v>100</v>
      </c>
      <c r="T42" s="705" t="s">
        <v>14</v>
      </c>
      <c r="U42" s="706">
        <f t="shared" si="13"/>
        <v>100</v>
      </c>
      <c r="V42" s="705" t="s">
        <v>14</v>
      </c>
      <c r="W42" s="706">
        <f t="shared" si="14"/>
        <v>100</v>
      </c>
      <c r="X42" s="1355"/>
      <c r="Y42" s="373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92"/>
      <c r="Q43" s="1352" t="str">
        <f t="shared" si="11"/>
        <v>内部装修维护情况</v>
      </c>
      <c r="R43" s="705" t="s">
        <v>14</v>
      </c>
      <c r="S43" s="706">
        <f t="shared" si="12"/>
        <v>100</v>
      </c>
      <c r="T43" s="705" t="s">
        <v>14</v>
      </c>
      <c r="U43" s="706">
        <f t="shared" si="13"/>
        <v>100</v>
      </c>
      <c r="V43" s="705" t="s">
        <v>14</v>
      </c>
      <c r="W43" s="706">
        <f t="shared" si="14"/>
        <v>100</v>
      </c>
      <c r="X43" s="1355"/>
      <c r="Y43" s="373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92"/>
      <c r="Q44" s="1343">
        <f t="shared" si="11"/>
        <v>111</v>
      </c>
      <c r="R44" s="701" t="s">
        <v>14</v>
      </c>
      <c r="S44" s="702">
        <f t="shared" si="12"/>
        <v>100</v>
      </c>
      <c r="T44" s="701" t="s">
        <v>14</v>
      </c>
      <c r="U44" s="702">
        <f t="shared" si="13"/>
        <v>100</v>
      </c>
      <c r="V44" s="701" t="s">
        <v>14</v>
      </c>
      <c r="W44" s="702">
        <f t="shared" si="14"/>
        <v>100</v>
      </c>
      <c r="X44" s="703"/>
      <c r="Y44" s="373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92"/>
      <c r="Q45" s="1352">
        <f t="shared" si="11"/>
        <v>111</v>
      </c>
      <c r="R45" s="705" t="s">
        <v>14</v>
      </c>
      <c r="S45" s="706">
        <f t="shared" si="12"/>
        <v>100</v>
      </c>
      <c r="T45" s="705" t="s">
        <v>14</v>
      </c>
      <c r="U45" s="706">
        <f t="shared" si="13"/>
        <v>100</v>
      </c>
      <c r="V45" s="705" t="s">
        <v>14</v>
      </c>
      <c r="W45" s="706">
        <f t="shared" si="14"/>
        <v>100</v>
      </c>
      <c r="X45" s="1355"/>
      <c r="Y45" s="373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93"/>
      <c r="Q46" s="1352">
        <f t="shared" si="11"/>
        <v>111</v>
      </c>
      <c r="R46" s="705" t="s">
        <v>14</v>
      </c>
      <c r="S46" s="706">
        <f t="shared" si="12"/>
        <v>100</v>
      </c>
      <c r="T46" s="705" t="s">
        <v>14</v>
      </c>
      <c r="U46" s="706">
        <f t="shared" si="13"/>
        <v>100</v>
      </c>
      <c r="V46" s="705" t="s">
        <v>14</v>
      </c>
      <c r="W46" s="706">
        <f t="shared" si="14"/>
        <v>100</v>
      </c>
      <c r="X46" s="1355"/>
      <c r="Y46" s="373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4" t="str">
        <f>A47</f>
        <v>成交单价（元/平方米）</v>
      </c>
      <c r="Q47" s="3724"/>
      <c r="R47" s="3753">
        <f>E47</f>
        <v>0</v>
      </c>
      <c r="S47" s="3753"/>
      <c r="T47" s="3753">
        <f>G47</f>
        <v>0</v>
      </c>
      <c r="U47" s="3753"/>
      <c r="V47" s="3753">
        <f>I47</f>
        <v>0</v>
      </c>
      <c r="W47" s="375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4" t="str">
        <f>A48</f>
        <v>比较价值（元/平方米）</v>
      </c>
      <c r="Q48" s="3724"/>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2025-9</v>
      </c>
      <c r="D58" s="1185">
        <f>EDATE(C58,-1)</f>
        <v>45870</v>
      </c>
      <c r="E58" s="1185">
        <f t="shared" ref="E58:N58" si="16">EDATE(D58,-1)</f>
        <v>45839</v>
      </c>
      <c r="F58" s="1185">
        <f t="shared" si="16"/>
        <v>45809</v>
      </c>
      <c r="G58" s="1185">
        <f t="shared" si="16"/>
        <v>45778</v>
      </c>
      <c r="H58" s="1185">
        <f t="shared" si="16"/>
        <v>45748</v>
      </c>
      <c r="I58" s="1185">
        <f t="shared" si="16"/>
        <v>45717</v>
      </c>
      <c r="J58" s="1185">
        <f t="shared" si="16"/>
        <v>45689</v>
      </c>
      <c r="K58" s="1185">
        <f t="shared" si="16"/>
        <v>45658</v>
      </c>
      <c r="L58" s="1185">
        <f t="shared" si="16"/>
        <v>45627</v>
      </c>
      <c r="M58" s="1185">
        <f t="shared" si="16"/>
        <v>45597</v>
      </c>
      <c r="N58" s="1185">
        <f t="shared" si="16"/>
        <v>45566</v>
      </c>
      <c r="O58" s="1185">
        <f>EDATE(N58,-1)</f>
        <v>45536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585.52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37" t="s">
        <v>1770</v>
      </c>
      <c r="D4" s="3738"/>
      <c r="E4" s="3739" t="s">
        <v>1771</v>
      </c>
      <c r="F4" s="3740"/>
      <c r="G4" s="3737" t="s">
        <v>1772</v>
      </c>
      <c r="H4" s="3738"/>
      <c r="I4" s="3737" t="s">
        <v>1773</v>
      </c>
      <c r="J4" s="3738"/>
      <c r="K4" s="559" t="s">
        <v>1774</v>
      </c>
      <c r="L4" s="2715"/>
      <c r="M4" s="2716"/>
      <c r="N4" s="2716"/>
      <c r="O4" s="2716"/>
      <c r="P4" s="3805" t="s">
        <v>1775</v>
      </c>
      <c r="Q4" s="3806"/>
      <c r="R4" s="3809" t="s">
        <v>1771</v>
      </c>
      <c r="S4" s="3810"/>
      <c r="T4" s="3809" t="s">
        <v>1772</v>
      </c>
      <c r="U4" s="3810"/>
      <c r="V4" s="3811" t="s">
        <v>1773</v>
      </c>
      <c r="W4" s="3811"/>
      <c r="X4" s="1958"/>
      <c r="Y4" s="3809" t="s">
        <v>1775</v>
      </c>
      <c r="Z4" s="3810"/>
      <c r="AA4" s="3813" t="s">
        <v>1771</v>
      </c>
      <c r="AB4" s="3813" t="s">
        <v>1772</v>
      </c>
      <c r="AC4" s="3802" t="s">
        <v>1773</v>
      </c>
    </row>
    <row r="5" spans="1:29" ht="15">
      <c r="A5" s="358"/>
      <c r="B5" s="359"/>
      <c r="C5" s="3797" t="s">
        <v>1673</v>
      </c>
      <c r="D5" s="3757"/>
      <c r="E5" s="3798" t="s">
        <v>1674</v>
      </c>
      <c r="F5" s="3764"/>
      <c r="G5" s="3797" t="s">
        <v>1675</v>
      </c>
      <c r="H5" s="3757"/>
      <c r="I5" s="3797" t="s">
        <v>1676</v>
      </c>
      <c r="J5" s="3757"/>
      <c r="K5" s="559"/>
      <c r="L5" s="2715"/>
      <c r="M5" s="2716"/>
      <c r="N5" s="2716"/>
      <c r="O5" s="2716"/>
      <c r="P5" s="3807"/>
      <c r="Q5" s="3744"/>
      <c r="R5" s="3749"/>
      <c r="S5" s="3750"/>
      <c r="T5" s="3749"/>
      <c r="U5" s="3750"/>
      <c r="V5" s="3753"/>
      <c r="W5" s="3753"/>
      <c r="X5" s="1355"/>
      <c r="Y5" s="3749"/>
      <c r="Z5" s="3750"/>
      <c r="AA5" s="3735"/>
      <c r="AB5" s="3735"/>
      <c r="AC5" s="3803"/>
    </row>
    <row r="6" spans="1:29" ht="15.75" thickBot="1">
      <c r="A6" s="360"/>
      <c r="B6" s="361"/>
      <c r="C6" s="3754" t="s">
        <v>1677</v>
      </c>
      <c r="D6" s="3755"/>
      <c r="E6" s="3761" t="s">
        <v>1677</v>
      </c>
      <c r="F6" s="3762"/>
      <c r="G6" s="3754" t="s">
        <v>1677</v>
      </c>
      <c r="H6" s="3755"/>
      <c r="I6" s="3754" t="s">
        <v>1677</v>
      </c>
      <c r="J6" s="3755"/>
      <c r="K6" s="559" t="s">
        <v>1678</v>
      </c>
      <c r="L6" s="2715"/>
      <c r="M6" s="2716"/>
      <c r="N6" s="2716"/>
      <c r="O6" s="2716"/>
      <c r="P6" s="3808"/>
      <c r="Q6" s="3746"/>
      <c r="R6" s="3749"/>
      <c r="S6" s="3750"/>
      <c r="T6" s="3751"/>
      <c r="U6" s="3752"/>
      <c r="V6" s="3753"/>
      <c r="W6" s="3753"/>
      <c r="X6" s="1355"/>
      <c r="Y6" s="3751"/>
      <c r="Z6" s="3752"/>
      <c r="AA6" s="3736"/>
      <c r="AB6" s="3736"/>
      <c r="AC6" s="3804"/>
    </row>
    <row r="7" spans="1:29" s="108" customFormat="1" ht="15.75" thickBot="1">
      <c r="A7" s="362" t="s">
        <v>1679</v>
      </c>
      <c r="B7" s="363"/>
      <c r="C7" s="364">
        <f>'数据-取费表'!B2</f>
        <v>45924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812" t="s">
        <v>1680</v>
      </c>
      <c r="Q7" s="3760"/>
      <c r="R7" s="701" t="s">
        <v>14</v>
      </c>
      <c r="S7" s="702">
        <f t="shared" ref="S7:S15" si="0">F7</f>
        <v>0</v>
      </c>
      <c r="T7" s="701" t="s">
        <v>14</v>
      </c>
      <c r="U7" s="702">
        <f t="shared" ref="U7:U15" si="1">H7</f>
        <v>0</v>
      </c>
      <c r="V7" s="701" t="s">
        <v>14</v>
      </c>
      <c r="W7" s="702">
        <f t="shared" ref="W7:W15" si="2">J7</f>
        <v>0</v>
      </c>
      <c r="X7" s="703"/>
      <c r="Y7" s="3758" t="s">
        <v>1680</v>
      </c>
      <c r="Z7" s="375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812" t="s">
        <v>1683</v>
      </c>
      <c r="Q8" s="3759"/>
      <c r="R8" s="701" t="s">
        <v>14</v>
      </c>
      <c r="S8" s="702">
        <f t="shared" si="0"/>
        <v>100</v>
      </c>
      <c r="T8" s="701" t="s">
        <v>14</v>
      </c>
      <c r="U8" s="702">
        <f t="shared" si="1"/>
        <v>100</v>
      </c>
      <c r="V8" s="701" t="s">
        <v>14</v>
      </c>
      <c r="W8" s="702">
        <f t="shared" si="2"/>
        <v>100</v>
      </c>
      <c r="X8" s="703"/>
      <c r="Y8" s="3758" t="s">
        <v>1683</v>
      </c>
      <c r="Z8" s="375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96"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96"/>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96"/>
      <c r="Q11" s="1343"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96"/>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96"/>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96"/>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94" t="s">
        <v>1691</v>
      </c>
      <c r="Q15" s="1352" t="str">
        <f t="shared" si="6"/>
        <v>办公集聚程度</v>
      </c>
      <c r="R15" s="705" t="s">
        <v>14</v>
      </c>
      <c r="S15" s="706">
        <f t="shared" si="0"/>
        <v>100</v>
      </c>
      <c r="T15" s="705" t="s">
        <v>14</v>
      </c>
      <c r="U15" s="706">
        <f t="shared" si="1"/>
        <v>100</v>
      </c>
      <c r="V15" s="705" t="s">
        <v>14</v>
      </c>
      <c r="W15" s="706">
        <f t="shared" si="2"/>
        <v>100</v>
      </c>
      <c r="X15" s="1355"/>
      <c r="Y15" s="372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95"/>
      <c r="Q16" s="1352"/>
      <c r="R16" s="705"/>
      <c r="S16" s="706"/>
      <c r="T16" s="705"/>
      <c r="U16" s="706"/>
      <c r="V16" s="705"/>
      <c r="W16" s="706"/>
      <c r="X16" s="1355"/>
      <c r="Y16" s="373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95"/>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95"/>
      <c r="Q18" s="1352"/>
      <c r="R18" s="705"/>
      <c r="S18" s="706"/>
      <c r="T18" s="705"/>
      <c r="U18" s="706"/>
      <c r="V18" s="705"/>
      <c r="W18" s="706"/>
      <c r="X18" s="1355"/>
      <c r="Y18" s="373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95"/>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95"/>
      <c r="Q20" s="1352"/>
      <c r="R20" s="705"/>
      <c r="S20" s="706"/>
      <c r="T20" s="705"/>
      <c r="U20" s="706"/>
      <c r="V20" s="705"/>
      <c r="W20" s="706"/>
      <c r="X20" s="1355"/>
      <c r="Y20" s="373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95"/>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95"/>
      <c r="Q22" s="1352"/>
      <c r="R22" s="705"/>
      <c r="S22" s="706"/>
      <c r="T22" s="705"/>
      <c r="U22" s="706"/>
      <c r="V22" s="705"/>
      <c r="W22" s="706"/>
      <c r="X22" s="1355"/>
      <c r="Y22" s="373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95"/>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95"/>
      <c r="Q24" s="1352"/>
      <c r="R24" s="705"/>
      <c r="S24" s="706"/>
      <c r="T24" s="705"/>
      <c r="U24" s="706"/>
      <c r="V24" s="705"/>
      <c r="W24" s="706"/>
      <c r="X24" s="1355"/>
      <c r="Y24" s="373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95"/>
      <c r="Q25" s="1352" t="str">
        <f>B25</f>
        <v>毗邻道路的类型与等级</v>
      </c>
      <c r="R25" s="705" t="s">
        <v>14</v>
      </c>
      <c r="S25" s="706">
        <f>F25</f>
        <v>100</v>
      </c>
      <c r="T25" s="705" t="s">
        <v>14</v>
      </c>
      <c r="U25" s="706">
        <f>H25</f>
        <v>100</v>
      </c>
      <c r="V25" s="705" t="s">
        <v>14</v>
      </c>
      <c r="W25" s="706">
        <f>J25</f>
        <v>100</v>
      </c>
      <c r="X25" s="1355"/>
      <c r="Y25" s="373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95"/>
      <c r="Q26" s="1352"/>
      <c r="R26" s="705"/>
      <c r="S26" s="706"/>
      <c r="T26" s="705"/>
      <c r="U26" s="706"/>
      <c r="V26" s="705"/>
      <c r="W26" s="706"/>
      <c r="X26" s="1355"/>
      <c r="Y26" s="373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95"/>
      <c r="Q27" s="1352" t="str">
        <f t="shared" ref="Q27:Q47" si="11">B27</f>
        <v>楼层</v>
      </c>
      <c r="R27" s="705" t="s">
        <v>14</v>
      </c>
      <c r="S27" s="706">
        <f>F27</f>
        <v>100</v>
      </c>
      <c r="T27" s="705" t="s">
        <v>14</v>
      </c>
      <c r="U27" s="706">
        <f>H27</f>
        <v>100</v>
      </c>
      <c r="V27" s="705" t="s">
        <v>14</v>
      </c>
      <c r="W27" s="706">
        <f>J27</f>
        <v>100</v>
      </c>
      <c r="X27" s="1355"/>
      <c r="Y27" s="373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95"/>
      <c r="Q28" s="1343" t="str">
        <f t="shared" si="11"/>
        <v>朝向</v>
      </c>
      <c r="R28" s="701" t="s">
        <v>14</v>
      </c>
      <c r="S28" s="702">
        <f>F28</f>
        <v>100</v>
      </c>
      <c r="T28" s="701" t="s">
        <v>14</v>
      </c>
      <c r="U28" s="702">
        <f>H28</f>
        <v>100</v>
      </c>
      <c r="V28" s="701" t="s">
        <v>14</v>
      </c>
      <c r="W28" s="702">
        <f>J28</f>
        <v>100</v>
      </c>
      <c r="X28" s="703"/>
      <c r="Y28" s="373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95"/>
      <c r="Q29" s="1352">
        <f t="shared" si="11"/>
        <v>111</v>
      </c>
      <c r="R29" s="705" t="s">
        <v>14</v>
      </c>
      <c r="S29" s="706">
        <f t="shared" ref="S29:S47" si="12">F29</f>
        <v>100</v>
      </c>
      <c r="T29" s="705" t="s">
        <v>14</v>
      </c>
      <c r="U29" s="706">
        <f t="shared" ref="U29:U47" si="13">H29</f>
        <v>100</v>
      </c>
      <c r="V29" s="705" t="s">
        <v>14</v>
      </c>
      <c r="W29" s="706">
        <f t="shared" ref="W29:W47" si="14">J29</f>
        <v>100</v>
      </c>
      <c r="X29" s="1355"/>
      <c r="Y29" s="373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95"/>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95"/>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95"/>
      <c r="Q32" s="1352">
        <f t="shared" si="11"/>
        <v>111</v>
      </c>
      <c r="R32" s="705" t="s">
        <v>14</v>
      </c>
      <c r="S32" s="706">
        <f t="shared" si="12"/>
        <v>100</v>
      </c>
      <c r="T32" s="705" t="s">
        <v>14</v>
      </c>
      <c r="U32" s="706">
        <f t="shared" si="13"/>
        <v>100</v>
      </c>
      <c r="V32" s="705" t="s">
        <v>14</v>
      </c>
      <c r="W32" s="706">
        <f t="shared" si="14"/>
        <v>100</v>
      </c>
      <c r="X32" s="1355"/>
      <c r="Y32" s="373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91" t="s">
        <v>1696</v>
      </c>
      <c r="Q33" s="1352" t="str">
        <f t="shared" si="11"/>
        <v>建筑类型</v>
      </c>
      <c r="R33" s="705" t="s">
        <v>14</v>
      </c>
      <c r="S33" s="706">
        <f t="shared" si="12"/>
        <v>100</v>
      </c>
      <c r="T33" s="705" t="s">
        <v>14</v>
      </c>
      <c r="U33" s="706">
        <f t="shared" si="13"/>
        <v>100</v>
      </c>
      <c r="V33" s="705" t="s">
        <v>14</v>
      </c>
      <c r="W33" s="706">
        <f t="shared" si="14"/>
        <v>100</v>
      </c>
      <c r="X33" s="1355"/>
      <c r="Y33" s="373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92"/>
      <c r="Q34" s="707" t="str">
        <f t="shared" si="11"/>
        <v>项目建筑规模</v>
      </c>
      <c r="R34" s="708" t="s">
        <v>14</v>
      </c>
      <c r="S34" s="709" t="e">
        <f t="shared" si="12"/>
        <v>#N/A</v>
      </c>
      <c r="T34" s="708" t="s">
        <v>14</v>
      </c>
      <c r="U34" s="709" t="e">
        <f t="shared" si="13"/>
        <v>#N/A</v>
      </c>
      <c r="V34" s="708" t="s">
        <v>14</v>
      </c>
      <c r="W34" s="709" t="e">
        <f t="shared" si="14"/>
        <v>#N/A</v>
      </c>
      <c r="X34" s="710"/>
      <c r="Y34" s="373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92"/>
      <c r="Q35" s="1352" t="str">
        <f t="shared" si="11"/>
        <v>建筑结构</v>
      </c>
      <c r="R35" s="705" t="s">
        <v>14</v>
      </c>
      <c r="S35" s="706">
        <f t="shared" si="12"/>
        <v>100</v>
      </c>
      <c r="T35" s="705" t="s">
        <v>14</v>
      </c>
      <c r="U35" s="706">
        <f t="shared" si="13"/>
        <v>100</v>
      </c>
      <c r="V35" s="705" t="s">
        <v>14</v>
      </c>
      <c r="W35" s="706">
        <f t="shared" si="14"/>
        <v>100</v>
      </c>
      <c r="X35" s="1355"/>
      <c r="Y35" s="373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92"/>
      <c r="Q36" s="1352" t="str">
        <f t="shared" si="11"/>
        <v>公共部分装修</v>
      </c>
      <c r="R36" s="705" t="s">
        <v>14</v>
      </c>
      <c r="S36" s="706">
        <f t="shared" si="12"/>
        <v>100</v>
      </c>
      <c r="T36" s="705" t="s">
        <v>14</v>
      </c>
      <c r="U36" s="706">
        <f t="shared" si="13"/>
        <v>100</v>
      </c>
      <c r="V36" s="705" t="s">
        <v>14</v>
      </c>
      <c r="W36" s="706">
        <f t="shared" si="14"/>
        <v>100</v>
      </c>
      <c r="X36" s="1355"/>
      <c r="Y36" s="373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92"/>
      <c r="Q37" s="1352" t="str">
        <f t="shared" si="11"/>
        <v>成新度</v>
      </c>
      <c r="R37" s="705" t="s">
        <v>14</v>
      </c>
      <c r="S37" s="706" t="e">
        <f t="shared" si="12"/>
        <v>#N/A</v>
      </c>
      <c r="T37" s="705" t="s">
        <v>14</v>
      </c>
      <c r="U37" s="706" t="e">
        <f t="shared" si="13"/>
        <v>#N/A</v>
      </c>
      <c r="V37" s="705" t="s">
        <v>14</v>
      </c>
      <c r="W37" s="706" t="e">
        <f t="shared" si="14"/>
        <v>#N/A</v>
      </c>
      <c r="X37" s="1355"/>
      <c r="Y37" s="373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92"/>
      <c r="Q38" s="1343" t="str">
        <f t="shared" si="11"/>
        <v>写字楼等级</v>
      </c>
      <c r="R38" s="701" t="s">
        <v>14</v>
      </c>
      <c r="S38" s="702">
        <f t="shared" si="12"/>
        <v>100</v>
      </c>
      <c r="T38" s="701" t="s">
        <v>14</v>
      </c>
      <c r="U38" s="702">
        <f t="shared" si="13"/>
        <v>100</v>
      </c>
      <c r="V38" s="701" t="s">
        <v>14</v>
      </c>
      <c r="W38" s="702">
        <f t="shared" si="14"/>
        <v>100</v>
      </c>
      <c r="X38" s="703"/>
      <c r="Y38" s="373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92" t="s">
        <v>1696</v>
      </c>
      <c r="Q39" s="1352" t="str">
        <f t="shared" si="11"/>
        <v>物业管理</v>
      </c>
      <c r="R39" s="705" t="s">
        <v>14</v>
      </c>
      <c r="S39" s="706">
        <f t="shared" si="12"/>
        <v>100</v>
      </c>
      <c r="T39" s="705" t="s">
        <v>14</v>
      </c>
      <c r="U39" s="706">
        <f t="shared" si="13"/>
        <v>100</v>
      </c>
      <c r="V39" s="705" t="s">
        <v>14</v>
      </c>
      <c r="W39" s="706">
        <f t="shared" si="14"/>
        <v>100</v>
      </c>
      <c r="X39" s="1355"/>
      <c r="Y39" s="373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92"/>
      <c r="Q40" s="1352" t="str">
        <f t="shared" si="11"/>
        <v>市政基础设施</v>
      </c>
      <c r="R40" s="705" t="s">
        <v>14</v>
      </c>
      <c r="S40" s="706">
        <f t="shared" si="12"/>
        <v>100</v>
      </c>
      <c r="T40" s="705" t="s">
        <v>14</v>
      </c>
      <c r="U40" s="706">
        <f t="shared" si="13"/>
        <v>100</v>
      </c>
      <c r="V40" s="705" t="s">
        <v>14</v>
      </c>
      <c r="W40" s="706">
        <f t="shared" si="14"/>
        <v>100</v>
      </c>
      <c r="X40" s="1355"/>
      <c r="Y40" s="373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92"/>
      <c r="Q41" s="1352" t="str">
        <f t="shared" si="11"/>
        <v>层高</v>
      </c>
      <c r="R41" s="705" t="s">
        <v>14</v>
      </c>
      <c r="S41" s="706">
        <f t="shared" si="12"/>
        <v>100</v>
      </c>
      <c r="T41" s="705" t="s">
        <v>14</v>
      </c>
      <c r="U41" s="706">
        <f t="shared" si="13"/>
        <v>100</v>
      </c>
      <c r="V41" s="705" t="s">
        <v>14</v>
      </c>
      <c r="W41" s="706">
        <f t="shared" si="14"/>
        <v>100</v>
      </c>
      <c r="X41" s="1355"/>
      <c r="Y41" s="373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92"/>
      <c r="Q42" s="707" t="str">
        <f t="shared" si="11"/>
        <v>单套建筑面积</v>
      </c>
      <c r="R42" s="708" t="s">
        <v>14</v>
      </c>
      <c r="S42" s="709">
        <f t="shared" si="12"/>
        <v>100</v>
      </c>
      <c r="T42" s="708" t="s">
        <v>14</v>
      </c>
      <c r="U42" s="709">
        <f t="shared" si="13"/>
        <v>100</v>
      </c>
      <c r="V42" s="708" t="s">
        <v>14</v>
      </c>
      <c r="W42" s="709">
        <f t="shared" si="14"/>
        <v>100</v>
      </c>
      <c r="X42" s="710"/>
      <c r="Y42" s="373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92"/>
      <c r="Q43" s="1352" t="str">
        <f t="shared" si="11"/>
        <v>内部装修</v>
      </c>
      <c r="R43" s="705" t="s">
        <v>14</v>
      </c>
      <c r="S43" s="706">
        <f t="shared" si="12"/>
        <v>100</v>
      </c>
      <c r="T43" s="705" t="s">
        <v>14</v>
      </c>
      <c r="U43" s="706">
        <f t="shared" si="13"/>
        <v>100</v>
      </c>
      <c r="V43" s="705" t="s">
        <v>14</v>
      </c>
      <c r="W43" s="706">
        <f t="shared" si="14"/>
        <v>100</v>
      </c>
      <c r="X43" s="1355"/>
      <c r="Y43" s="373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92"/>
      <c r="Q44" s="1352" t="str">
        <f t="shared" si="11"/>
        <v>内部装修维护情况</v>
      </c>
      <c r="R44" s="705" t="s">
        <v>14</v>
      </c>
      <c r="S44" s="706">
        <f t="shared" si="12"/>
        <v>100</v>
      </c>
      <c r="T44" s="705" t="s">
        <v>14</v>
      </c>
      <c r="U44" s="706">
        <f t="shared" si="13"/>
        <v>100</v>
      </c>
      <c r="V44" s="705" t="s">
        <v>14</v>
      </c>
      <c r="W44" s="706">
        <f t="shared" si="14"/>
        <v>100</v>
      </c>
      <c r="X44" s="1355"/>
      <c r="Y44" s="373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92"/>
      <c r="Q45" s="1343">
        <f t="shared" si="11"/>
        <v>111</v>
      </c>
      <c r="R45" s="701" t="s">
        <v>14</v>
      </c>
      <c r="S45" s="702">
        <f t="shared" si="12"/>
        <v>100</v>
      </c>
      <c r="T45" s="701" t="s">
        <v>14</v>
      </c>
      <c r="U45" s="702">
        <f t="shared" si="13"/>
        <v>100</v>
      </c>
      <c r="V45" s="701" t="s">
        <v>14</v>
      </c>
      <c r="W45" s="702">
        <f t="shared" si="14"/>
        <v>100</v>
      </c>
      <c r="X45" s="703"/>
      <c r="Y45" s="373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92"/>
      <c r="Q46" s="1352">
        <f t="shared" si="11"/>
        <v>111</v>
      </c>
      <c r="R46" s="705" t="s">
        <v>14</v>
      </c>
      <c r="S46" s="706">
        <f t="shared" si="12"/>
        <v>100</v>
      </c>
      <c r="T46" s="705" t="s">
        <v>14</v>
      </c>
      <c r="U46" s="706">
        <f t="shared" si="13"/>
        <v>100</v>
      </c>
      <c r="V46" s="705" t="s">
        <v>14</v>
      </c>
      <c r="W46" s="706">
        <f t="shared" si="14"/>
        <v>100</v>
      </c>
      <c r="X46" s="1355"/>
      <c r="Y46" s="373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93"/>
      <c r="Q47" s="1352">
        <f t="shared" si="11"/>
        <v>111</v>
      </c>
      <c r="R47" s="705" t="s">
        <v>14</v>
      </c>
      <c r="S47" s="706">
        <f t="shared" si="12"/>
        <v>100</v>
      </c>
      <c r="T47" s="705" t="s">
        <v>14</v>
      </c>
      <c r="U47" s="706">
        <f t="shared" si="13"/>
        <v>100</v>
      </c>
      <c r="V47" s="705" t="s">
        <v>14</v>
      </c>
      <c r="W47" s="706">
        <f t="shared" si="14"/>
        <v>100</v>
      </c>
      <c r="X47" s="1355"/>
      <c r="Y47" s="373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96" t="str">
        <f>A48</f>
        <v>成交单价（元/平方米）</v>
      </c>
      <c r="Q48" s="3724"/>
      <c r="R48" s="3725">
        <f>E48</f>
        <v>0</v>
      </c>
      <c r="S48" s="3725"/>
      <c r="T48" s="3725">
        <f>G48</f>
        <v>0</v>
      </c>
      <c r="U48" s="3725"/>
      <c r="V48" s="3725">
        <f>I48</f>
        <v>0</v>
      </c>
      <c r="W48" s="372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96" t="str">
        <f>A49</f>
        <v>比较价值（元/平方米）</v>
      </c>
      <c r="Q49" s="3724"/>
      <c r="R49" s="3725" t="e">
        <f>IF(F1="售价",ROUND(PRODUCT(R48,AA7:AA47),0),ROUND(PRODUCT(R48,AA7:AA47),1))</f>
        <v>#DIV/0!</v>
      </c>
      <c r="S49" s="3725"/>
      <c r="T49" s="3725" t="e">
        <f>IF(F1="售价",ROUND(PRODUCT(T48,AB7:AB47),0),ROUND(PRODUCT(T48,AB7:AB47),1))</f>
        <v>#DIV/0!</v>
      </c>
      <c r="U49" s="3725"/>
      <c r="V49" s="3725" t="e">
        <f>IF(F1="售价",ROUND(PRODUCT(V48,AC7:AC47),0),ROUND(PRODUCT(V48,AC7:AC47),1))</f>
        <v>#DIV/0!</v>
      </c>
      <c r="W49" s="372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99" t="str">
        <f>A50</f>
        <v>估价对象XX用房的比较价值（楼面单价，元/平方米）</v>
      </c>
      <c r="Q50" s="3800"/>
      <c r="R50" s="3801" t="e">
        <f>IF(F1="售价",ROUND(IF(D49="简单平均",AVERAGE(R49:V49),R49*F49+T49*H49+V49*J49),0),ROUND(IF(D49="简单平均",AVERAGE(R49:V49),R49*F49+T49*H49+V49*J49),1))</f>
        <v>#DIV/0!</v>
      </c>
      <c r="S50" s="3801"/>
      <c r="T50" s="3801"/>
      <c r="U50" s="3801"/>
      <c r="V50" s="3801"/>
      <c r="W50" s="380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2025-9</v>
      </c>
      <c r="D59" s="1185">
        <f>EDATE(C59,-1)</f>
        <v>45870</v>
      </c>
      <c r="E59" s="1185">
        <f>EDATE(D59,-1)</f>
        <v>45839</v>
      </c>
      <c r="F59" s="1185">
        <f t="shared" ref="F59:O59" si="16">EDATE(E59,-1)</f>
        <v>45809</v>
      </c>
      <c r="G59" s="1185">
        <f t="shared" si="16"/>
        <v>45778</v>
      </c>
      <c r="H59" s="1185">
        <f t="shared" si="16"/>
        <v>45748</v>
      </c>
      <c r="I59" s="1185">
        <f t="shared" si="16"/>
        <v>45717</v>
      </c>
      <c r="J59" s="1185">
        <f t="shared" si="16"/>
        <v>45689</v>
      </c>
      <c r="K59" s="1185">
        <f t="shared" si="16"/>
        <v>45658</v>
      </c>
      <c r="L59" s="1185">
        <f t="shared" si="16"/>
        <v>45627</v>
      </c>
      <c r="M59" s="1185">
        <f t="shared" si="16"/>
        <v>45597</v>
      </c>
      <c r="N59" s="1185">
        <f t="shared" si="16"/>
        <v>45566</v>
      </c>
      <c r="O59" s="1185">
        <f t="shared" si="16"/>
        <v>45536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37" t="s">
        <v>1770</v>
      </c>
      <c r="D4" s="3738"/>
      <c r="E4" s="3739" t="s">
        <v>1771</v>
      </c>
      <c r="F4" s="3740"/>
      <c r="G4" s="3737" t="s">
        <v>1772</v>
      </c>
      <c r="H4" s="3738"/>
      <c r="I4" s="3737" t="s">
        <v>1773</v>
      </c>
      <c r="J4" s="3738"/>
      <c r="K4" s="559" t="s">
        <v>1774</v>
      </c>
      <c r="L4" s="2715"/>
      <c r="M4" s="2716"/>
      <c r="N4" s="2716"/>
      <c r="O4" s="2716"/>
      <c r="P4" s="3741" t="s">
        <v>1775</v>
      </c>
      <c r="Q4" s="3742"/>
      <c r="R4" s="3747" t="s">
        <v>1771</v>
      </c>
      <c r="S4" s="3748"/>
      <c r="T4" s="3747" t="s">
        <v>1772</v>
      </c>
      <c r="U4" s="3748"/>
      <c r="V4" s="3753" t="s">
        <v>1773</v>
      </c>
      <c r="W4" s="3753"/>
      <c r="X4" s="1355"/>
      <c r="Y4" s="3747" t="s">
        <v>1775</v>
      </c>
      <c r="Z4" s="3748"/>
      <c r="AA4" s="3734" t="s">
        <v>1771</v>
      </c>
      <c r="AB4" s="3735" t="s">
        <v>1772</v>
      </c>
      <c r="AC4" s="3734" t="s">
        <v>1773</v>
      </c>
    </row>
    <row r="5" spans="1:29" ht="15">
      <c r="A5" s="358"/>
      <c r="B5" s="359"/>
      <c r="C5" s="3797" t="s">
        <v>1673</v>
      </c>
      <c r="D5" s="3757"/>
      <c r="E5" s="3798" t="s">
        <v>1674</v>
      </c>
      <c r="F5" s="3764"/>
      <c r="G5" s="3797" t="s">
        <v>1675</v>
      </c>
      <c r="H5" s="3757"/>
      <c r="I5" s="3797" t="s">
        <v>1676</v>
      </c>
      <c r="J5" s="3757"/>
      <c r="K5" s="559"/>
      <c r="L5" s="2715"/>
      <c r="M5" s="2716"/>
      <c r="N5" s="2716"/>
      <c r="O5" s="2716"/>
      <c r="P5" s="3743"/>
      <c r="Q5" s="3744"/>
      <c r="R5" s="3749"/>
      <c r="S5" s="3750"/>
      <c r="T5" s="3749"/>
      <c r="U5" s="3750"/>
      <c r="V5" s="3753"/>
      <c r="W5" s="3753"/>
      <c r="X5" s="1355"/>
      <c r="Y5" s="3749"/>
      <c r="Z5" s="3750"/>
      <c r="AA5" s="3735"/>
      <c r="AB5" s="3735"/>
      <c r="AC5" s="3735"/>
    </row>
    <row r="6" spans="1:29" ht="15.75" thickBot="1">
      <c r="A6" s="360"/>
      <c r="B6" s="361"/>
      <c r="C6" s="3754" t="s">
        <v>1677</v>
      </c>
      <c r="D6" s="3755"/>
      <c r="E6" s="3761" t="s">
        <v>1677</v>
      </c>
      <c r="F6" s="3762"/>
      <c r="G6" s="3754" t="s">
        <v>1677</v>
      </c>
      <c r="H6" s="3755"/>
      <c r="I6" s="3754" t="s">
        <v>1677</v>
      </c>
      <c r="J6" s="3755"/>
      <c r="K6" s="559" t="s">
        <v>1678</v>
      </c>
      <c r="L6" s="2715"/>
      <c r="M6" s="2716"/>
      <c r="N6" s="2716"/>
      <c r="O6" s="2716"/>
      <c r="P6" s="3745"/>
      <c r="Q6" s="3746"/>
      <c r="R6" s="3749"/>
      <c r="S6" s="3750"/>
      <c r="T6" s="3751"/>
      <c r="U6" s="3752"/>
      <c r="V6" s="3753"/>
      <c r="W6" s="3753"/>
      <c r="X6" s="1355"/>
      <c r="Y6" s="3751"/>
      <c r="Z6" s="3752"/>
      <c r="AA6" s="3736"/>
      <c r="AB6" s="3736"/>
      <c r="AC6" s="3736"/>
    </row>
    <row r="7" spans="1:29" s="108" customFormat="1" ht="15.75" thickBot="1">
      <c r="A7" s="362" t="s">
        <v>1679</v>
      </c>
      <c r="B7" s="363"/>
      <c r="C7" s="364">
        <f>'数据-取费表'!B2</f>
        <v>45924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58" t="s">
        <v>1680</v>
      </c>
      <c r="Q7" s="3760"/>
      <c r="R7" s="701" t="s">
        <v>14</v>
      </c>
      <c r="S7" s="702">
        <f t="shared" ref="S7:S14" si="0">F7</f>
        <v>0</v>
      </c>
      <c r="T7" s="701" t="s">
        <v>14</v>
      </c>
      <c r="U7" s="702">
        <f t="shared" ref="U7:U14" si="1">H7</f>
        <v>0</v>
      </c>
      <c r="V7" s="701" t="s">
        <v>14</v>
      </c>
      <c r="W7" s="702">
        <f t="shared" ref="W7:W14" si="2">J7</f>
        <v>0</v>
      </c>
      <c r="X7" s="703"/>
      <c r="Y7" s="3758" t="s">
        <v>1680</v>
      </c>
      <c r="Z7" s="375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58" t="s">
        <v>1683</v>
      </c>
      <c r="Q8" s="3759"/>
      <c r="R8" s="701" t="s">
        <v>14</v>
      </c>
      <c r="S8" s="702">
        <f t="shared" si="0"/>
        <v>100</v>
      </c>
      <c r="T8" s="701" t="s">
        <v>14</v>
      </c>
      <c r="U8" s="702">
        <f t="shared" si="1"/>
        <v>100</v>
      </c>
      <c r="V8" s="701" t="s">
        <v>14</v>
      </c>
      <c r="W8" s="702">
        <f t="shared" si="2"/>
        <v>100</v>
      </c>
      <c r="X8" s="703"/>
      <c r="Y8" s="3758" t="s">
        <v>1683</v>
      </c>
      <c r="Z8" s="375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4" t="s">
        <v>1686</v>
      </c>
      <c r="Q9" s="1343"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4"/>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4"/>
      <c r="Q11" s="1343">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4"/>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4"/>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0"/>
      <c r="Q15" s="1352"/>
      <c r="R15" s="705"/>
      <c r="S15" s="706"/>
      <c r="T15" s="705"/>
      <c r="U15" s="706"/>
      <c r="V15" s="705"/>
      <c r="W15" s="706"/>
      <c r="X15" s="1355"/>
      <c r="Y15" s="373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0"/>
      <c r="Q17" s="1352"/>
      <c r="R17" s="705"/>
      <c r="S17" s="706"/>
      <c r="T17" s="705"/>
      <c r="U17" s="706"/>
      <c r="V17" s="705"/>
      <c r="W17" s="706"/>
      <c r="X17" s="1355"/>
      <c r="Y17" s="373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0"/>
      <c r="Q19" s="1352"/>
      <c r="R19" s="705"/>
      <c r="S19" s="706"/>
      <c r="T19" s="705"/>
      <c r="U19" s="706"/>
      <c r="V19" s="705"/>
      <c r="W19" s="706"/>
      <c r="X19" s="1355"/>
      <c r="Y19" s="373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0"/>
      <c r="Q21" s="1352"/>
      <c r="R21" s="705"/>
      <c r="S21" s="706"/>
      <c r="T21" s="705"/>
      <c r="U21" s="706"/>
      <c r="V21" s="705"/>
      <c r="W21" s="706"/>
      <c r="X21" s="1355"/>
      <c r="Y21" s="373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0"/>
      <c r="Q24" s="1352">
        <f t="shared" ref="Q24:Q36"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2"/>
      <c r="Q27" s="707" t="str">
        <f t="shared" si="11"/>
        <v>项目停车位配比</v>
      </c>
      <c r="R27" s="708" t="s">
        <v>14</v>
      </c>
      <c r="S27" s="709">
        <f t="shared" si="12"/>
        <v>100</v>
      </c>
      <c r="T27" s="708" t="s">
        <v>14</v>
      </c>
      <c r="U27" s="709">
        <f t="shared" si="13"/>
        <v>100</v>
      </c>
      <c r="V27" s="708" t="s">
        <v>14</v>
      </c>
      <c r="W27" s="709">
        <f t="shared" si="14"/>
        <v>100</v>
      </c>
      <c r="X27" s="710"/>
      <c r="Y27" s="373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2"/>
      <c r="Q28" s="1352" t="str">
        <f t="shared" si="11"/>
        <v>公共部分装修</v>
      </c>
      <c r="R28" s="705" t="s">
        <v>14</v>
      </c>
      <c r="S28" s="706">
        <f t="shared" si="12"/>
        <v>100</v>
      </c>
      <c r="T28" s="705" t="s">
        <v>14</v>
      </c>
      <c r="U28" s="706">
        <f t="shared" si="13"/>
        <v>100</v>
      </c>
      <c r="V28" s="705" t="s">
        <v>14</v>
      </c>
      <c r="W28" s="706">
        <f t="shared" si="14"/>
        <v>100</v>
      </c>
      <c r="X28" s="1355"/>
      <c r="Y28" s="373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2"/>
      <c r="Q29" s="1352" t="str">
        <f t="shared" si="11"/>
        <v>成新率</v>
      </c>
      <c r="R29" s="705" t="s">
        <v>14</v>
      </c>
      <c r="S29" s="706" t="e">
        <f t="shared" si="12"/>
        <v>#N/A</v>
      </c>
      <c r="T29" s="705" t="s">
        <v>14</v>
      </c>
      <c r="U29" s="706" t="e">
        <f t="shared" si="13"/>
        <v>#N/A</v>
      </c>
      <c r="V29" s="705" t="s">
        <v>14</v>
      </c>
      <c r="W29" s="706" t="e">
        <f t="shared" si="14"/>
        <v>#N/A</v>
      </c>
      <c r="X29" s="1355"/>
      <c r="Y29" s="373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2"/>
      <c r="Q30" s="1352" t="str">
        <f t="shared" si="11"/>
        <v>物业等级</v>
      </c>
      <c r="R30" s="705" t="s">
        <v>14</v>
      </c>
      <c r="S30" s="706">
        <f t="shared" si="12"/>
        <v>100</v>
      </c>
      <c r="T30" s="705" t="s">
        <v>14</v>
      </c>
      <c r="U30" s="706">
        <f t="shared" si="13"/>
        <v>100</v>
      </c>
      <c r="V30" s="705" t="s">
        <v>14</v>
      </c>
      <c r="W30" s="706">
        <f t="shared" si="14"/>
        <v>100</v>
      </c>
      <c r="X30" s="1355"/>
      <c r="Y30" s="373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2"/>
      <c r="Q31" s="1343" t="str">
        <f t="shared" si="11"/>
        <v>停车位面积</v>
      </c>
      <c r="R31" s="701" t="s">
        <v>14</v>
      </c>
      <c r="S31" s="702" t="e">
        <f t="shared" si="12"/>
        <v>#N/A</v>
      </c>
      <c r="T31" s="701" t="s">
        <v>14</v>
      </c>
      <c r="U31" s="702" t="e">
        <f t="shared" si="13"/>
        <v>#N/A</v>
      </c>
      <c r="V31" s="701" t="s">
        <v>14</v>
      </c>
      <c r="W31" s="702" t="e">
        <f t="shared" si="14"/>
        <v>#N/A</v>
      </c>
      <c r="X31" s="703"/>
      <c r="Y31" s="373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2" t="s">
        <v>1696</v>
      </c>
      <c r="Q32" s="1352" t="str">
        <f t="shared" si="11"/>
        <v>车位类型</v>
      </c>
      <c r="R32" s="705" t="s">
        <v>14</v>
      </c>
      <c r="S32" s="706">
        <f t="shared" si="12"/>
        <v>100</v>
      </c>
      <c r="T32" s="705" t="s">
        <v>14</v>
      </c>
      <c r="U32" s="706">
        <f t="shared" si="13"/>
        <v>100</v>
      </c>
      <c r="V32" s="705" t="s">
        <v>14</v>
      </c>
      <c r="W32" s="706">
        <f t="shared" si="14"/>
        <v>100</v>
      </c>
      <c r="X32" s="1355"/>
      <c r="Y32" s="373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2"/>
      <c r="Q33" s="1352" t="str">
        <f t="shared" si="11"/>
        <v>是否直接入户</v>
      </c>
      <c r="R33" s="705" t="s">
        <v>14</v>
      </c>
      <c r="S33" s="706">
        <f t="shared" si="12"/>
        <v>100</v>
      </c>
      <c r="T33" s="705" t="s">
        <v>14</v>
      </c>
      <c r="U33" s="706">
        <f t="shared" si="13"/>
        <v>100</v>
      </c>
      <c r="V33" s="705" t="s">
        <v>14</v>
      </c>
      <c r="W33" s="706">
        <f t="shared" si="14"/>
        <v>100</v>
      </c>
      <c r="X33" s="1355"/>
      <c r="Y33" s="373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2"/>
      <c r="Q34" s="1352">
        <f t="shared" si="11"/>
        <v>111</v>
      </c>
      <c r="R34" s="705" t="s">
        <v>14</v>
      </c>
      <c r="S34" s="706">
        <f t="shared" si="12"/>
        <v>100</v>
      </c>
      <c r="T34" s="705" t="s">
        <v>14</v>
      </c>
      <c r="U34" s="706">
        <f t="shared" si="13"/>
        <v>100</v>
      </c>
      <c r="V34" s="705" t="s">
        <v>14</v>
      </c>
      <c r="W34" s="706">
        <f t="shared" si="14"/>
        <v>100</v>
      </c>
      <c r="X34" s="1355"/>
      <c r="Y34" s="373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2"/>
      <c r="Q35" s="707">
        <f t="shared" si="11"/>
        <v>111</v>
      </c>
      <c r="R35" s="708" t="s">
        <v>14</v>
      </c>
      <c r="S35" s="709">
        <f t="shared" si="12"/>
        <v>100</v>
      </c>
      <c r="T35" s="708" t="s">
        <v>14</v>
      </c>
      <c r="U35" s="709">
        <f t="shared" si="13"/>
        <v>100</v>
      </c>
      <c r="V35" s="708" t="s">
        <v>14</v>
      </c>
      <c r="W35" s="709">
        <f t="shared" si="14"/>
        <v>100</v>
      </c>
      <c r="X35" s="710"/>
      <c r="Y35" s="373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2"/>
      <c r="Q36" s="1352">
        <f t="shared" si="11"/>
        <v>111</v>
      </c>
      <c r="R36" s="705" t="s">
        <v>14</v>
      </c>
      <c r="S36" s="706">
        <f t="shared" si="12"/>
        <v>100</v>
      </c>
      <c r="T36" s="705" t="s">
        <v>14</v>
      </c>
      <c r="U36" s="706">
        <f t="shared" si="13"/>
        <v>100</v>
      </c>
      <c r="V36" s="705" t="s">
        <v>14</v>
      </c>
      <c r="W36" s="706">
        <f t="shared" si="14"/>
        <v>100</v>
      </c>
      <c r="X36" s="1355"/>
      <c r="Y36" s="3732"/>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724" t="str">
        <f>A37</f>
        <v>成交单价</v>
      </c>
      <c r="Q37" s="3724"/>
      <c r="R37" s="3725">
        <f>E37</f>
        <v>0</v>
      </c>
      <c r="S37" s="3725"/>
      <c r="T37" s="3725">
        <f>G37</f>
        <v>0</v>
      </c>
      <c r="U37" s="3725"/>
      <c r="V37" s="3725">
        <f>I37</f>
        <v>0</v>
      </c>
      <c r="W37" s="372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4" t="str">
        <f>A38</f>
        <v>比较价值（元/平方米）</v>
      </c>
      <c r="Q38" s="3724"/>
      <c r="R38" s="3725" t="e">
        <f>IF(F1="售价",ROUND(PRODUCT(R37,AA7:AA36),0),ROUND(PRODUCT(R37,AA7:AA36),1))</f>
        <v>#DIV/0!</v>
      </c>
      <c r="S38" s="3725"/>
      <c r="T38" s="3725" t="e">
        <f>IF(F1="售价",ROUND(PRODUCT(T37,AB7:AB36),0),ROUND(PRODUCT(T37,AB7:AB36),1))</f>
        <v>#DIV/0!</v>
      </c>
      <c r="U38" s="3725"/>
      <c r="V38" s="3725" t="e">
        <f>IF(F1="售价",ROUND(PRODUCT(V37,AC7:AC36),0),ROUND(PRODUCT(V37,AC7:AC36),1))</f>
        <v>#DIV/0!</v>
      </c>
      <c r="W38" s="372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6" t="str">
        <f>A39</f>
        <v>估价对象XX用房的比较价值（楼面单价，元/平方米）</v>
      </c>
      <c r="Q39" s="3727"/>
      <c r="R39" s="3814" t="e">
        <f>IF(F1="售价",ROUND(IF(D38="简单平均",AVERAGE(R38:W38),R38*F38+T38*H38+V38*J38),0),ROUND(IF(D38="简单平均",AVERAGE(R38:V38),R38*F38+T38*H38+V38*J38),1))</f>
        <v>#DIV/0!</v>
      </c>
      <c r="S39" s="3814"/>
      <c r="T39" s="3814"/>
      <c r="U39" s="3814"/>
      <c r="V39" s="3814"/>
      <c r="W39" s="381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2025-9</v>
      </c>
      <c r="D48" s="1185">
        <f>EDATE(C48,-1)</f>
        <v>45870</v>
      </c>
      <c r="E48" s="1185">
        <f t="shared" ref="E48:O48" si="16">EDATE(D48,-1)</f>
        <v>45839</v>
      </c>
      <c r="F48" s="1185">
        <f t="shared" si="16"/>
        <v>45809</v>
      </c>
      <c r="G48" s="1185">
        <f t="shared" si="16"/>
        <v>45778</v>
      </c>
      <c r="H48" s="1185">
        <f t="shared" si="16"/>
        <v>45748</v>
      </c>
      <c r="I48" s="1185">
        <f t="shared" si="16"/>
        <v>45717</v>
      </c>
      <c r="J48" s="1185">
        <f t="shared" si="16"/>
        <v>45689</v>
      </c>
      <c r="K48" s="1185">
        <f t="shared" si="16"/>
        <v>45658</v>
      </c>
      <c r="L48" s="1185">
        <f t="shared" si="16"/>
        <v>45627</v>
      </c>
      <c r="M48" s="1185">
        <f t="shared" si="16"/>
        <v>45597</v>
      </c>
      <c r="N48" s="1185">
        <f t="shared" si="16"/>
        <v>45566</v>
      </c>
      <c r="O48" s="1185">
        <f t="shared" si="16"/>
        <v>45536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37" t="s">
        <v>1770</v>
      </c>
      <c r="D4" s="3738"/>
      <c r="E4" s="3739" t="s">
        <v>1771</v>
      </c>
      <c r="F4" s="3740"/>
      <c r="G4" s="3737" t="s">
        <v>1772</v>
      </c>
      <c r="H4" s="3738"/>
      <c r="I4" s="3737" t="s">
        <v>1773</v>
      </c>
      <c r="J4" s="3738"/>
      <c r="K4" s="559" t="s">
        <v>1774</v>
      </c>
      <c r="L4" s="2715"/>
      <c r="M4" s="2716"/>
      <c r="N4" s="2716"/>
      <c r="O4" s="2716"/>
      <c r="P4" s="3741" t="s">
        <v>1775</v>
      </c>
      <c r="Q4" s="3742"/>
      <c r="R4" s="3747" t="s">
        <v>1771</v>
      </c>
      <c r="S4" s="3748"/>
      <c r="T4" s="3747" t="s">
        <v>1772</v>
      </c>
      <c r="U4" s="3748"/>
      <c r="V4" s="3753" t="s">
        <v>1773</v>
      </c>
      <c r="W4" s="3753"/>
      <c r="X4" s="1355"/>
      <c r="Y4" s="3747" t="s">
        <v>1775</v>
      </c>
      <c r="Z4" s="3748"/>
      <c r="AA4" s="3734" t="s">
        <v>1771</v>
      </c>
      <c r="AB4" s="3735" t="s">
        <v>1772</v>
      </c>
      <c r="AC4" s="3734" t="s">
        <v>1773</v>
      </c>
    </row>
    <row r="5" spans="1:29" ht="15">
      <c r="A5" s="358"/>
      <c r="B5" s="359"/>
      <c r="C5" s="3797" t="s">
        <v>1673</v>
      </c>
      <c r="D5" s="3757"/>
      <c r="E5" s="3798" t="s">
        <v>1674</v>
      </c>
      <c r="F5" s="3764"/>
      <c r="G5" s="3797" t="s">
        <v>1675</v>
      </c>
      <c r="H5" s="3757"/>
      <c r="I5" s="3797" t="s">
        <v>1676</v>
      </c>
      <c r="J5" s="3757"/>
      <c r="K5" s="559"/>
      <c r="L5" s="2715"/>
      <c r="M5" s="2716"/>
      <c r="N5" s="2716"/>
      <c r="O5" s="2716"/>
      <c r="P5" s="3743"/>
      <c r="Q5" s="3744"/>
      <c r="R5" s="3749"/>
      <c r="S5" s="3750"/>
      <c r="T5" s="3749"/>
      <c r="U5" s="3750"/>
      <c r="V5" s="3753"/>
      <c r="W5" s="3753"/>
      <c r="X5" s="1355"/>
      <c r="Y5" s="3749"/>
      <c r="Z5" s="3750"/>
      <c r="AA5" s="3735"/>
      <c r="AB5" s="3735"/>
      <c r="AC5" s="3735"/>
    </row>
    <row r="6" spans="1:29" ht="15.75" thickBot="1">
      <c r="A6" s="360"/>
      <c r="B6" s="361"/>
      <c r="C6" s="3754" t="s">
        <v>1677</v>
      </c>
      <c r="D6" s="3755"/>
      <c r="E6" s="3761" t="s">
        <v>1677</v>
      </c>
      <c r="F6" s="3762"/>
      <c r="G6" s="3754" t="s">
        <v>1677</v>
      </c>
      <c r="H6" s="3755"/>
      <c r="I6" s="3754" t="s">
        <v>1677</v>
      </c>
      <c r="J6" s="3755"/>
      <c r="K6" s="559" t="s">
        <v>1678</v>
      </c>
      <c r="L6" s="2715"/>
      <c r="M6" s="2716"/>
      <c r="N6" s="2716"/>
      <c r="O6" s="2716"/>
      <c r="P6" s="3745"/>
      <c r="Q6" s="3746"/>
      <c r="R6" s="3749"/>
      <c r="S6" s="3750"/>
      <c r="T6" s="3751"/>
      <c r="U6" s="3752"/>
      <c r="V6" s="3753"/>
      <c r="W6" s="3753"/>
      <c r="X6" s="1355"/>
      <c r="Y6" s="3751"/>
      <c r="Z6" s="3752"/>
      <c r="AA6" s="3736"/>
      <c r="AB6" s="3736"/>
      <c r="AC6" s="3736"/>
    </row>
    <row r="7" spans="1:29" s="108" customFormat="1" ht="15.75" thickBot="1">
      <c r="A7" s="362" t="s">
        <v>1679</v>
      </c>
      <c r="B7" s="363"/>
      <c r="C7" s="364">
        <f>'数据-取费表'!B2</f>
        <v>45924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58" t="s">
        <v>1680</v>
      </c>
      <c r="Q7" s="3760"/>
      <c r="R7" s="701" t="s">
        <v>14</v>
      </c>
      <c r="S7" s="702">
        <f t="shared" ref="S7:S14" si="0">F7</f>
        <v>0</v>
      </c>
      <c r="T7" s="701" t="s">
        <v>14</v>
      </c>
      <c r="U7" s="702">
        <f t="shared" ref="U7:U14" si="1">H7</f>
        <v>0</v>
      </c>
      <c r="V7" s="701" t="s">
        <v>14</v>
      </c>
      <c r="W7" s="702">
        <f t="shared" ref="W7:W14" si="2">J7</f>
        <v>0</v>
      </c>
      <c r="X7" s="703"/>
      <c r="Y7" s="3758" t="s">
        <v>1680</v>
      </c>
      <c r="Z7" s="375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58" t="s">
        <v>1683</v>
      </c>
      <c r="Q8" s="3759"/>
      <c r="R8" s="701" t="s">
        <v>14</v>
      </c>
      <c r="S8" s="702">
        <f t="shared" si="0"/>
        <v>100</v>
      </c>
      <c r="T8" s="701" t="s">
        <v>14</v>
      </c>
      <c r="U8" s="702">
        <f t="shared" si="1"/>
        <v>100</v>
      </c>
      <c r="V8" s="701" t="s">
        <v>14</v>
      </c>
      <c r="W8" s="702">
        <f t="shared" si="2"/>
        <v>100</v>
      </c>
      <c r="X8" s="703"/>
      <c r="Y8" s="3758" t="s">
        <v>1683</v>
      </c>
      <c r="Z8" s="375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4" t="s">
        <v>1686</v>
      </c>
      <c r="Q9" s="1343"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4"/>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4"/>
      <c r="Q11" s="1343">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4"/>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4"/>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0"/>
      <c r="Q15" s="1352"/>
      <c r="R15" s="705"/>
      <c r="S15" s="706"/>
      <c r="T15" s="705"/>
      <c r="U15" s="706"/>
      <c r="V15" s="705"/>
      <c r="W15" s="706"/>
      <c r="X15" s="1355"/>
      <c r="Y15" s="373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0"/>
      <c r="Q17" s="1352"/>
      <c r="R17" s="705"/>
      <c r="S17" s="706"/>
      <c r="T17" s="705"/>
      <c r="U17" s="706"/>
      <c r="V17" s="705"/>
      <c r="W17" s="706"/>
      <c r="X17" s="1355"/>
      <c r="Y17" s="373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0"/>
      <c r="Q19" s="1352"/>
      <c r="R19" s="705"/>
      <c r="S19" s="706"/>
      <c r="T19" s="705"/>
      <c r="U19" s="706"/>
      <c r="V19" s="705"/>
      <c r="W19" s="706"/>
      <c r="X19" s="1355"/>
      <c r="Y19" s="373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0"/>
      <c r="Q21" s="1352"/>
      <c r="R21" s="705"/>
      <c r="S21" s="706"/>
      <c r="T21" s="705"/>
      <c r="U21" s="706"/>
      <c r="V21" s="705"/>
      <c r="W21" s="706"/>
      <c r="X21" s="1355"/>
      <c r="Y21" s="373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0"/>
      <c r="Q24" s="1352">
        <f t="shared" ref="Q24:Q34"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2"/>
      <c r="Q27" s="707" t="str">
        <f t="shared" si="11"/>
        <v>成新率</v>
      </c>
      <c r="R27" s="708" t="s">
        <v>14</v>
      </c>
      <c r="S27" s="709" t="e">
        <f t="shared" si="12"/>
        <v>#N/A</v>
      </c>
      <c r="T27" s="708" t="s">
        <v>14</v>
      </c>
      <c r="U27" s="709" t="e">
        <f t="shared" si="13"/>
        <v>#N/A</v>
      </c>
      <c r="V27" s="708" t="s">
        <v>14</v>
      </c>
      <c r="W27" s="709" t="e">
        <f t="shared" si="14"/>
        <v>#N/A</v>
      </c>
      <c r="X27" s="710"/>
      <c r="Y27" s="373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2"/>
      <c r="Q28" s="1352" t="str">
        <f t="shared" si="11"/>
        <v>物业等级</v>
      </c>
      <c r="R28" s="705" t="s">
        <v>14</v>
      </c>
      <c r="S28" s="706">
        <f t="shared" si="12"/>
        <v>100</v>
      </c>
      <c r="T28" s="705" t="s">
        <v>14</v>
      </c>
      <c r="U28" s="706">
        <f t="shared" si="13"/>
        <v>100</v>
      </c>
      <c r="V28" s="705" t="s">
        <v>14</v>
      </c>
      <c r="W28" s="706">
        <f t="shared" si="14"/>
        <v>100</v>
      </c>
      <c r="X28" s="1355"/>
      <c r="Y28" s="373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2"/>
      <c r="Q29" s="1352" t="str">
        <f t="shared" si="11"/>
        <v>有无电梯</v>
      </c>
      <c r="R29" s="705" t="s">
        <v>14</v>
      </c>
      <c r="S29" s="706">
        <f t="shared" si="12"/>
        <v>100</v>
      </c>
      <c r="T29" s="705" t="s">
        <v>14</v>
      </c>
      <c r="U29" s="706">
        <f t="shared" si="13"/>
        <v>100</v>
      </c>
      <c r="V29" s="705" t="s">
        <v>14</v>
      </c>
      <c r="W29" s="706">
        <f t="shared" si="14"/>
        <v>100</v>
      </c>
      <c r="X29" s="1355"/>
      <c r="Y29" s="373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2"/>
      <c r="Q30" s="1352" t="str">
        <f t="shared" si="11"/>
        <v>建筑面积</v>
      </c>
      <c r="R30" s="705" t="s">
        <v>14</v>
      </c>
      <c r="S30" s="706" t="e">
        <f t="shared" si="12"/>
        <v>#N/A</v>
      </c>
      <c r="T30" s="705" t="s">
        <v>14</v>
      </c>
      <c r="U30" s="706" t="e">
        <f t="shared" si="13"/>
        <v>#N/A</v>
      </c>
      <c r="V30" s="705" t="s">
        <v>14</v>
      </c>
      <c r="W30" s="706" t="e">
        <f t="shared" si="14"/>
        <v>#N/A</v>
      </c>
      <c r="X30" s="1355"/>
      <c r="Y30" s="373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2"/>
      <c r="Q31" s="1343" t="str">
        <f t="shared" si="11"/>
        <v>是否封闭</v>
      </c>
      <c r="R31" s="701" t="s">
        <v>14</v>
      </c>
      <c r="S31" s="702">
        <f t="shared" si="12"/>
        <v>100</v>
      </c>
      <c r="T31" s="701" t="s">
        <v>14</v>
      </c>
      <c r="U31" s="702">
        <f t="shared" si="13"/>
        <v>100</v>
      </c>
      <c r="V31" s="701" t="s">
        <v>14</v>
      </c>
      <c r="W31" s="702">
        <f t="shared" si="14"/>
        <v>100</v>
      </c>
      <c r="X31" s="703"/>
      <c r="Y31" s="373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2" t="s">
        <v>1696</v>
      </c>
      <c r="Q32" s="1352">
        <f t="shared" si="11"/>
        <v>111</v>
      </c>
      <c r="R32" s="705" t="s">
        <v>14</v>
      </c>
      <c r="S32" s="706">
        <f t="shared" si="12"/>
        <v>100</v>
      </c>
      <c r="T32" s="705" t="s">
        <v>14</v>
      </c>
      <c r="U32" s="706">
        <f t="shared" si="13"/>
        <v>100</v>
      </c>
      <c r="V32" s="705" t="s">
        <v>14</v>
      </c>
      <c r="W32" s="706">
        <f t="shared" si="14"/>
        <v>100</v>
      </c>
      <c r="X32" s="1355"/>
      <c r="Y32" s="373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2"/>
      <c r="Q33" s="1352">
        <f t="shared" si="11"/>
        <v>111</v>
      </c>
      <c r="R33" s="705" t="s">
        <v>14</v>
      </c>
      <c r="S33" s="706">
        <f t="shared" si="12"/>
        <v>100</v>
      </c>
      <c r="T33" s="705" t="s">
        <v>14</v>
      </c>
      <c r="U33" s="706">
        <f t="shared" si="13"/>
        <v>100</v>
      </c>
      <c r="V33" s="705" t="s">
        <v>14</v>
      </c>
      <c r="W33" s="706">
        <f t="shared" si="14"/>
        <v>100</v>
      </c>
      <c r="X33" s="1355"/>
      <c r="Y33" s="373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2"/>
      <c r="Q34" s="1352">
        <f t="shared" si="11"/>
        <v>111</v>
      </c>
      <c r="R34" s="705" t="s">
        <v>14</v>
      </c>
      <c r="S34" s="706">
        <f t="shared" si="12"/>
        <v>100</v>
      </c>
      <c r="T34" s="705" t="s">
        <v>14</v>
      </c>
      <c r="U34" s="706">
        <f t="shared" si="13"/>
        <v>100</v>
      </c>
      <c r="V34" s="705" t="s">
        <v>14</v>
      </c>
      <c r="W34" s="706">
        <f t="shared" si="14"/>
        <v>100</v>
      </c>
      <c r="X34" s="1355"/>
      <c r="Y34" s="373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4" t="str">
        <f>A35</f>
        <v>成交单价（元/平方米）</v>
      </c>
      <c r="Q35" s="3724"/>
      <c r="R35" s="3725">
        <f>E35</f>
        <v>0</v>
      </c>
      <c r="S35" s="3725"/>
      <c r="T35" s="3725">
        <f>G35</f>
        <v>0</v>
      </c>
      <c r="U35" s="3725"/>
      <c r="V35" s="3725">
        <f>I35</f>
        <v>0</v>
      </c>
      <c r="W35" s="372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4" t="str">
        <f>A36</f>
        <v>比较价值（元/平方米）</v>
      </c>
      <c r="Q36" s="3724"/>
      <c r="R36" s="3725" t="e">
        <f>IF(F1="售价",ROUND(PRODUCT(R35,AA7:AA34),0),ROUND(PRODUCT(R35,AA7:AA34),1))</f>
        <v>#DIV/0!</v>
      </c>
      <c r="S36" s="3725"/>
      <c r="T36" s="3725" t="e">
        <f>IF(F1="售价",ROUND(PRODUCT(T35,AB7:AB34),0),ROUND(PRODUCT(T35,AB7:AB34),1))</f>
        <v>#DIV/0!</v>
      </c>
      <c r="U36" s="3725"/>
      <c r="V36" s="3725" t="e">
        <f>IF(F1="售价",ROUND(PRODUCT(V35,AC7:AC34),0),ROUND(PRODUCT(V35,AC7:AC34),1))</f>
        <v>#DIV/0!</v>
      </c>
      <c r="W36" s="372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6" t="str">
        <f>A37</f>
        <v>估价对象XX用房的比较价值（楼面单价，元/平方米）</v>
      </c>
      <c r="Q37" s="3727"/>
      <c r="R37" s="3814" t="e">
        <f>IF(F1="售价",ROUND(IF(D36="简单平均",AVERAGE(R36:W36),R36*F36+T36*H36+V36*J36),0),ROUND(IF(D36="简单平均",AVERAGE(R36:V36),R36*F36+T36*H36+V36*J36),1))</f>
        <v>#DIV/0!</v>
      </c>
      <c r="S37" s="3814"/>
      <c r="T37" s="3814"/>
      <c r="U37" s="3814"/>
      <c r="V37" s="3814"/>
      <c r="W37" s="381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2025-9</v>
      </c>
      <c r="D46" s="1185">
        <f>EDATE(C46,-1)</f>
        <v>45870</v>
      </c>
      <c r="E46" s="1185">
        <f t="shared" ref="E46:O46" si="16">EDATE(D46,-1)</f>
        <v>45839</v>
      </c>
      <c r="F46" s="1185">
        <f t="shared" si="16"/>
        <v>45809</v>
      </c>
      <c r="G46" s="1185">
        <f t="shared" si="16"/>
        <v>45778</v>
      </c>
      <c r="H46" s="1185">
        <f t="shared" si="16"/>
        <v>45748</v>
      </c>
      <c r="I46" s="1185">
        <f t="shared" si="16"/>
        <v>45717</v>
      </c>
      <c r="J46" s="1185">
        <f t="shared" si="16"/>
        <v>45689</v>
      </c>
      <c r="K46" s="1185">
        <f t="shared" si="16"/>
        <v>45658</v>
      </c>
      <c r="L46" s="1185">
        <f t="shared" si="16"/>
        <v>45627</v>
      </c>
      <c r="M46" s="1185">
        <f t="shared" si="16"/>
        <v>45597</v>
      </c>
      <c r="N46" s="1185">
        <f t="shared" si="16"/>
        <v>45566</v>
      </c>
      <c r="O46" s="1185">
        <f t="shared" si="16"/>
        <v>45536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37" t="s">
        <v>1770</v>
      </c>
      <c r="D4" s="3738"/>
      <c r="E4" s="3739" t="s">
        <v>1771</v>
      </c>
      <c r="F4" s="3740"/>
      <c r="G4" s="3737" t="s">
        <v>1772</v>
      </c>
      <c r="H4" s="3738"/>
      <c r="I4" s="3737" t="s">
        <v>1773</v>
      </c>
      <c r="J4" s="3738"/>
      <c r="K4" s="559" t="s">
        <v>1774</v>
      </c>
      <c r="L4" s="2715"/>
      <c r="M4" s="2716"/>
      <c r="N4" s="2716"/>
      <c r="O4" s="2716"/>
      <c r="P4" s="3741" t="s">
        <v>1775</v>
      </c>
      <c r="Q4" s="3742"/>
      <c r="R4" s="3747" t="s">
        <v>1771</v>
      </c>
      <c r="S4" s="3748"/>
      <c r="T4" s="3747" t="s">
        <v>1772</v>
      </c>
      <c r="U4" s="3748"/>
      <c r="V4" s="3753" t="s">
        <v>1773</v>
      </c>
      <c r="W4" s="3753"/>
      <c r="X4" s="1355"/>
      <c r="Y4" s="3747" t="s">
        <v>1775</v>
      </c>
      <c r="Z4" s="3748"/>
      <c r="AA4" s="3734" t="s">
        <v>1771</v>
      </c>
      <c r="AB4" s="3735" t="s">
        <v>1772</v>
      </c>
      <c r="AC4" s="3734" t="s">
        <v>1773</v>
      </c>
    </row>
    <row r="5" spans="1:30" ht="15">
      <c r="A5" s="358"/>
      <c r="B5" s="359"/>
      <c r="C5" s="3797" t="s">
        <v>1673</v>
      </c>
      <c r="D5" s="3757"/>
      <c r="E5" s="3798" t="s">
        <v>1674</v>
      </c>
      <c r="F5" s="3764"/>
      <c r="G5" s="3797" t="s">
        <v>1675</v>
      </c>
      <c r="H5" s="3757"/>
      <c r="I5" s="3797" t="s">
        <v>1676</v>
      </c>
      <c r="J5" s="3757"/>
      <c r="K5" s="559"/>
      <c r="L5" s="2715"/>
      <c r="M5" s="2716"/>
      <c r="N5" s="2716"/>
      <c r="O5" s="2716"/>
      <c r="P5" s="3743"/>
      <c r="Q5" s="3744"/>
      <c r="R5" s="3749"/>
      <c r="S5" s="3750"/>
      <c r="T5" s="3749"/>
      <c r="U5" s="3750"/>
      <c r="V5" s="3753"/>
      <c r="W5" s="3753"/>
      <c r="X5" s="1355"/>
      <c r="Y5" s="3749"/>
      <c r="Z5" s="3750"/>
      <c r="AA5" s="3735"/>
      <c r="AB5" s="3735"/>
      <c r="AC5" s="3735"/>
    </row>
    <row r="6" spans="1:30" ht="15.75" thickBot="1">
      <c r="A6" s="360"/>
      <c r="B6" s="361"/>
      <c r="C6" s="3754" t="s">
        <v>1677</v>
      </c>
      <c r="D6" s="3755"/>
      <c r="E6" s="3761" t="s">
        <v>1677</v>
      </c>
      <c r="F6" s="3762"/>
      <c r="G6" s="3754" t="s">
        <v>1677</v>
      </c>
      <c r="H6" s="3755"/>
      <c r="I6" s="3754" t="s">
        <v>1677</v>
      </c>
      <c r="J6" s="3755"/>
      <c r="K6" s="559" t="s">
        <v>1678</v>
      </c>
      <c r="L6" s="2715"/>
      <c r="M6" s="2716"/>
      <c r="N6" s="2716"/>
      <c r="O6" s="2716"/>
      <c r="P6" s="3745"/>
      <c r="Q6" s="3746"/>
      <c r="R6" s="3749"/>
      <c r="S6" s="3750"/>
      <c r="T6" s="3751"/>
      <c r="U6" s="3752"/>
      <c r="V6" s="3753"/>
      <c r="W6" s="3753"/>
      <c r="X6" s="1355"/>
      <c r="Y6" s="3751"/>
      <c r="Z6" s="3752"/>
      <c r="AA6" s="3736"/>
      <c r="AB6" s="3736"/>
      <c r="AC6" s="3736"/>
    </row>
    <row r="7" spans="1:30" s="108" customFormat="1" ht="15.75" thickBot="1">
      <c r="A7" s="362" t="s">
        <v>1679</v>
      </c>
      <c r="B7" s="363"/>
      <c r="C7" s="364">
        <f>'数据-取费表'!B2</f>
        <v>45924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58" t="s">
        <v>1680</v>
      </c>
      <c r="Q7" s="3760"/>
      <c r="R7" s="701" t="s">
        <v>14</v>
      </c>
      <c r="S7" s="702">
        <f t="shared" ref="S7:S15" si="0">F7</f>
        <v>0</v>
      </c>
      <c r="T7" s="701" t="s">
        <v>14</v>
      </c>
      <c r="U7" s="702">
        <f t="shared" ref="U7:U15" si="1">H7</f>
        <v>0</v>
      </c>
      <c r="V7" s="701" t="s">
        <v>14</v>
      </c>
      <c r="W7" s="702">
        <f t="shared" ref="W7:W15" si="2">J7</f>
        <v>0</v>
      </c>
      <c r="X7" s="703"/>
      <c r="Y7" s="3758" t="s">
        <v>1680</v>
      </c>
      <c r="Z7" s="375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58" t="s">
        <v>1683</v>
      </c>
      <c r="Q8" s="3759"/>
      <c r="R8" s="701" t="s">
        <v>14</v>
      </c>
      <c r="S8" s="702">
        <f t="shared" si="0"/>
        <v>0</v>
      </c>
      <c r="T8" s="701" t="s">
        <v>14</v>
      </c>
      <c r="U8" s="702">
        <f t="shared" si="1"/>
        <v>0</v>
      </c>
      <c r="V8" s="701" t="s">
        <v>14</v>
      </c>
      <c r="W8" s="702">
        <f t="shared" si="2"/>
        <v>0</v>
      </c>
      <c r="X8" s="703"/>
      <c r="Y8" s="3758" t="s">
        <v>1683</v>
      </c>
      <c r="Z8" s="375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4"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116</v>
      </c>
      <c r="G10" s="414"/>
      <c r="H10" s="127">
        <f>ROUND(100/'数据-取费表'!G16,0)</f>
        <v>116</v>
      </c>
      <c r="I10" s="414"/>
      <c r="J10" s="127">
        <f>ROUND(100/'数据-取费表'!G16,0)</f>
        <v>116</v>
      </c>
      <c r="K10" s="620"/>
      <c r="L10" s="2719"/>
      <c r="M10" s="2720"/>
      <c r="N10" s="2720"/>
      <c r="O10" s="2773"/>
      <c r="P10" s="3724"/>
      <c r="Q10" s="1343" t="str">
        <f t="shared" si="6"/>
        <v>土地使用年限（年）</v>
      </c>
      <c r="R10" s="701" t="s">
        <v>14</v>
      </c>
      <c r="S10" s="702">
        <f t="shared" si="0"/>
        <v>116</v>
      </c>
      <c r="T10" s="701" t="s">
        <v>14</v>
      </c>
      <c r="U10" s="702">
        <f t="shared" si="1"/>
        <v>116</v>
      </c>
      <c r="V10" s="701" t="s">
        <v>14</v>
      </c>
      <c r="W10" s="702">
        <f t="shared" si="2"/>
        <v>116</v>
      </c>
      <c r="X10" s="703"/>
      <c r="Y10" s="3628"/>
      <c r="Z10" s="52" t="str">
        <f t="shared" si="7"/>
        <v>土地使用年限（年）</v>
      </c>
      <c r="AA10" s="704">
        <f t="shared" si="3"/>
        <v>0.86206896551724133</v>
      </c>
      <c r="AB10" s="704">
        <f t="shared" si="4"/>
        <v>0.86206896551724133</v>
      </c>
      <c r="AC10" s="704">
        <f t="shared" si="5"/>
        <v>0.86206896551724133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4"/>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4"/>
      <c r="Q12" s="1343" t="str">
        <f t="shared" si="6"/>
        <v>配建</v>
      </c>
      <c r="R12" s="701" t="s">
        <v>14</v>
      </c>
      <c r="S12" s="702">
        <f t="shared" si="0"/>
        <v>100</v>
      </c>
      <c r="T12" s="701" t="s">
        <v>14</v>
      </c>
      <c r="U12" s="702">
        <f t="shared" si="1"/>
        <v>100</v>
      </c>
      <c r="V12" s="701" t="s">
        <v>14</v>
      </c>
      <c r="W12" s="702">
        <f t="shared" si="2"/>
        <v>100</v>
      </c>
      <c r="X12" s="703"/>
      <c r="Y12" s="362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4"/>
      <c r="Q13" s="1343">
        <f t="shared" si="6"/>
        <v>111</v>
      </c>
      <c r="R13" s="701" t="s">
        <v>14</v>
      </c>
      <c r="S13" s="702">
        <f t="shared" si="0"/>
        <v>100</v>
      </c>
      <c r="T13" s="701" t="s">
        <v>14</v>
      </c>
      <c r="U13" s="702">
        <f t="shared" si="1"/>
        <v>100</v>
      </c>
      <c r="V13" s="701" t="s">
        <v>14</v>
      </c>
      <c r="W13" s="702">
        <f t="shared" si="2"/>
        <v>100</v>
      </c>
      <c r="X13" s="703"/>
      <c r="Y13" s="362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4"/>
      <c r="Q14" s="1343">
        <f t="shared" si="6"/>
        <v>111</v>
      </c>
      <c r="R14" s="701" t="s">
        <v>14</v>
      </c>
      <c r="S14" s="702">
        <f t="shared" si="0"/>
        <v>100</v>
      </c>
      <c r="T14" s="701" t="s">
        <v>14</v>
      </c>
      <c r="U14" s="702">
        <f t="shared" si="1"/>
        <v>100</v>
      </c>
      <c r="V14" s="701" t="s">
        <v>14</v>
      </c>
      <c r="W14" s="702">
        <f t="shared" si="2"/>
        <v>100</v>
      </c>
      <c r="X14" s="703"/>
      <c r="Y14" s="362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9" t="s">
        <v>1691</v>
      </c>
      <c r="Q15" s="1352" t="str">
        <f t="shared" si="6"/>
        <v>居住社区成熟度</v>
      </c>
      <c r="R15" s="705" t="s">
        <v>14</v>
      </c>
      <c r="S15" s="706">
        <f t="shared" si="0"/>
        <v>100</v>
      </c>
      <c r="T15" s="705" t="s">
        <v>14</v>
      </c>
      <c r="U15" s="706">
        <f t="shared" si="1"/>
        <v>100</v>
      </c>
      <c r="V15" s="705" t="s">
        <v>14</v>
      </c>
      <c r="W15" s="706">
        <f t="shared" si="2"/>
        <v>100</v>
      </c>
      <c r="X15" s="1355"/>
      <c r="Y15" s="372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0"/>
      <c r="Q17" s="1352" t="str">
        <f>B17</f>
        <v>商业繁华度</v>
      </c>
      <c r="R17" s="705" t="s">
        <v>14</v>
      </c>
      <c r="S17" s="706">
        <f>F17</f>
        <v>100</v>
      </c>
      <c r="T17" s="705" t="s">
        <v>14</v>
      </c>
      <c r="U17" s="706">
        <f>H17</f>
        <v>100</v>
      </c>
      <c r="V17" s="705" t="s">
        <v>14</v>
      </c>
      <c r="W17" s="706">
        <f>J17</f>
        <v>100</v>
      </c>
      <c r="X17" s="1355"/>
      <c r="Y17" s="373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0"/>
      <c r="Q19" s="1352" t="str">
        <f>B19</f>
        <v>办公集聚程度</v>
      </c>
      <c r="R19" s="705" t="s">
        <v>14</v>
      </c>
      <c r="S19" s="706">
        <f>F19</f>
        <v>100</v>
      </c>
      <c r="T19" s="705" t="s">
        <v>14</v>
      </c>
      <c r="U19" s="706">
        <f>H19</f>
        <v>100</v>
      </c>
      <c r="V19" s="705" t="s">
        <v>14</v>
      </c>
      <c r="W19" s="706">
        <f>J19</f>
        <v>100</v>
      </c>
      <c r="X19" s="1355"/>
      <c r="Y19" s="373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0"/>
      <c r="Q20" s="1352"/>
      <c r="R20" s="705"/>
      <c r="S20" s="706"/>
      <c r="T20" s="705"/>
      <c r="U20" s="706"/>
      <c r="V20" s="705"/>
      <c r="W20" s="706"/>
      <c r="X20" s="1355"/>
      <c r="Y20" s="373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0"/>
      <c r="Q21" s="1352" t="str">
        <f>B21</f>
        <v>交通便捷度</v>
      </c>
      <c r="R21" s="705" t="s">
        <v>14</v>
      </c>
      <c r="S21" s="706">
        <f>F21</f>
        <v>100</v>
      </c>
      <c r="T21" s="705" t="s">
        <v>14</v>
      </c>
      <c r="U21" s="706">
        <f>H21</f>
        <v>100</v>
      </c>
      <c r="V21" s="705" t="s">
        <v>14</v>
      </c>
      <c r="W21" s="706">
        <f>J21</f>
        <v>100</v>
      </c>
      <c r="X21" s="1355"/>
      <c r="Y21" s="373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0"/>
      <c r="Q23" s="1352" t="str">
        <f t="shared" ref="Q23:Q37" si="8">B23</f>
        <v>区域土地利用方向</v>
      </c>
      <c r="R23" s="705" t="s">
        <v>14</v>
      </c>
      <c r="S23" s="706">
        <f>F23</f>
        <v>100</v>
      </c>
      <c r="T23" s="705" t="s">
        <v>14</v>
      </c>
      <c r="U23" s="706">
        <f>H23</f>
        <v>100</v>
      </c>
      <c r="V23" s="705" t="s">
        <v>14</v>
      </c>
      <c r="W23" s="706">
        <f>J23</f>
        <v>100</v>
      </c>
      <c r="X23" s="1355"/>
      <c r="Y23" s="373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0"/>
      <c r="Q24" s="1352"/>
      <c r="R24" s="705"/>
      <c r="S24" s="706"/>
      <c r="T24" s="705"/>
      <c r="U24" s="706"/>
      <c r="V24" s="705"/>
      <c r="W24" s="706"/>
      <c r="X24" s="1355"/>
      <c r="Y24" s="373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0"/>
      <c r="Q25" s="1352" t="str">
        <f t="shared" si="8"/>
        <v>自然及人文环境状况</v>
      </c>
      <c r="R25" s="705" t="s">
        <v>14</v>
      </c>
      <c r="S25" s="706">
        <f>F25</f>
        <v>100</v>
      </c>
      <c r="T25" s="705" t="s">
        <v>14</v>
      </c>
      <c r="U25" s="706">
        <f>H25</f>
        <v>100</v>
      </c>
      <c r="V25" s="705" t="s">
        <v>14</v>
      </c>
      <c r="W25" s="706">
        <f>J25</f>
        <v>100</v>
      </c>
      <c r="X25" s="1355"/>
      <c r="Y25" s="373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0"/>
      <c r="Q26" s="1352"/>
      <c r="R26" s="705"/>
      <c r="S26" s="706"/>
      <c r="T26" s="705"/>
      <c r="U26" s="706"/>
      <c r="V26" s="705"/>
      <c r="W26" s="706"/>
      <c r="X26" s="1355"/>
      <c r="Y26" s="373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0"/>
      <c r="Q27" s="1343" t="str">
        <f t="shared" si="8"/>
        <v>公共配套设施</v>
      </c>
      <c r="R27" s="701" t="s">
        <v>14</v>
      </c>
      <c r="S27" s="702">
        <f>F27</f>
        <v>100</v>
      </c>
      <c r="T27" s="701" t="s">
        <v>14</v>
      </c>
      <c r="U27" s="702">
        <f>H27</f>
        <v>100</v>
      </c>
      <c r="V27" s="701" t="s">
        <v>14</v>
      </c>
      <c r="W27" s="702">
        <f>J27</f>
        <v>100</v>
      </c>
      <c r="X27" s="703"/>
      <c r="Y27" s="373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0"/>
      <c r="Q28" s="1343"/>
      <c r="R28" s="701"/>
      <c r="S28" s="702"/>
      <c r="T28" s="701"/>
      <c r="U28" s="702"/>
      <c r="V28" s="701"/>
      <c r="W28" s="702"/>
      <c r="X28" s="703"/>
      <c r="Y28" s="373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0"/>
      <c r="Q29" s="1343" t="str">
        <f t="shared" ref="Q29" si="9">B29</f>
        <v>基础设施水平</v>
      </c>
      <c r="R29" s="701" t="s">
        <v>14</v>
      </c>
      <c r="S29" s="702">
        <f>F29</f>
        <v>100</v>
      </c>
      <c r="T29" s="701" t="s">
        <v>14</v>
      </c>
      <c r="U29" s="702">
        <f>H29</f>
        <v>100</v>
      </c>
      <c r="V29" s="701" t="s">
        <v>14</v>
      </c>
      <c r="W29" s="702">
        <f>J29</f>
        <v>100</v>
      </c>
      <c r="X29" s="703"/>
      <c r="Y29" s="373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0"/>
      <c r="Q30" s="1343"/>
      <c r="R30" s="701"/>
      <c r="S30" s="702"/>
      <c r="T30" s="701"/>
      <c r="U30" s="702"/>
      <c r="V30" s="701"/>
      <c r="W30" s="702"/>
      <c r="X30" s="703"/>
      <c r="Y30" s="373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0"/>
      <c r="Q32" s="1352" t="str">
        <f t="shared" si="8"/>
        <v>毗邻道路的类型与等级</v>
      </c>
      <c r="R32" s="705" t="s">
        <v>14</v>
      </c>
      <c r="S32" s="706">
        <f t="shared" si="10"/>
        <v>100</v>
      </c>
      <c r="T32" s="705" t="s">
        <v>14</v>
      </c>
      <c r="U32" s="706">
        <f t="shared" si="11"/>
        <v>100</v>
      </c>
      <c r="V32" s="705" t="s">
        <v>14</v>
      </c>
      <c r="W32" s="706">
        <f t="shared" si="12"/>
        <v>100</v>
      </c>
      <c r="X32" s="1355"/>
      <c r="Y32" s="373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0"/>
      <c r="Q33" s="1352"/>
      <c r="R33" s="705"/>
      <c r="S33" s="706"/>
      <c r="T33" s="705"/>
      <c r="U33" s="706"/>
      <c r="V33" s="705"/>
      <c r="W33" s="706"/>
      <c r="X33" s="1355"/>
      <c r="Y33" s="373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0"/>
      <c r="Q34" s="1352" t="str">
        <f t="shared" si="8"/>
        <v>土地级别</v>
      </c>
      <c r="R34" s="705" t="s">
        <v>14</v>
      </c>
      <c r="S34" s="706">
        <f t="shared" si="10"/>
        <v>100</v>
      </c>
      <c r="T34" s="705" t="s">
        <v>14</v>
      </c>
      <c r="U34" s="706">
        <f t="shared" si="11"/>
        <v>100</v>
      </c>
      <c r="V34" s="705" t="s">
        <v>14</v>
      </c>
      <c r="W34" s="706">
        <f t="shared" si="12"/>
        <v>100</v>
      </c>
      <c r="X34" s="1355"/>
      <c r="Y34" s="373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0"/>
      <c r="Q35" s="1352">
        <f t="shared" si="8"/>
        <v>111</v>
      </c>
      <c r="R35" s="705" t="s">
        <v>14</v>
      </c>
      <c r="S35" s="706">
        <f t="shared" si="10"/>
        <v>100</v>
      </c>
      <c r="T35" s="705" t="s">
        <v>14</v>
      </c>
      <c r="U35" s="706">
        <f t="shared" si="11"/>
        <v>100</v>
      </c>
      <c r="V35" s="705" t="s">
        <v>14</v>
      </c>
      <c r="W35" s="706">
        <f t="shared" si="12"/>
        <v>100</v>
      </c>
      <c r="X35" s="1355"/>
      <c r="Y35" s="373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1" t="s">
        <v>1696</v>
      </c>
      <c r="Q36" s="1352">
        <f t="shared" si="8"/>
        <v>111</v>
      </c>
      <c r="R36" s="705" t="s">
        <v>14</v>
      </c>
      <c r="S36" s="706">
        <f t="shared" si="10"/>
        <v>100</v>
      </c>
      <c r="T36" s="705" t="s">
        <v>14</v>
      </c>
      <c r="U36" s="706">
        <f t="shared" si="11"/>
        <v>100</v>
      </c>
      <c r="V36" s="705" t="s">
        <v>14</v>
      </c>
      <c r="W36" s="706">
        <f t="shared" si="12"/>
        <v>100</v>
      </c>
      <c r="X36" s="1355"/>
      <c r="Y36" s="373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2"/>
      <c r="Q37" s="1352">
        <f t="shared" si="8"/>
        <v>111</v>
      </c>
      <c r="R37" s="708" t="s">
        <v>14</v>
      </c>
      <c r="S37" s="709">
        <f t="shared" si="10"/>
        <v>100</v>
      </c>
      <c r="T37" s="708" t="s">
        <v>14</v>
      </c>
      <c r="U37" s="709">
        <f t="shared" si="11"/>
        <v>100</v>
      </c>
      <c r="V37" s="708" t="s">
        <v>14</v>
      </c>
      <c r="W37" s="709">
        <f t="shared" si="12"/>
        <v>100</v>
      </c>
      <c r="X37" s="710"/>
      <c r="Y37" s="373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2"/>
      <c r="Q38" s="1352" t="str">
        <f>B38</f>
        <v>宗地面积</v>
      </c>
      <c r="R38" s="705" t="s">
        <v>14</v>
      </c>
      <c r="S38" s="706" t="e">
        <f t="shared" si="10"/>
        <v>#N/A</v>
      </c>
      <c r="T38" s="705" t="s">
        <v>14</v>
      </c>
      <c r="U38" s="706" t="e">
        <f t="shared" si="11"/>
        <v>#N/A</v>
      </c>
      <c r="V38" s="705" t="s">
        <v>14</v>
      </c>
      <c r="W38" s="706" t="e">
        <f t="shared" si="12"/>
        <v>#N/A</v>
      </c>
      <c r="X38" s="1355"/>
      <c r="Y38" s="373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2"/>
      <c r="Q39" s="1352" t="str">
        <f t="shared" ref="Q39:Q45" si="14">B39</f>
        <v>宗地形状</v>
      </c>
      <c r="R39" s="705" t="s">
        <v>14</v>
      </c>
      <c r="S39" s="706">
        <f t="shared" si="10"/>
        <v>100</v>
      </c>
      <c r="T39" s="705" t="s">
        <v>14</v>
      </c>
      <c r="U39" s="706">
        <f t="shared" si="11"/>
        <v>100</v>
      </c>
      <c r="V39" s="705" t="s">
        <v>14</v>
      </c>
      <c r="W39" s="706">
        <f t="shared" si="12"/>
        <v>100</v>
      </c>
      <c r="X39" s="1355"/>
      <c r="Y39" s="373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2"/>
      <c r="Q40" s="1352" t="str">
        <f t="shared" si="14"/>
        <v>临街宽度及深度</v>
      </c>
      <c r="R40" s="705" t="s">
        <v>14</v>
      </c>
      <c r="S40" s="706">
        <f t="shared" si="10"/>
        <v>100</v>
      </c>
      <c r="T40" s="705" t="s">
        <v>14</v>
      </c>
      <c r="U40" s="706">
        <f t="shared" si="11"/>
        <v>100</v>
      </c>
      <c r="V40" s="705" t="s">
        <v>14</v>
      </c>
      <c r="W40" s="706">
        <f t="shared" si="12"/>
        <v>100</v>
      </c>
      <c r="X40" s="1355"/>
      <c r="Y40" s="373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2"/>
      <c r="Q41" s="1352" t="str">
        <f t="shared" si="14"/>
        <v>宗地开发程度</v>
      </c>
      <c r="R41" s="701" t="s">
        <v>14</v>
      </c>
      <c r="S41" s="702">
        <f t="shared" si="10"/>
        <v>100</v>
      </c>
      <c r="T41" s="701" t="s">
        <v>14</v>
      </c>
      <c r="U41" s="702">
        <f t="shared" si="11"/>
        <v>100</v>
      </c>
      <c r="V41" s="701" t="s">
        <v>14</v>
      </c>
      <c r="W41" s="702">
        <f t="shared" si="12"/>
        <v>100</v>
      </c>
      <c r="X41" s="703"/>
      <c r="Y41" s="373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2" t="s">
        <v>1696</v>
      </c>
      <c r="Q42" s="1352" t="str">
        <f t="shared" si="14"/>
        <v>工程地质条件</v>
      </c>
      <c r="R42" s="705" t="s">
        <v>14</v>
      </c>
      <c r="S42" s="706">
        <f t="shared" si="10"/>
        <v>100</v>
      </c>
      <c r="T42" s="705" t="s">
        <v>14</v>
      </c>
      <c r="U42" s="706">
        <f t="shared" si="11"/>
        <v>100</v>
      </c>
      <c r="V42" s="705" t="s">
        <v>14</v>
      </c>
      <c r="W42" s="706">
        <f t="shared" si="12"/>
        <v>100</v>
      </c>
      <c r="X42" s="1355"/>
      <c r="Y42" s="373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2"/>
      <c r="Q43" s="1352">
        <f t="shared" si="14"/>
        <v>111</v>
      </c>
      <c r="R43" s="705" t="s">
        <v>14</v>
      </c>
      <c r="S43" s="706">
        <f t="shared" si="10"/>
        <v>100</v>
      </c>
      <c r="T43" s="705" t="s">
        <v>14</v>
      </c>
      <c r="U43" s="706">
        <f t="shared" si="11"/>
        <v>100</v>
      </c>
      <c r="V43" s="705" t="s">
        <v>14</v>
      </c>
      <c r="W43" s="706">
        <f t="shared" si="12"/>
        <v>100</v>
      </c>
      <c r="X43" s="1355"/>
      <c r="Y43" s="373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2"/>
      <c r="Q44" s="1352">
        <f t="shared" si="14"/>
        <v>111</v>
      </c>
      <c r="R44" s="705" t="s">
        <v>14</v>
      </c>
      <c r="S44" s="706">
        <f t="shared" si="10"/>
        <v>100</v>
      </c>
      <c r="T44" s="705" t="s">
        <v>14</v>
      </c>
      <c r="U44" s="706">
        <f t="shared" si="11"/>
        <v>100</v>
      </c>
      <c r="V44" s="705" t="s">
        <v>14</v>
      </c>
      <c r="W44" s="706">
        <f t="shared" si="12"/>
        <v>100</v>
      </c>
      <c r="X44" s="1355"/>
      <c r="Y44" s="373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2"/>
      <c r="Q45" s="1352">
        <f t="shared" si="14"/>
        <v>111</v>
      </c>
      <c r="R45" s="708" t="s">
        <v>14</v>
      </c>
      <c r="S45" s="709">
        <f t="shared" si="10"/>
        <v>100</v>
      </c>
      <c r="T45" s="708" t="s">
        <v>14</v>
      </c>
      <c r="U45" s="709">
        <f t="shared" si="11"/>
        <v>100</v>
      </c>
      <c r="V45" s="708" t="s">
        <v>14</v>
      </c>
      <c r="W45" s="709">
        <f t="shared" si="12"/>
        <v>100</v>
      </c>
      <c r="X45" s="710"/>
      <c r="Y45" s="373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4" t="str">
        <f>A46</f>
        <v>成交单价</v>
      </c>
      <c r="Q46" s="3724"/>
      <c r="R46" s="3753">
        <f>E46</f>
        <v>0</v>
      </c>
      <c r="S46" s="3753"/>
      <c r="T46" s="3753">
        <f>G46</f>
        <v>0</v>
      </c>
      <c r="U46" s="3753"/>
      <c r="V46" s="3753">
        <f>I46</f>
        <v>0</v>
      </c>
      <c r="W46" s="375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4" t="str">
        <f>A47</f>
        <v>比较价值（元/平方米）</v>
      </c>
      <c r="Q47" s="3724"/>
      <c r="R47" s="3815" t="e">
        <f>ROUND(PRODUCT(R46,AA7:AA45),0)</f>
        <v>#DIV/0!</v>
      </c>
      <c r="S47" s="3815"/>
      <c r="T47" s="3815" t="e">
        <f>ROUND(PRODUCT(T46,AB7:AB45),0)</f>
        <v>#DIV/0!</v>
      </c>
      <c r="U47" s="3815"/>
      <c r="V47" s="3815" t="e">
        <f>ROUND(PRODUCT(V46,AC7:AC45),0)</f>
        <v>#DIV/0!</v>
      </c>
      <c r="W47" s="381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6" t="str">
        <f>A48</f>
        <v>估价对象XX用房的比较价值（楼面单价，元/平方米）</v>
      </c>
      <c r="Q48" s="3727"/>
      <c r="R48" s="3816" t="e">
        <f>ROUND(IF(D47="简单平均",AVERAGE(R47:W47),R47*F47+T47*H47+V47*J47),0)</f>
        <v>#DIV/0!</v>
      </c>
      <c r="S48" s="3816"/>
      <c r="T48" s="3816"/>
      <c r="U48" s="3816"/>
      <c r="V48" s="3816"/>
      <c r="W48" s="381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37" t="s">
        <v>1887</v>
      </c>
      <c r="H55" s="381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585.52</v>
      </c>
      <c r="F56" s="886" t="e">
        <f t="shared" ref="F56:F64" si="15">ROUND(B56*E56/10000,0)</f>
        <v>#DIV/0!</v>
      </c>
      <c r="G56" s="3796"/>
      <c r="H56" s="372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585.52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37" t="s">
        <v>1770</v>
      </c>
      <c r="D4" s="3738"/>
      <c r="E4" s="3739" t="s">
        <v>1771</v>
      </c>
      <c r="F4" s="3740"/>
      <c r="G4" s="3737" t="s">
        <v>1772</v>
      </c>
      <c r="H4" s="3738"/>
      <c r="I4" s="3737" t="s">
        <v>1773</v>
      </c>
      <c r="J4" s="3738"/>
      <c r="K4" s="559" t="s">
        <v>1774</v>
      </c>
      <c r="L4" s="2715"/>
      <c r="M4" s="2716"/>
      <c r="N4" s="2716"/>
      <c r="O4" s="2716"/>
      <c r="P4" s="3741" t="s">
        <v>1775</v>
      </c>
      <c r="Q4" s="3742"/>
      <c r="R4" s="3747" t="s">
        <v>1771</v>
      </c>
      <c r="S4" s="3748"/>
      <c r="T4" s="3747" t="s">
        <v>1772</v>
      </c>
      <c r="U4" s="3748"/>
      <c r="V4" s="3753" t="s">
        <v>1773</v>
      </c>
      <c r="W4" s="3753"/>
      <c r="X4" s="1355"/>
      <c r="Y4" s="3747" t="s">
        <v>1775</v>
      </c>
      <c r="Z4" s="3748"/>
      <c r="AA4" s="3734" t="s">
        <v>1771</v>
      </c>
      <c r="AB4" s="3735" t="s">
        <v>1772</v>
      </c>
      <c r="AC4" s="3734" t="s">
        <v>1773</v>
      </c>
    </row>
    <row r="5" spans="1:29" ht="15">
      <c r="A5" s="358"/>
      <c r="B5" s="359"/>
      <c r="C5" s="3797" t="s">
        <v>1673</v>
      </c>
      <c r="D5" s="3757"/>
      <c r="E5" s="3798" t="s">
        <v>1674</v>
      </c>
      <c r="F5" s="3764"/>
      <c r="G5" s="3797" t="s">
        <v>1675</v>
      </c>
      <c r="H5" s="3757"/>
      <c r="I5" s="3797" t="s">
        <v>1676</v>
      </c>
      <c r="J5" s="3757"/>
      <c r="K5" s="559"/>
      <c r="L5" s="2715"/>
      <c r="M5" s="2716"/>
      <c r="N5" s="2716"/>
      <c r="O5" s="2716"/>
      <c r="P5" s="3743"/>
      <c r="Q5" s="3744"/>
      <c r="R5" s="3749"/>
      <c r="S5" s="3750"/>
      <c r="T5" s="3749"/>
      <c r="U5" s="3750"/>
      <c r="V5" s="3753"/>
      <c r="W5" s="3753"/>
      <c r="X5" s="1355"/>
      <c r="Y5" s="3749"/>
      <c r="Z5" s="3750"/>
      <c r="AA5" s="3735"/>
      <c r="AB5" s="3735"/>
      <c r="AC5" s="3735"/>
    </row>
    <row r="6" spans="1:29" ht="15.75" thickBot="1">
      <c r="A6" s="360"/>
      <c r="B6" s="361"/>
      <c r="C6" s="3818" t="s">
        <v>1919</v>
      </c>
      <c r="D6" s="3819"/>
      <c r="E6" s="3820" t="s">
        <v>1919</v>
      </c>
      <c r="F6" s="3821"/>
      <c r="G6" s="3818" t="s">
        <v>1919</v>
      </c>
      <c r="H6" s="3819"/>
      <c r="I6" s="3818" t="s">
        <v>1919</v>
      </c>
      <c r="J6" s="3819"/>
      <c r="K6" s="559" t="s">
        <v>1678</v>
      </c>
      <c r="L6" s="2715"/>
      <c r="M6" s="2716"/>
      <c r="N6" s="2716"/>
      <c r="O6" s="2716"/>
      <c r="P6" s="3745"/>
      <c r="Q6" s="3746"/>
      <c r="R6" s="3749"/>
      <c r="S6" s="3750"/>
      <c r="T6" s="3751"/>
      <c r="U6" s="3752"/>
      <c r="V6" s="3753"/>
      <c r="W6" s="3753"/>
      <c r="X6" s="1355"/>
      <c r="Y6" s="3751"/>
      <c r="Z6" s="3752"/>
      <c r="AA6" s="3736"/>
      <c r="AB6" s="3736"/>
      <c r="AC6" s="3736"/>
    </row>
    <row r="7" spans="1:29" s="108" customFormat="1" ht="15.75" thickBot="1">
      <c r="A7" s="362" t="s">
        <v>1679</v>
      </c>
      <c r="B7" s="363"/>
      <c r="C7" s="364">
        <f>'数据-取费表'!B2</f>
        <v>45924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58" t="s">
        <v>1680</v>
      </c>
      <c r="Q7" s="3760"/>
      <c r="R7" s="701" t="s">
        <v>14</v>
      </c>
      <c r="S7" s="702">
        <f t="shared" ref="S7:S15" si="0">F7</f>
        <v>0</v>
      </c>
      <c r="T7" s="701" t="s">
        <v>14</v>
      </c>
      <c r="U7" s="702">
        <f t="shared" ref="U7:U15" si="1">H7</f>
        <v>0</v>
      </c>
      <c r="V7" s="701" t="s">
        <v>14</v>
      </c>
      <c r="W7" s="702">
        <f t="shared" ref="W7:W15" si="2">J7</f>
        <v>0</v>
      </c>
      <c r="X7" s="703"/>
      <c r="Y7" s="3758" t="s">
        <v>1680</v>
      </c>
      <c r="Z7" s="375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58" t="s">
        <v>1683</v>
      </c>
      <c r="Q8" s="3759"/>
      <c r="R8" s="701" t="s">
        <v>14</v>
      </c>
      <c r="S8" s="702">
        <f t="shared" si="0"/>
        <v>0</v>
      </c>
      <c r="T8" s="701" t="s">
        <v>14</v>
      </c>
      <c r="U8" s="702">
        <f t="shared" si="1"/>
        <v>0</v>
      </c>
      <c r="V8" s="701" t="s">
        <v>14</v>
      </c>
      <c r="W8" s="702">
        <f t="shared" si="2"/>
        <v>0</v>
      </c>
      <c r="X8" s="703"/>
      <c r="Y8" s="3758" t="s">
        <v>1683</v>
      </c>
      <c r="Z8" s="375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4"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116</v>
      </c>
      <c r="G10" s="383"/>
      <c r="H10" s="127">
        <f>ROUND(100/'数据-取费表'!G16,0)</f>
        <v>116</v>
      </c>
      <c r="I10" s="383"/>
      <c r="J10" s="127">
        <f>ROUND(100/'数据-取费表'!G16,0)</f>
        <v>116</v>
      </c>
      <c r="K10" s="620"/>
      <c r="L10" s="2719"/>
      <c r="M10" s="2720"/>
      <c r="N10" s="2720"/>
      <c r="O10" s="2773"/>
      <c r="P10" s="3724"/>
      <c r="Q10" s="1343" t="str">
        <f t="shared" si="6"/>
        <v>土地使用年限（年）</v>
      </c>
      <c r="R10" s="701" t="s">
        <v>14</v>
      </c>
      <c r="S10" s="702">
        <f t="shared" si="0"/>
        <v>116</v>
      </c>
      <c r="T10" s="701" t="s">
        <v>14</v>
      </c>
      <c r="U10" s="702">
        <f t="shared" si="1"/>
        <v>116</v>
      </c>
      <c r="V10" s="701" t="s">
        <v>14</v>
      </c>
      <c r="W10" s="702">
        <f t="shared" si="2"/>
        <v>116</v>
      </c>
      <c r="X10" s="703"/>
      <c r="Y10" s="3628"/>
      <c r="Z10" s="52" t="str">
        <f t="shared" si="7"/>
        <v>土地使用年限（年）</v>
      </c>
      <c r="AA10" s="704">
        <f t="shared" si="3"/>
        <v>0.86206896551724133</v>
      </c>
      <c r="AB10" s="704">
        <f t="shared" si="4"/>
        <v>0.86206896551724133</v>
      </c>
      <c r="AC10" s="704">
        <f t="shared" si="5"/>
        <v>0.86206896551724133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4"/>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4"/>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4"/>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4"/>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0"/>
      <c r="Q19" s="1352" t="str">
        <f t="shared" ref="Q19:Q33" si="8">B19</f>
        <v>区域土地利用方向</v>
      </c>
      <c r="R19" s="705" t="s">
        <v>14</v>
      </c>
      <c r="S19" s="706">
        <f>F19</f>
        <v>100</v>
      </c>
      <c r="T19" s="705" t="s">
        <v>14</v>
      </c>
      <c r="U19" s="706">
        <f>H19</f>
        <v>100</v>
      </c>
      <c r="V19" s="705" t="s">
        <v>14</v>
      </c>
      <c r="W19" s="706">
        <f>J19</f>
        <v>100</v>
      </c>
      <c r="X19" s="1355"/>
      <c r="Y19" s="373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0"/>
      <c r="Q20" s="1352"/>
      <c r="R20" s="705"/>
      <c r="S20" s="706"/>
      <c r="T20" s="705"/>
      <c r="U20" s="706"/>
      <c r="V20" s="705"/>
      <c r="W20" s="706"/>
      <c r="X20" s="1355"/>
      <c r="Y20" s="373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0"/>
      <c r="Q21" s="1352" t="str">
        <f t="shared" si="8"/>
        <v>环境状况</v>
      </c>
      <c r="R21" s="705" t="s">
        <v>14</v>
      </c>
      <c r="S21" s="706">
        <f>F21</f>
        <v>100</v>
      </c>
      <c r="T21" s="705" t="s">
        <v>14</v>
      </c>
      <c r="U21" s="706">
        <f>H21</f>
        <v>100</v>
      </c>
      <c r="V21" s="705" t="s">
        <v>14</v>
      </c>
      <c r="W21" s="706">
        <f>J21</f>
        <v>100</v>
      </c>
      <c r="X21" s="1355"/>
      <c r="Y21" s="373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0"/>
      <c r="Q23" s="1343" t="str">
        <f t="shared" si="8"/>
        <v>公共配套设施</v>
      </c>
      <c r="R23" s="701" t="s">
        <v>14</v>
      </c>
      <c r="S23" s="702">
        <f>F23</f>
        <v>100</v>
      </c>
      <c r="T23" s="701" t="s">
        <v>14</v>
      </c>
      <c r="U23" s="702">
        <f>H23</f>
        <v>100</v>
      </c>
      <c r="V23" s="701" t="s">
        <v>14</v>
      </c>
      <c r="W23" s="702">
        <f>J23</f>
        <v>100</v>
      </c>
      <c r="X23" s="703"/>
      <c r="Y23" s="373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0"/>
      <c r="Q24" s="1343"/>
      <c r="R24" s="701"/>
      <c r="S24" s="702"/>
      <c r="T24" s="701"/>
      <c r="U24" s="702"/>
      <c r="V24" s="701"/>
      <c r="W24" s="702"/>
      <c r="X24" s="703"/>
      <c r="Y24" s="373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0"/>
      <c r="Q25" s="1343" t="str">
        <f t="shared" ref="Q25" si="9">B25</f>
        <v>基础设施水平</v>
      </c>
      <c r="R25" s="701" t="s">
        <v>14</v>
      </c>
      <c r="S25" s="702">
        <f>F25</f>
        <v>100</v>
      </c>
      <c r="T25" s="701" t="s">
        <v>14</v>
      </c>
      <c r="U25" s="702">
        <f>H25</f>
        <v>100</v>
      </c>
      <c r="V25" s="701" t="s">
        <v>14</v>
      </c>
      <c r="W25" s="702">
        <f>J25</f>
        <v>100</v>
      </c>
      <c r="X25" s="703"/>
      <c r="Y25" s="373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0"/>
      <c r="Q26" s="1343"/>
      <c r="R26" s="701"/>
      <c r="S26" s="702"/>
      <c r="T26" s="701"/>
      <c r="U26" s="702"/>
      <c r="V26" s="701"/>
      <c r="W26" s="702"/>
      <c r="X26" s="703"/>
      <c r="Y26" s="373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0"/>
      <c r="Q28" s="1352" t="str">
        <f t="shared" si="8"/>
        <v>毗邻道路的类型与等级</v>
      </c>
      <c r="R28" s="705" t="s">
        <v>14</v>
      </c>
      <c r="S28" s="706">
        <f t="shared" si="10"/>
        <v>100</v>
      </c>
      <c r="T28" s="705" t="s">
        <v>14</v>
      </c>
      <c r="U28" s="706">
        <f t="shared" si="11"/>
        <v>100</v>
      </c>
      <c r="V28" s="705" t="s">
        <v>14</v>
      </c>
      <c r="W28" s="706">
        <f t="shared" si="12"/>
        <v>100</v>
      </c>
      <c r="X28" s="1355"/>
      <c r="Y28" s="373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0"/>
      <c r="Q29" s="1352"/>
      <c r="R29" s="705"/>
      <c r="S29" s="706"/>
      <c r="T29" s="705"/>
      <c r="U29" s="706"/>
      <c r="V29" s="705"/>
      <c r="W29" s="706"/>
      <c r="X29" s="1355"/>
      <c r="Y29" s="373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0"/>
      <c r="Q30" s="1352" t="str">
        <f t="shared" si="8"/>
        <v>土地级别</v>
      </c>
      <c r="R30" s="705" t="s">
        <v>14</v>
      </c>
      <c r="S30" s="706">
        <f t="shared" si="10"/>
        <v>100</v>
      </c>
      <c r="T30" s="705" t="s">
        <v>14</v>
      </c>
      <c r="U30" s="706">
        <f t="shared" si="11"/>
        <v>100</v>
      </c>
      <c r="V30" s="705" t="s">
        <v>14</v>
      </c>
      <c r="W30" s="706">
        <f t="shared" si="12"/>
        <v>100</v>
      </c>
      <c r="X30" s="1355"/>
      <c r="Y30" s="373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0"/>
      <c r="Q31" s="1352">
        <f t="shared" si="8"/>
        <v>111</v>
      </c>
      <c r="R31" s="705" t="s">
        <v>14</v>
      </c>
      <c r="S31" s="706">
        <f t="shared" si="10"/>
        <v>100</v>
      </c>
      <c r="T31" s="705" t="s">
        <v>14</v>
      </c>
      <c r="U31" s="706">
        <f t="shared" si="11"/>
        <v>100</v>
      </c>
      <c r="V31" s="705" t="s">
        <v>14</v>
      </c>
      <c r="W31" s="706">
        <f t="shared" si="12"/>
        <v>100</v>
      </c>
      <c r="X31" s="1355"/>
      <c r="Y31" s="373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1" t="s">
        <v>1696</v>
      </c>
      <c r="Q32" s="1352">
        <f t="shared" si="8"/>
        <v>111</v>
      </c>
      <c r="R32" s="705" t="s">
        <v>14</v>
      </c>
      <c r="S32" s="706">
        <f t="shared" si="10"/>
        <v>100</v>
      </c>
      <c r="T32" s="705" t="s">
        <v>14</v>
      </c>
      <c r="U32" s="706">
        <f t="shared" si="11"/>
        <v>100</v>
      </c>
      <c r="V32" s="705" t="s">
        <v>14</v>
      </c>
      <c r="W32" s="706">
        <f t="shared" si="12"/>
        <v>100</v>
      </c>
      <c r="X32" s="1355"/>
      <c r="Y32" s="373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2"/>
      <c r="Q33" s="1352">
        <f t="shared" si="8"/>
        <v>111</v>
      </c>
      <c r="R33" s="708" t="s">
        <v>14</v>
      </c>
      <c r="S33" s="709">
        <f t="shared" si="10"/>
        <v>100</v>
      </c>
      <c r="T33" s="708" t="s">
        <v>14</v>
      </c>
      <c r="U33" s="709">
        <f t="shared" si="11"/>
        <v>100</v>
      </c>
      <c r="V33" s="708" t="s">
        <v>14</v>
      </c>
      <c r="W33" s="709">
        <f t="shared" si="12"/>
        <v>100</v>
      </c>
      <c r="X33" s="710"/>
      <c r="Y33" s="373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2"/>
      <c r="Q34" s="1352" t="str">
        <f>B34</f>
        <v>宗地面积</v>
      </c>
      <c r="R34" s="705" t="s">
        <v>14</v>
      </c>
      <c r="S34" s="706" t="e">
        <f t="shared" si="10"/>
        <v>#N/A</v>
      </c>
      <c r="T34" s="705" t="s">
        <v>14</v>
      </c>
      <c r="U34" s="706" t="e">
        <f t="shared" si="11"/>
        <v>#N/A</v>
      </c>
      <c r="V34" s="705" t="s">
        <v>14</v>
      </c>
      <c r="W34" s="706" t="e">
        <f t="shared" si="12"/>
        <v>#N/A</v>
      </c>
      <c r="X34" s="1355"/>
      <c r="Y34" s="373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2"/>
      <c r="Q35" s="1352" t="str">
        <f t="shared" ref="Q35:Q40" si="14">B35</f>
        <v>宗地形状</v>
      </c>
      <c r="R35" s="705" t="s">
        <v>14</v>
      </c>
      <c r="S35" s="706">
        <f t="shared" si="10"/>
        <v>100</v>
      </c>
      <c r="T35" s="705" t="s">
        <v>14</v>
      </c>
      <c r="U35" s="706">
        <f t="shared" si="11"/>
        <v>100</v>
      </c>
      <c r="V35" s="705" t="s">
        <v>14</v>
      </c>
      <c r="W35" s="706">
        <f t="shared" si="12"/>
        <v>100</v>
      </c>
      <c r="X35" s="1355"/>
      <c r="Y35" s="373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2"/>
      <c r="Q36" s="1352" t="str">
        <f t="shared" si="14"/>
        <v>宗地开发程度</v>
      </c>
      <c r="R36" s="701" t="s">
        <v>14</v>
      </c>
      <c r="S36" s="702">
        <f t="shared" si="10"/>
        <v>100</v>
      </c>
      <c r="T36" s="701" t="s">
        <v>14</v>
      </c>
      <c r="U36" s="702">
        <f t="shared" si="11"/>
        <v>100</v>
      </c>
      <c r="V36" s="701" t="s">
        <v>14</v>
      </c>
      <c r="W36" s="702">
        <f t="shared" si="12"/>
        <v>100</v>
      </c>
      <c r="X36" s="703"/>
      <c r="Y36" s="373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2" t="s">
        <v>1696</v>
      </c>
      <c r="Q37" s="1352" t="str">
        <f t="shared" si="14"/>
        <v>工程地质条件</v>
      </c>
      <c r="R37" s="705" t="s">
        <v>14</v>
      </c>
      <c r="S37" s="706">
        <f t="shared" si="10"/>
        <v>100</v>
      </c>
      <c r="T37" s="705" t="s">
        <v>14</v>
      </c>
      <c r="U37" s="706">
        <f t="shared" si="11"/>
        <v>100</v>
      </c>
      <c r="V37" s="705" t="s">
        <v>14</v>
      </c>
      <c r="W37" s="706">
        <f t="shared" si="12"/>
        <v>100</v>
      </c>
      <c r="X37" s="1355"/>
      <c r="Y37" s="373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2"/>
      <c r="Q38" s="1352">
        <f t="shared" si="14"/>
        <v>111</v>
      </c>
      <c r="R38" s="705" t="s">
        <v>14</v>
      </c>
      <c r="S38" s="706">
        <f t="shared" si="10"/>
        <v>100</v>
      </c>
      <c r="T38" s="705" t="s">
        <v>14</v>
      </c>
      <c r="U38" s="706">
        <f t="shared" si="11"/>
        <v>100</v>
      </c>
      <c r="V38" s="705" t="s">
        <v>14</v>
      </c>
      <c r="W38" s="706">
        <f t="shared" si="12"/>
        <v>100</v>
      </c>
      <c r="X38" s="1355"/>
      <c r="Y38" s="373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2"/>
      <c r="Q39" s="1352">
        <f t="shared" si="14"/>
        <v>111</v>
      </c>
      <c r="R39" s="705" t="s">
        <v>14</v>
      </c>
      <c r="S39" s="706">
        <f t="shared" si="10"/>
        <v>100</v>
      </c>
      <c r="T39" s="705" t="s">
        <v>14</v>
      </c>
      <c r="U39" s="706">
        <f t="shared" si="11"/>
        <v>100</v>
      </c>
      <c r="V39" s="705" t="s">
        <v>14</v>
      </c>
      <c r="W39" s="706">
        <f t="shared" si="12"/>
        <v>100</v>
      </c>
      <c r="X39" s="1355"/>
      <c r="Y39" s="373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2"/>
      <c r="Q40" s="1352">
        <f t="shared" si="14"/>
        <v>111</v>
      </c>
      <c r="R40" s="708" t="s">
        <v>14</v>
      </c>
      <c r="S40" s="709">
        <f t="shared" si="10"/>
        <v>100</v>
      </c>
      <c r="T40" s="708" t="s">
        <v>14</v>
      </c>
      <c r="U40" s="709">
        <f t="shared" si="11"/>
        <v>100</v>
      </c>
      <c r="V40" s="708" t="s">
        <v>14</v>
      </c>
      <c r="W40" s="709">
        <f t="shared" si="12"/>
        <v>100</v>
      </c>
      <c r="X40" s="710"/>
      <c r="Y40" s="373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4" t="str">
        <f>A41</f>
        <v>成交单价</v>
      </c>
      <c r="Q41" s="3724"/>
      <c r="R41" s="3753">
        <f>E41</f>
        <v>0</v>
      </c>
      <c r="S41" s="3753"/>
      <c r="T41" s="3753">
        <f>G41</f>
        <v>0</v>
      </c>
      <c r="U41" s="3753"/>
      <c r="V41" s="3753">
        <f>I41</f>
        <v>0</v>
      </c>
      <c r="W41" s="375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4" t="str">
        <f>A42</f>
        <v>比较价值（元/平方米）</v>
      </c>
      <c r="Q42" s="3724"/>
      <c r="R42" s="3815" t="e">
        <f>ROUND(PRODUCT(R41,AA7:AA40),0)</f>
        <v>#DIV/0!</v>
      </c>
      <c r="S42" s="3815"/>
      <c r="T42" s="3815" t="e">
        <f>ROUND(PRODUCT(T41,AB7:AB40),0)</f>
        <v>#DIV/0!</v>
      </c>
      <c r="U42" s="3815"/>
      <c r="V42" s="3815" t="e">
        <f>ROUND(PRODUCT(V41,AC7:AC40),0)</f>
        <v>#DIV/0!</v>
      </c>
      <c r="W42" s="381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6" t="str">
        <f>A43</f>
        <v>估价对象XX用房的比较价值（楼面单价，元/平方米）</v>
      </c>
      <c r="Q43" s="3727"/>
      <c r="R43" s="3816" t="e">
        <f>ROUND(IF(D42="简单平均",AVERAGE(R42:W42),R42*F42+T42*H42+V42*J42),0)</f>
        <v>#DIV/0!</v>
      </c>
      <c r="S43" s="3816"/>
      <c r="T43" s="3816"/>
      <c r="U43" s="3816"/>
      <c r="V43" s="3816"/>
      <c r="W43" s="381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37" t="s">
        <v>1887</v>
      </c>
      <c r="H50" s="381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585.52</v>
      </c>
      <c r="F51" s="639" t="e">
        <f t="shared" ref="F51:F60" si="15">ROUND(B51*E51/10000,0)</f>
        <v>#DIV/0!</v>
      </c>
      <c r="G51" s="3796"/>
      <c r="H51" s="372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25" t="s">
        <v>2084</v>
      </c>
      <c r="D1" s="3826"/>
      <c r="E1" s="3826"/>
      <c r="F1" s="3826"/>
      <c r="G1" s="3826"/>
      <c r="H1" s="3826"/>
      <c r="I1" s="3826"/>
      <c r="J1" s="3826"/>
      <c r="K1" s="3826"/>
      <c r="L1" s="3826"/>
      <c r="M1" s="3826"/>
      <c r="N1" s="3826"/>
      <c r="O1" s="3826"/>
      <c r="P1" s="3826"/>
      <c r="Q1" s="3826"/>
      <c r="R1" s="3826"/>
      <c r="S1" s="382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22" t="s">
        <v>27</v>
      </c>
      <c r="D22" s="3823"/>
      <c r="E22" s="3823"/>
      <c r="F22" s="3823"/>
      <c r="G22" s="3823"/>
      <c r="H22" s="3823"/>
      <c r="I22" s="3823"/>
      <c r="J22" s="3823"/>
      <c r="K22" s="3823"/>
      <c r="L22" s="3823"/>
      <c r="M22" s="3823"/>
      <c r="N22" s="3823"/>
      <c r="O22" s="3823"/>
      <c r="P22" s="3823"/>
      <c r="Q22" s="382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F3" sqref="F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3</v>
      </c>
      <c r="F2" s="2000" t="s">
        <v>1937</v>
      </c>
      <c r="G2" s="2001" t="str">
        <f>IF(E2="商业",项目基本情况!B37,IF(E2="办公",项目基本情况!C37,IF(E2="住宅",项目基本情况!D37,IF(E2="工业",项目基本情况!E37,项目基本情况!F37))))</f>
        <v>八级</v>
      </c>
      <c r="H2" s="2000" t="s">
        <v>1938</v>
      </c>
      <c r="I2" s="2001" t="str">
        <f>IF(E2="商业",项目基本情况!B38,IF(E2="办公",项目基本情况!C38,IF(E2="住宅",项目基本情况!D38,IF(E2="工业",项目基本情况!E38,项目基本情况!F38))))</f>
        <v>Ⅷ-通州环保园</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2479</v>
      </c>
      <c r="F3" s="2004" t="s">
        <v>3426</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835"/>
      <c r="B4" s="3836"/>
      <c r="C4" s="3836"/>
      <c r="D4" s="3837"/>
      <c r="E4" s="3837"/>
      <c r="F4" s="3837"/>
      <c r="G4" s="3837"/>
      <c r="H4" s="3837"/>
      <c r="I4" s="3837"/>
      <c r="J4" s="383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1105</v>
      </c>
      <c r="D5" s="1339">
        <f>ROUND(C6*C17+C20,0)</f>
        <v>1105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1290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八级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1290</v>
      </c>
      <c r="N8" s="866">
        <f>SUMPRODUCT((因素修正幅度!B234:B276=I2)*(因素修正幅度!C3:G3=E2)*(因素修正幅度!C234:G276))</f>
        <v>0.05</v>
      </c>
      <c r="O8" s="1119"/>
      <c r="P8" s="1119"/>
      <c r="Q8" s="1119"/>
      <c r="R8" s="1212">
        <v>7</v>
      </c>
      <c r="S8" s="1213"/>
      <c r="T8" s="3361">
        <f t="shared" si="0"/>
        <v>0</v>
      </c>
      <c r="U8" s="1213"/>
      <c r="V8" s="3361">
        <f t="shared" si="1"/>
        <v>0</v>
      </c>
      <c r="W8" s="3832" t="s">
        <v>1960</v>
      </c>
      <c r="X8" s="383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83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83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839" t="s">
        <v>3254</v>
      </c>
      <c r="B20" s="167" t="s">
        <v>1994</v>
      </c>
      <c r="C20" s="3325">
        <f>ROUND(IF(F21="与级别开发程度一致",0,(G21-E21)/C21),0)</f>
        <v>-185</v>
      </c>
      <c r="D20" s="3341" t="s">
        <v>1998</v>
      </c>
      <c r="E20" s="3342"/>
      <c r="F20" s="3845" t="s">
        <v>1995</v>
      </c>
      <c r="G20" s="384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840"/>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45924</v>
      </c>
      <c r="H23" s="3343"/>
      <c r="I23" s="3344" t="str">
        <f>IF(H23="季度增幅（自定义）",SUMIF(N25:N28,E2,O25:O28),"")</f>
        <v/>
      </c>
      <c r="J23" s="3446"/>
      <c r="K23" s="1125"/>
      <c r="L23" s="2055" t="s">
        <v>2004</v>
      </c>
      <c r="M23" s="1328">
        <f>ROUND(SUMIF(地价!B2:G2,E2,地价!B16:G16),0)</f>
        <v>318</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0.86309999999999998</v>
      </c>
      <c r="D24" s="2060" t="s">
        <v>2007</v>
      </c>
      <c r="E24" s="1335">
        <f>存贷款利率!E28/100</f>
        <v>4.3499999999999997E-2</v>
      </c>
      <c r="F24" s="2060" t="s">
        <v>1999</v>
      </c>
      <c r="G24" s="768">
        <f>SUMIF(M30:Q30,E2,M33:Q33)</f>
        <v>0.05</v>
      </c>
      <c r="H24" s="2060" t="s">
        <v>2008</v>
      </c>
      <c r="I24" s="769">
        <f>SUMIF('数据-取费表'!C6:C15,E2,'数据-取费表'!F6:F15)/COUNTIF('数据-取费表'!C6:C15,E2)</f>
        <v>31.78</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0</v>
      </c>
      <c r="D34" s="2103"/>
      <c r="E34" s="773">
        <f>ROUND(IF(B25="楼层修正",SUM(V2:V16)*M40,C34*D34/10000),0)</f>
        <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f ca="1">'数据-取费表'!B40</f>
        <v>3.1300000000000001E-2</v>
      </c>
      <c r="M36" s="3358">
        <f ca="1">ROUND($L$36*(1+M31),3)</f>
        <v>3.9E-2</v>
      </c>
      <c r="N36" s="3358">
        <f ca="1">ROUND($L$36*(1+N31),3)</f>
        <v>3.7999999999999999E-2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43"/>
      <c r="B37" s="2113" t="s">
        <v>2036</v>
      </c>
      <c r="C37" s="175">
        <f>ROUND(D5*C22*C23*C24*C28*F37,0)</f>
        <v>0</v>
      </c>
      <c r="D37" s="2098"/>
      <c r="E37" s="171">
        <f>ROUND(C37*D37/10000,0)</f>
        <v>0</v>
      </c>
      <c r="F37" s="171">
        <f>SUMIF(修正!A59:A70,G2,修正!B59:B70)</f>
        <v>0.5</v>
      </c>
      <c r="G37" s="171">
        <f>ROUND(IF(E2="工业",C37*$M$42,C37*$M$41),0)</f>
        <v>0</v>
      </c>
      <c r="H37" s="171">
        <f>D37</f>
        <v>0</v>
      </c>
      <c r="I37" s="171">
        <f>ROUND(G37*H37/10000,0)</f>
        <v>0</v>
      </c>
      <c r="J37" s="3012"/>
      <c r="K37" s="3359" t="s">
        <v>3264</v>
      </c>
      <c r="L37" s="3357">
        <f ca="1">L36+K38</f>
        <v>3.6299999999999999E-2</v>
      </c>
      <c r="M37" s="3358">
        <f ca="1">ROUND($L$37*(1+M31),3)</f>
        <v>4.4999999999999998E-2</v>
      </c>
      <c r="N37" s="3358">
        <f t="shared" ref="N37:Q37" ca="1" si="3">ROUND($L$37*(1+N31),3)</f>
        <v>4.3999999999999997E-2</v>
      </c>
      <c r="O37" s="3358">
        <f t="shared" ca="1" si="3"/>
        <v>4.2000000000000003E-2</v>
      </c>
      <c r="P37" s="3358">
        <f t="shared" ca="1" si="3"/>
        <v>0.04</v>
      </c>
      <c r="Q37" s="3358">
        <f t="shared" ca="1" si="3"/>
        <v>4.2000000000000003E-2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44"/>
      <c r="B38" s="2041" t="s">
        <v>2037</v>
      </c>
      <c r="C38" s="175">
        <f>ROUND(D5*C22*C23*C24*C28*F38,0)</f>
        <v>0</v>
      </c>
      <c r="D38" s="2098"/>
      <c r="E38" s="171">
        <f t="shared" ref="E38:E42" si="4">ROUND(C38*D38/10000,0)</f>
        <v>0</v>
      </c>
      <c r="F38" s="171">
        <f>SUMIF(修正!A59:A70,G2,修正!C59:C70)</f>
        <v>0.2</v>
      </c>
      <c r="G38" s="171">
        <f>ROUND(IF(E2="工业",C38*$M$42,C38*$M$41),0)</f>
        <v>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844"/>
      <c r="B39" s="2041" t="s">
        <v>3257</v>
      </c>
      <c r="C39" s="175">
        <f>ROUND(D5*C22*C23*C24*C28*F39,0)</f>
        <v>0</v>
      </c>
      <c r="D39" s="2098"/>
      <c r="E39" s="171">
        <f t="shared" si="4"/>
        <v>0</v>
      </c>
      <c r="F39" s="171">
        <f>SUMIF(修正!A59:A70,G2,修正!D59:D70)</f>
        <v>0.2</v>
      </c>
      <c r="G39" s="171">
        <f>ROUND(IF(E2="工业",C39*$M$42,C39*$M$41),0)</f>
        <v>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0</v>
      </c>
      <c r="D40" s="2098"/>
      <c r="E40" s="171">
        <f t="shared" si="4"/>
        <v>0</v>
      </c>
      <c r="F40" s="175">
        <f>SUMIF(修正!A59:A70,G2,修正!E59:E70)</f>
        <v>0.2</v>
      </c>
      <c r="G40" s="171">
        <f>ROUND(IF(E2="工业",C40*$M$42,C40*$M$41),0)</f>
        <v>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SUMIF(修正!A59:A70,G2,修正!F59:F70)</f>
        <v>0.2</v>
      </c>
      <c r="G41" s="171">
        <f>ROUND(IF(E2="工业",C41*$M$42,C41*$M$41),0)</f>
        <v>0</v>
      </c>
      <c r="H41" s="171">
        <f t="shared" si="5"/>
        <v>0</v>
      </c>
      <c r="I41" s="171">
        <f t="shared" si="6"/>
        <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SUMIF(修正!A59:A70,G2,修正!G59:G70)</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f>IF(E2="工业",SUMIF(L1:L12,G2,N1:N12),"——")</f>
        <v>0.05</v>
      </c>
      <c r="G83" s="1063"/>
      <c r="H83" s="1066">
        <f t="shared" ref="H83:H90" si="23">IFERROR(ROUNDDOWN($F$83*I83/2,4),"——")</f>
        <v>6.4999999999999997E-3</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f t="shared" si="23"/>
        <v>7.4999999999999997E-3</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f t="shared" si="23"/>
        <v>2.5000000000000001E-3</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f t="shared" si="23"/>
        <v>1.1999999999999999E-3</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f t="shared" si="23"/>
        <v>1.5E-3</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f t="shared" si="23"/>
        <v>3.0000000000000001E-3</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f t="shared" si="23"/>
        <v>1.5E-3</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f t="shared" si="23"/>
        <v>1.1999999999999999E-3</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841" t="s">
        <v>3292</v>
      </c>
      <c r="B103" s="3841"/>
      <c r="C103" s="3841"/>
      <c r="D103" s="3841"/>
      <c r="E103" s="3841"/>
      <c r="F103" s="3841"/>
      <c r="G103" s="3841"/>
      <c r="H103" s="3841"/>
      <c r="I103" s="3841"/>
      <c r="J103" s="3841"/>
      <c r="K103" s="3390"/>
      <c r="L103" s="3390"/>
      <c r="M103" s="3390"/>
      <c r="N103" s="3390"/>
    </row>
    <row r="104" spans="1:14">
      <c r="A104" s="3842" t="s">
        <v>3293</v>
      </c>
      <c r="B104" s="3842" t="s">
        <v>3294</v>
      </c>
      <c r="C104" s="3391" t="s">
        <v>3295</v>
      </c>
      <c r="D104" s="3392"/>
      <c r="E104" s="3392"/>
      <c r="F104" s="3392"/>
      <c r="G104" s="3392"/>
      <c r="H104" s="3392"/>
      <c r="I104" s="3392"/>
      <c r="J104" s="3393"/>
      <c r="K104" s="3394"/>
      <c r="L104" s="3394"/>
      <c r="M104" s="3394"/>
      <c r="N104" s="3394"/>
    </row>
    <row r="105" spans="1:14">
      <c r="A105" s="3842"/>
      <c r="B105" s="384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82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82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82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82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82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82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83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831" t="s">
        <v>3309</v>
      </c>
      <c r="B113" s="3831"/>
      <c r="C113" s="3831"/>
      <c r="D113" s="3831"/>
      <c r="E113" s="3831"/>
      <c r="F113" s="3831"/>
      <c r="G113" s="3831"/>
      <c r="H113" s="3831"/>
      <c r="I113" s="3831"/>
      <c r="J113" s="383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1</v>
      </c>
      <c r="C116" s="3400" t="s">
        <v>3311</v>
      </c>
      <c r="D116" s="3401">
        <f>SUMPRODUCT((A118:A122=F116)*(B117:M117=H116)*B118:M122)</f>
        <v>0.57150000000000001</v>
      </c>
      <c r="E116" s="2000" t="s">
        <v>3312</v>
      </c>
      <c r="F116" s="3402" t="str">
        <f>E2</f>
        <v>工业</v>
      </c>
      <c r="G116" s="2000" t="s">
        <v>3313</v>
      </c>
      <c r="H116" s="3402" t="str">
        <f>G2</f>
        <v>八级</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3327</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3328</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3329</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2612</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58" t="s">
        <v>2607</v>
      </c>
      <c r="B20" s="3851" t="s">
        <v>2628</v>
      </c>
      <c r="C20" s="3477" t="s">
        <v>2439</v>
      </c>
      <c r="D20" s="3477"/>
      <c r="E20" s="3105">
        <v>1</v>
      </c>
      <c r="F20" s="3106" t="s">
        <v>2440</v>
      </c>
      <c r="G20" s="3106"/>
    </row>
    <row r="21" spans="1:13" ht="19.5" customHeight="1">
      <c r="A21" s="3859"/>
      <c r="B21" s="3847"/>
      <c r="C21" s="3467" t="s">
        <v>2441</v>
      </c>
      <c r="D21" s="3467"/>
      <c r="E21" s="3109">
        <v>1</v>
      </c>
      <c r="F21" s="3106" t="s">
        <v>2442</v>
      </c>
      <c r="G21" s="3106"/>
    </row>
    <row r="22" spans="1:13" ht="19.5" customHeight="1">
      <c r="A22" s="3859"/>
      <c r="B22" s="3847"/>
      <c r="C22" s="3467" t="s">
        <v>2443</v>
      </c>
      <c r="D22" s="3467"/>
      <c r="E22" s="3109">
        <v>0.9</v>
      </c>
      <c r="F22" s="3106" t="s">
        <v>2444</v>
      </c>
      <c r="G22" s="3106"/>
    </row>
    <row r="23" spans="1:13" ht="19.5" customHeight="1">
      <c r="A23" s="3859"/>
      <c r="B23" s="3847"/>
      <c r="C23" s="3467" t="s">
        <v>2445</v>
      </c>
      <c r="D23" s="3467"/>
      <c r="E23" s="3109">
        <v>0.9</v>
      </c>
      <c r="F23" s="3106" t="s">
        <v>2446</v>
      </c>
      <c r="G23" s="3106"/>
    </row>
    <row r="24" spans="1:13" ht="19.5" customHeight="1">
      <c r="A24" s="3859"/>
      <c r="B24" s="3847"/>
      <c r="C24" s="3467" t="s">
        <v>2447</v>
      </c>
      <c r="D24" s="3467"/>
      <c r="E24" s="3109">
        <v>0.8</v>
      </c>
      <c r="F24" s="3106" t="s">
        <v>2448</v>
      </c>
      <c r="G24" s="3106"/>
    </row>
    <row r="25" spans="1:13" ht="19.5" customHeight="1">
      <c r="A25" s="3859"/>
      <c r="B25" s="3847"/>
      <c r="C25" s="3467" t="s">
        <v>2449</v>
      </c>
      <c r="D25" s="3467"/>
      <c r="E25" s="3109">
        <v>0.8</v>
      </c>
      <c r="F25" s="3106"/>
      <c r="G25" s="3106"/>
    </row>
    <row r="26" spans="1:13" ht="19.5" customHeight="1">
      <c r="A26" s="3859"/>
      <c r="B26" s="3847"/>
      <c r="C26" s="3470" t="s">
        <v>3410</v>
      </c>
      <c r="D26" s="3470"/>
      <c r="E26" s="3471">
        <v>0.43</v>
      </c>
      <c r="F26" s="3106"/>
      <c r="G26" s="3106"/>
    </row>
    <row r="27" spans="1:13" ht="19.5" customHeight="1" thickBot="1">
      <c r="A27" s="3860"/>
      <c r="B27" s="3852"/>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853" t="s">
        <v>2631</v>
      </c>
      <c r="B29" s="3856" t="s">
        <v>2612</v>
      </c>
      <c r="C29" s="3103" t="s">
        <v>2452</v>
      </c>
      <c r="D29" s="3104"/>
      <c r="E29" s="3105">
        <v>1</v>
      </c>
      <c r="F29" s="3106" t="s">
        <v>2453</v>
      </c>
      <c r="G29" s="3106"/>
    </row>
    <row r="30" spans="1:13" ht="19.5" customHeight="1">
      <c r="A30" s="3854"/>
      <c r="B30" s="3850"/>
      <c r="C30" s="3107" t="s">
        <v>2454</v>
      </c>
      <c r="D30" s="3108"/>
      <c r="E30" s="3109">
        <v>1</v>
      </c>
      <c r="F30" s="3106" t="s">
        <v>2455</v>
      </c>
      <c r="G30" s="3106"/>
    </row>
    <row r="31" spans="1:13" ht="19.5" customHeight="1">
      <c r="A31" s="3854"/>
      <c r="B31" s="3850"/>
      <c r="C31" s="3107" t="s">
        <v>2456</v>
      </c>
      <c r="D31" s="3108"/>
      <c r="E31" s="3109">
        <v>0.8</v>
      </c>
      <c r="F31" s="3106" t="s">
        <v>2457</v>
      </c>
      <c r="G31" s="3106"/>
    </row>
    <row r="32" spans="1:13" ht="19.5" customHeight="1">
      <c r="A32" s="3854"/>
      <c r="B32" s="3850"/>
      <c r="C32" s="3107" t="s">
        <v>2458</v>
      </c>
      <c r="D32" s="3108"/>
      <c r="E32" s="3109">
        <v>0.8</v>
      </c>
      <c r="F32" s="3106" t="s">
        <v>2459</v>
      </c>
      <c r="G32" s="3106"/>
    </row>
    <row r="33" spans="1:7" ht="19.5" customHeight="1">
      <c r="A33" s="3854"/>
      <c r="B33" s="3850"/>
      <c r="C33" s="3107" t="s">
        <v>2460</v>
      </c>
      <c r="D33" s="3108"/>
      <c r="E33" s="3109">
        <v>0.8</v>
      </c>
      <c r="F33" s="3106" t="s">
        <v>2461</v>
      </c>
      <c r="G33" s="3106"/>
    </row>
    <row r="34" spans="1:7" ht="19.5" customHeight="1">
      <c r="A34" s="3854"/>
      <c r="B34" s="3850"/>
      <c r="C34" s="3107" t="s">
        <v>2462</v>
      </c>
      <c r="D34" s="3108"/>
      <c r="E34" s="3109">
        <v>0.7</v>
      </c>
      <c r="F34" s="3106" t="s">
        <v>2463</v>
      </c>
      <c r="G34" s="3106"/>
    </row>
    <row r="35" spans="1:7" ht="19.5" customHeight="1">
      <c r="A35" s="3854"/>
      <c r="B35" s="3850"/>
      <c r="C35" s="3107" t="s">
        <v>2464</v>
      </c>
      <c r="D35" s="3108"/>
      <c r="E35" s="3109">
        <v>0.8</v>
      </c>
      <c r="F35" s="3106" t="s">
        <v>2465</v>
      </c>
      <c r="G35" s="3106"/>
    </row>
    <row r="36" spans="1:7" ht="19.5" customHeight="1">
      <c r="A36" s="3854"/>
      <c r="B36" s="3850"/>
      <c r="C36" s="3107" t="s">
        <v>2466</v>
      </c>
      <c r="D36" s="3108"/>
      <c r="E36" s="3109">
        <v>0.6</v>
      </c>
      <c r="F36" s="3106" t="s">
        <v>2467</v>
      </c>
      <c r="G36" s="3106"/>
    </row>
    <row r="37" spans="1:7" ht="19.5" customHeight="1">
      <c r="A37" s="3854"/>
      <c r="B37" s="3850"/>
      <c r="C37" s="3107" t="s">
        <v>2468</v>
      </c>
      <c r="D37" s="3108"/>
      <c r="E37" s="3109">
        <v>0.2</v>
      </c>
      <c r="F37" s="3106" t="s">
        <v>2469</v>
      </c>
      <c r="G37" s="3106"/>
    </row>
    <row r="38" spans="1:7" ht="19.5" customHeight="1">
      <c r="A38" s="3854"/>
      <c r="B38" s="3850"/>
      <c r="C38" s="3107" t="s">
        <v>2470</v>
      </c>
      <c r="D38" s="3108"/>
      <c r="E38" s="3109">
        <v>0.2</v>
      </c>
      <c r="F38" s="3106" t="s">
        <v>2471</v>
      </c>
      <c r="G38" s="3106"/>
    </row>
    <row r="39" spans="1:7" ht="19.5" customHeight="1">
      <c r="A39" s="3854"/>
      <c r="B39" s="3848" t="s">
        <v>2632</v>
      </c>
      <c r="C39" s="3107" t="s">
        <v>2472</v>
      </c>
      <c r="D39" s="3108"/>
      <c r="E39" s="3109">
        <v>0.6</v>
      </c>
      <c r="F39" s="3106" t="s">
        <v>2473</v>
      </c>
      <c r="G39" s="3106"/>
    </row>
    <row r="40" spans="1:7" ht="19.5" customHeight="1">
      <c r="A40" s="3854"/>
      <c r="B40" s="3850"/>
      <c r="C40" s="3107" t="s">
        <v>2474</v>
      </c>
      <c r="D40" s="3108"/>
      <c r="E40" s="3109">
        <v>0.6</v>
      </c>
      <c r="F40" s="3106" t="s">
        <v>2475</v>
      </c>
      <c r="G40" s="3106"/>
    </row>
    <row r="41" spans="1:7" ht="19.5" customHeight="1" thickBot="1">
      <c r="A41" s="3855"/>
      <c r="B41" s="3857"/>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858" t="s">
        <v>2610</v>
      </c>
      <c r="B43" s="3856" t="s">
        <v>2634</v>
      </c>
      <c r="C43" s="3103" t="s">
        <v>2479</v>
      </c>
      <c r="D43" s="3104"/>
      <c r="E43" s="3105">
        <v>1</v>
      </c>
      <c r="F43" s="3106" t="s">
        <v>2480</v>
      </c>
      <c r="G43" s="3106"/>
    </row>
    <row r="44" spans="1:7" ht="19.5" customHeight="1">
      <c r="A44" s="3859"/>
      <c r="B44" s="3850"/>
      <c r="C44" s="3107" t="s">
        <v>2481</v>
      </c>
      <c r="D44" s="3108"/>
      <c r="E44" s="3109">
        <v>1</v>
      </c>
      <c r="F44" s="3106" t="s">
        <v>2482</v>
      </c>
      <c r="G44" s="3106"/>
    </row>
    <row r="45" spans="1:7" ht="19.5" customHeight="1">
      <c r="A45" s="3859"/>
      <c r="B45" s="3849"/>
      <c r="C45" s="3107" t="s">
        <v>2483</v>
      </c>
      <c r="D45" s="3108"/>
      <c r="E45" s="3109">
        <v>1.5</v>
      </c>
      <c r="F45" s="3106" t="s">
        <v>2484</v>
      </c>
      <c r="G45" s="3106"/>
    </row>
    <row r="46" spans="1:7" ht="19.5" customHeight="1">
      <c r="A46" s="3859"/>
      <c r="B46" s="3118" t="s">
        <v>2635</v>
      </c>
      <c r="C46" s="3107" t="s">
        <v>2636</v>
      </c>
      <c r="D46" s="3108"/>
      <c r="E46" s="3109">
        <v>2</v>
      </c>
      <c r="F46" s="3106" t="s">
        <v>2485</v>
      </c>
      <c r="G46" s="3106"/>
    </row>
    <row r="47" spans="1:7" ht="19.5" customHeight="1">
      <c r="A47" s="3859"/>
      <c r="B47" s="3848" t="s">
        <v>2637</v>
      </c>
      <c r="C47" s="3107" t="s">
        <v>2486</v>
      </c>
      <c r="D47" s="3108"/>
      <c r="E47" s="3109">
        <v>1</v>
      </c>
      <c r="F47" s="3106" t="s">
        <v>2487</v>
      </c>
      <c r="G47" s="3106"/>
    </row>
    <row r="48" spans="1:7" ht="19.5" customHeight="1">
      <c r="A48" s="3859"/>
      <c r="B48" s="3850"/>
      <c r="C48" s="3107" t="s">
        <v>2488</v>
      </c>
      <c r="D48" s="3108"/>
      <c r="E48" s="3109">
        <v>1</v>
      </c>
      <c r="F48" s="3106" t="s">
        <v>2489</v>
      </c>
      <c r="G48" s="3106"/>
    </row>
    <row r="49" spans="1:7" ht="19.5" customHeight="1">
      <c r="A49" s="3859"/>
      <c r="B49" s="3850"/>
      <c r="C49" s="3107" t="s">
        <v>2490</v>
      </c>
      <c r="D49" s="3108"/>
      <c r="E49" s="3109">
        <v>1</v>
      </c>
      <c r="F49" s="3106" t="s">
        <v>2491</v>
      </c>
      <c r="G49" s="3106"/>
    </row>
    <row r="50" spans="1:7" ht="19.5" customHeight="1">
      <c r="A50" s="3859"/>
      <c r="B50" s="3850"/>
      <c r="C50" s="3107" t="s">
        <v>2492</v>
      </c>
      <c r="D50" s="3108"/>
      <c r="E50" s="3109">
        <v>1</v>
      </c>
      <c r="F50" s="3106" t="s">
        <v>2493</v>
      </c>
      <c r="G50" s="3106"/>
    </row>
    <row r="51" spans="1:7" ht="19.5" customHeight="1">
      <c r="A51" s="3859"/>
      <c r="B51" s="3850"/>
      <c r="C51" s="3107" t="s">
        <v>2494</v>
      </c>
      <c r="D51" s="3108"/>
      <c r="E51" s="3109">
        <v>1</v>
      </c>
      <c r="F51" s="3106" t="s">
        <v>2495</v>
      </c>
      <c r="G51" s="3106"/>
    </row>
    <row r="52" spans="1:7" ht="19.5" customHeight="1">
      <c r="A52" s="3859"/>
      <c r="B52" s="3850"/>
      <c r="C52" s="3107" t="s">
        <v>2496</v>
      </c>
      <c r="D52" s="3108"/>
      <c r="E52" s="3109">
        <v>1</v>
      </c>
      <c r="F52" s="3106" t="s">
        <v>2497</v>
      </c>
      <c r="G52" s="3106"/>
    </row>
    <row r="53" spans="1:7" ht="19.5" customHeight="1" thickBot="1">
      <c r="A53" s="3860"/>
      <c r="B53" s="3857"/>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848" t="s">
        <v>2651</v>
      </c>
      <c r="C75" s="3092" t="s">
        <v>2652</v>
      </c>
      <c r="D75" s="3092" t="s">
        <v>2653</v>
      </c>
      <c r="E75" s="3118">
        <v>0.2</v>
      </c>
      <c r="F75" s="3118">
        <v>25</v>
      </c>
    </row>
    <row r="76" spans="1:7" ht="24">
      <c r="A76" s="3118">
        <v>2</v>
      </c>
      <c r="B76" s="3850"/>
      <c r="C76" s="3092" t="s">
        <v>2654</v>
      </c>
      <c r="D76" s="3092" t="s">
        <v>2655</v>
      </c>
      <c r="E76" s="3118">
        <v>0.2</v>
      </c>
      <c r="F76" s="3118">
        <v>25</v>
      </c>
    </row>
    <row r="77" spans="1:7" ht="24">
      <c r="A77" s="3118">
        <v>3</v>
      </c>
      <c r="B77" s="3850"/>
      <c r="C77" s="3092" t="s">
        <v>2656</v>
      </c>
      <c r="D77" s="3092" t="s">
        <v>2657</v>
      </c>
      <c r="E77" s="3118">
        <v>0.2</v>
      </c>
      <c r="F77" s="3118">
        <v>25</v>
      </c>
    </row>
    <row r="78" spans="1:7" ht="13.5">
      <c r="A78" s="3118">
        <v>4</v>
      </c>
      <c r="B78" s="3850"/>
      <c r="C78" s="3092" t="s">
        <v>2658</v>
      </c>
      <c r="D78" s="3092" t="s">
        <v>2659</v>
      </c>
      <c r="E78" s="3118">
        <v>0.15</v>
      </c>
      <c r="F78" s="3118">
        <v>20</v>
      </c>
    </row>
    <row r="79" spans="1:7" ht="24">
      <c r="A79" s="3118">
        <v>5</v>
      </c>
      <c r="B79" s="3850"/>
      <c r="C79" s="3092" t="s">
        <v>2660</v>
      </c>
      <c r="D79" s="3092" t="s">
        <v>2661</v>
      </c>
      <c r="E79" s="3118">
        <v>0.15</v>
      </c>
      <c r="F79" s="3118">
        <v>20</v>
      </c>
    </row>
    <row r="80" spans="1:7" ht="24">
      <c r="A80" s="3118">
        <v>6</v>
      </c>
      <c r="B80" s="3850"/>
      <c r="C80" s="3092" t="s">
        <v>2662</v>
      </c>
      <c r="D80" s="3092" t="s">
        <v>2663</v>
      </c>
      <c r="E80" s="3118">
        <v>0.15</v>
      </c>
      <c r="F80" s="3118">
        <v>20</v>
      </c>
    </row>
    <row r="81" spans="1:6" ht="24">
      <c r="A81" s="3118">
        <v>7</v>
      </c>
      <c r="B81" s="3850"/>
      <c r="C81" s="3092" t="s">
        <v>2664</v>
      </c>
      <c r="D81" s="3092" t="s">
        <v>2665</v>
      </c>
      <c r="E81" s="3118">
        <v>0.15</v>
      </c>
      <c r="F81" s="3118">
        <v>20</v>
      </c>
    </row>
    <row r="82" spans="1:6" ht="24">
      <c r="A82" s="3118">
        <v>8</v>
      </c>
      <c r="B82" s="3850"/>
      <c r="C82" s="3092" t="s">
        <v>2666</v>
      </c>
      <c r="D82" s="3092" t="s">
        <v>2667</v>
      </c>
      <c r="E82" s="3118">
        <v>0.1</v>
      </c>
      <c r="F82" s="3118">
        <v>15</v>
      </c>
    </row>
    <row r="83" spans="1:6" ht="24">
      <c r="A83" s="3118">
        <v>9</v>
      </c>
      <c r="B83" s="3850"/>
      <c r="C83" s="3092" t="s">
        <v>2668</v>
      </c>
      <c r="D83" s="3092" t="s">
        <v>2669</v>
      </c>
      <c r="E83" s="3118">
        <v>0.1</v>
      </c>
      <c r="F83" s="3118">
        <v>15</v>
      </c>
    </row>
    <row r="84" spans="1:6" ht="24">
      <c r="A84" s="3118">
        <v>10</v>
      </c>
      <c r="B84" s="3850"/>
      <c r="C84" s="3092" t="s">
        <v>2670</v>
      </c>
      <c r="D84" s="3092" t="s">
        <v>2671</v>
      </c>
      <c r="E84" s="3118">
        <v>0.1</v>
      </c>
      <c r="F84" s="3118">
        <v>15</v>
      </c>
    </row>
    <row r="85" spans="1:6" ht="24">
      <c r="A85" s="3118">
        <v>11</v>
      </c>
      <c r="B85" s="3850"/>
      <c r="C85" s="3092" t="s">
        <v>2672</v>
      </c>
      <c r="D85" s="3092" t="s">
        <v>2673</v>
      </c>
      <c r="E85" s="3118">
        <v>0.1</v>
      </c>
      <c r="F85" s="3118">
        <v>15</v>
      </c>
    </row>
    <row r="86" spans="1:6" ht="24">
      <c r="A86" s="3118">
        <v>12</v>
      </c>
      <c r="B86" s="3850"/>
      <c r="C86" s="3092" t="s">
        <v>2674</v>
      </c>
      <c r="D86" s="3092" t="s">
        <v>2675</v>
      </c>
      <c r="E86" s="3118">
        <v>0.1</v>
      </c>
      <c r="F86" s="3118">
        <v>15</v>
      </c>
    </row>
    <row r="87" spans="1:6" ht="13.5">
      <c r="A87" s="3118">
        <v>13</v>
      </c>
      <c r="B87" s="3850"/>
      <c r="C87" s="3092" t="s">
        <v>2676</v>
      </c>
      <c r="D87" s="3092" t="s">
        <v>2677</v>
      </c>
      <c r="E87" s="3118">
        <v>0.1</v>
      </c>
      <c r="F87" s="3118">
        <v>15</v>
      </c>
    </row>
    <row r="88" spans="1:6" ht="13.5">
      <c r="A88" s="3118">
        <v>14</v>
      </c>
      <c r="B88" s="3850"/>
      <c r="C88" s="3092" t="s">
        <v>2678</v>
      </c>
      <c r="D88" s="3092" t="s">
        <v>2679</v>
      </c>
      <c r="E88" s="3118">
        <v>0.1</v>
      </c>
      <c r="F88" s="3118">
        <v>15</v>
      </c>
    </row>
    <row r="89" spans="1:6" ht="13.5">
      <c r="A89" s="3118">
        <v>15</v>
      </c>
      <c r="B89" s="3850"/>
      <c r="C89" s="3092" t="s">
        <v>2680</v>
      </c>
      <c r="D89" s="3092" t="s">
        <v>2681</v>
      </c>
      <c r="E89" s="3118">
        <v>0.1</v>
      </c>
      <c r="F89" s="3118">
        <v>15</v>
      </c>
    </row>
    <row r="90" spans="1:6" ht="24">
      <c r="A90" s="3118">
        <v>16</v>
      </c>
      <c r="B90" s="3850"/>
      <c r="C90" s="3092" t="s">
        <v>2682</v>
      </c>
      <c r="D90" s="3092" t="s">
        <v>2683</v>
      </c>
      <c r="E90" s="3118">
        <v>0.1</v>
      </c>
      <c r="F90" s="3118">
        <v>15</v>
      </c>
    </row>
    <row r="91" spans="1:6" ht="24">
      <c r="A91" s="3118">
        <v>17</v>
      </c>
      <c r="B91" s="3849"/>
      <c r="C91" s="3092" t="s">
        <v>2684</v>
      </c>
      <c r="D91" s="3092" t="s">
        <v>2685</v>
      </c>
      <c r="E91" s="3118">
        <v>0.1</v>
      </c>
      <c r="F91" s="3118">
        <v>15</v>
      </c>
    </row>
    <row r="92" spans="1:6" ht="13.5">
      <c r="A92" s="3118">
        <v>18</v>
      </c>
      <c r="B92" s="3848" t="s">
        <v>2686</v>
      </c>
      <c r="C92" s="3092" t="s">
        <v>2687</v>
      </c>
      <c r="D92" s="3092" t="s">
        <v>2688</v>
      </c>
      <c r="E92" s="3118">
        <v>0.2</v>
      </c>
      <c r="F92" s="3118">
        <v>25</v>
      </c>
    </row>
    <row r="93" spans="1:6" ht="24">
      <c r="A93" s="3118">
        <v>19</v>
      </c>
      <c r="B93" s="3850"/>
      <c r="C93" s="3092" t="s">
        <v>2689</v>
      </c>
      <c r="D93" s="3092" t="s">
        <v>2690</v>
      </c>
      <c r="E93" s="3118">
        <v>0.2</v>
      </c>
      <c r="F93" s="3118">
        <v>25</v>
      </c>
    </row>
    <row r="94" spans="1:6" ht="13.5">
      <c r="A94" s="3118">
        <v>20</v>
      </c>
      <c r="B94" s="3850"/>
      <c r="C94" s="3092" t="s">
        <v>2691</v>
      </c>
      <c r="D94" s="3092" t="s">
        <v>2692</v>
      </c>
      <c r="E94" s="3118">
        <v>0.15</v>
      </c>
      <c r="F94" s="3118">
        <v>20</v>
      </c>
    </row>
    <row r="95" spans="1:6" ht="13.5">
      <c r="A95" s="3118">
        <v>21</v>
      </c>
      <c r="B95" s="3850"/>
      <c r="C95" s="3092" t="s">
        <v>2693</v>
      </c>
      <c r="D95" s="3092" t="s">
        <v>2694</v>
      </c>
      <c r="E95" s="3118">
        <v>0.15</v>
      </c>
      <c r="F95" s="3118">
        <v>20</v>
      </c>
    </row>
    <row r="96" spans="1:6" ht="13.5">
      <c r="A96" s="3118">
        <v>22</v>
      </c>
      <c r="B96" s="3850"/>
      <c r="C96" s="3092" t="s">
        <v>2695</v>
      </c>
      <c r="D96" s="3092" t="s">
        <v>2696</v>
      </c>
      <c r="E96" s="3118">
        <v>0.15</v>
      </c>
      <c r="F96" s="3118">
        <v>20</v>
      </c>
    </row>
    <row r="97" spans="1:6" ht="36">
      <c r="A97" s="3118">
        <v>23</v>
      </c>
      <c r="B97" s="3850"/>
      <c r="C97" s="3092" t="s">
        <v>2697</v>
      </c>
      <c r="D97" s="3092" t="s">
        <v>2698</v>
      </c>
      <c r="E97" s="3118">
        <v>0.15</v>
      </c>
      <c r="F97" s="3118">
        <v>20</v>
      </c>
    </row>
    <row r="98" spans="1:6" ht="13.5">
      <c r="A98" s="3118">
        <v>24</v>
      </c>
      <c r="B98" s="3850"/>
      <c r="C98" s="3092" t="s">
        <v>2699</v>
      </c>
      <c r="D98" s="3092" t="s">
        <v>2700</v>
      </c>
      <c r="E98" s="3118">
        <v>0.1</v>
      </c>
      <c r="F98" s="3118">
        <v>15</v>
      </c>
    </row>
    <row r="99" spans="1:6" ht="13.5">
      <c r="A99" s="3118">
        <v>25</v>
      </c>
      <c r="B99" s="3850"/>
      <c r="C99" s="3092" t="s">
        <v>2701</v>
      </c>
      <c r="D99" s="3092" t="s">
        <v>2702</v>
      </c>
      <c r="E99" s="3118">
        <v>0.1</v>
      </c>
      <c r="F99" s="3118">
        <v>15</v>
      </c>
    </row>
    <row r="100" spans="1:6" ht="24">
      <c r="A100" s="3118">
        <v>26</v>
      </c>
      <c r="B100" s="3850"/>
      <c r="C100" s="3092" t="s">
        <v>2703</v>
      </c>
      <c r="D100" s="3092" t="s">
        <v>2704</v>
      </c>
      <c r="E100" s="3118">
        <v>0.1</v>
      </c>
      <c r="F100" s="3118">
        <v>15</v>
      </c>
    </row>
    <row r="101" spans="1:6" ht="24">
      <c r="A101" s="3118">
        <v>27</v>
      </c>
      <c r="B101" s="3850"/>
      <c r="C101" s="3092" t="s">
        <v>2705</v>
      </c>
      <c r="D101" s="3092" t="s">
        <v>2706</v>
      </c>
      <c r="E101" s="3118">
        <v>0.1</v>
      </c>
      <c r="F101" s="3118">
        <v>15</v>
      </c>
    </row>
    <row r="102" spans="1:6" ht="13.5">
      <c r="A102" s="3118">
        <v>28</v>
      </c>
      <c r="B102" s="3850"/>
      <c r="C102" s="3092" t="s">
        <v>2707</v>
      </c>
      <c r="D102" s="3092" t="s">
        <v>2708</v>
      </c>
      <c r="E102" s="3118">
        <v>0.1</v>
      </c>
      <c r="F102" s="3118">
        <v>15</v>
      </c>
    </row>
    <row r="103" spans="1:6" ht="13.5">
      <c r="A103" s="3118">
        <v>29</v>
      </c>
      <c r="B103" s="3850"/>
      <c r="C103" s="3092" t="s">
        <v>2709</v>
      </c>
      <c r="D103" s="3092" t="s">
        <v>2710</v>
      </c>
      <c r="E103" s="3118">
        <v>0.1</v>
      </c>
      <c r="F103" s="3118">
        <v>15</v>
      </c>
    </row>
    <row r="104" spans="1:6" ht="13.5">
      <c r="A104" s="3118">
        <v>30</v>
      </c>
      <c r="B104" s="3850"/>
      <c r="C104" s="3092" t="s">
        <v>2711</v>
      </c>
      <c r="D104" s="3092" t="s">
        <v>2712</v>
      </c>
      <c r="E104" s="3118">
        <v>0.1</v>
      </c>
      <c r="F104" s="3118">
        <v>15</v>
      </c>
    </row>
    <row r="105" spans="1:6" ht="24">
      <c r="A105" s="3118">
        <v>31</v>
      </c>
      <c r="B105" s="3850"/>
      <c r="C105" s="3092" t="s">
        <v>2713</v>
      </c>
      <c r="D105" s="3092" t="s">
        <v>2714</v>
      </c>
      <c r="E105" s="3118">
        <v>0.1</v>
      </c>
      <c r="F105" s="3118">
        <v>15</v>
      </c>
    </row>
    <row r="106" spans="1:6" ht="24">
      <c r="A106" s="3118">
        <v>32</v>
      </c>
      <c r="B106" s="3850"/>
      <c r="C106" s="3092" t="s">
        <v>2715</v>
      </c>
      <c r="D106" s="3092" t="s">
        <v>2716</v>
      </c>
      <c r="E106" s="3118">
        <v>0.1</v>
      </c>
      <c r="F106" s="3118">
        <v>15</v>
      </c>
    </row>
    <row r="107" spans="1:6" ht="24">
      <c r="A107" s="3118">
        <v>33</v>
      </c>
      <c r="B107" s="3850"/>
      <c r="C107" s="3092" t="s">
        <v>2717</v>
      </c>
      <c r="D107" s="3092" t="s">
        <v>2718</v>
      </c>
      <c r="E107" s="3118">
        <v>0.1</v>
      </c>
      <c r="F107" s="3118">
        <v>15</v>
      </c>
    </row>
    <row r="108" spans="1:6" ht="24">
      <c r="A108" s="3118">
        <v>34</v>
      </c>
      <c r="B108" s="3849"/>
      <c r="C108" s="3092" t="s">
        <v>2719</v>
      </c>
      <c r="D108" s="3092" t="s">
        <v>2720</v>
      </c>
      <c r="E108" s="3118">
        <v>0.1</v>
      </c>
      <c r="F108" s="3118">
        <v>15</v>
      </c>
    </row>
    <row r="109" spans="1:6" ht="24">
      <c r="A109" s="3118">
        <v>35</v>
      </c>
      <c r="B109" s="3848" t="s">
        <v>2721</v>
      </c>
      <c r="C109" s="3118" t="s">
        <v>2722</v>
      </c>
      <c r="D109" s="3092" t="s">
        <v>2723</v>
      </c>
      <c r="E109" s="3118">
        <v>0.15</v>
      </c>
      <c r="F109" s="3118">
        <v>20</v>
      </c>
    </row>
    <row r="110" spans="1:6" ht="13.5">
      <c r="A110" s="3118">
        <v>36</v>
      </c>
      <c r="B110" s="3850"/>
      <c r="C110" s="3118" t="s">
        <v>2724</v>
      </c>
      <c r="D110" s="3092" t="s">
        <v>2725</v>
      </c>
      <c r="E110" s="3118">
        <v>0.15</v>
      </c>
      <c r="F110" s="3118">
        <v>20</v>
      </c>
    </row>
    <row r="111" spans="1:6" ht="13.5">
      <c r="A111" s="3118">
        <v>37</v>
      </c>
      <c r="B111" s="3850"/>
      <c r="C111" s="3118" t="s">
        <v>2726</v>
      </c>
      <c r="D111" s="3092" t="s">
        <v>2727</v>
      </c>
      <c r="E111" s="3118">
        <v>0.15</v>
      </c>
      <c r="F111" s="3118">
        <v>20</v>
      </c>
    </row>
    <row r="112" spans="1:6" ht="13.5">
      <c r="A112" s="3118">
        <v>38</v>
      </c>
      <c r="B112" s="3850"/>
      <c r="C112" s="3118" t="s">
        <v>2728</v>
      </c>
      <c r="D112" s="3092" t="s">
        <v>2729</v>
      </c>
      <c r="E112" s="3118">
        <v>0.1</v>
      </c>
      <c r="F112" s="3118">
        <v>15</v>
      </c>
    </row>
    <row r="113" spans="1:6" ht="24">
      <c r="A113" s="3118">
        <v>39</v>
      </c>
      <c r="B113" s="3850"/>
      <c r="C113" s="3118" t="s">
        <v>2730</v>
      </c>
      <c r="D113" s="3092" t="s">
        <v>2731</v>
      </c>
      <c r="E113" s="3118">
        <v>0.1</v>
      </c>
      <c r="F113" s="3118">
        <v>15</v>
      </c>
    </row>
    <row r="114" spans="1:6" ht="24">
      <c r="A114" s="3118">
        <v>40</v>
      </c>
      <c r="B114" s="3849"/>
      <c r="C114" s="3118" t="s">
        <v>2732</v>
      </c>
      <c r="D114" s="3092" t="s">
        <v>2733</v>
      </c>
      <c r="E114" s="3118">
        <v>0.1</v>
      </c>
      <c r="F114" s="3118">
        <v>15</v>
      </c>
    </row>
    <row r="115" spans="1:6" ht="13.5">
      <c r="A115" s="3118">
        <v>41</v>
      </c>
      <c r="B115" s="3847" t="s">
        <v>2734</v>
      </c>
      <c r="C115" s="3118" t="s">
        <v>2735</v>
      </c>
      <c r="D115" s="3092" t="s">
        <v>2736</v>
      </c>
      <c r="E115" s="3118">
        <v>0.1</v>
      </c>
      <c r="F115" s="3118">
        <v>15</v>
      </c>
    </row>
    <row r="116" spans="1:6" ht="13.5">
      <c r="A116" s="3118">
        <v>42</v>
      </c>
      <c r="B116" s="3847"/>
      <c r="C116" s="3118" t="s">
        <v>2737</v>
      </c>
      <c r="D116" s="3092" t="s">
        <v>2738</v>
      </c>
      <c r="E116" s="3118">
        <v>0.1</v>
      </c>
      <c r="F116" s="3118">
        <v>15</v>
      </c>
    </row>
    <row r="117" spans="1:6" ht="24">
      <c r="A117" s="3118">
        <v>43</v>
      </c>
      <c r="B117" s="3847"/>
      <c r="C117" s="3118" t="s">
        <v>2739</v>
      </c>
      <c r="D117" s="3092" t="s">
        <v>2740</v>
      </c>
      <c r="E117" s="3118">
        <v>0.1</v>
      </c>
      <c r="F117" s="3118">
        <v>15</v>
      </c>
    </row>
    <row r="118" spans="1:6" ht="13.5">
      <c r="A118" s="3118">
        <v>44</v>
      </c>
      <c r="B118" s="3848" t="s">
        <v>2741</v>
      </c>
      <c r="C118" s="3118" t="s">
        <v>2742</v>
      </c>
      <c r="D118" s="3092" t="s">
        <v>2743</v>
      </c>
      <c r="E118" s="3118">
        <v>0.1</v>
      </c>
      <c r="F118" s="3118">
        <v>15</v>
      </c>
    </row>
    <row r="119" spans="1:6" ht="24">
      <c r="A119" s="3118">
        <v>45</v>
      </c>
      <c r="B119" s="3849"/>
      <c r="C119" s="3092" t="s">
        <v>2744</v>
      </c>
      <c r="D119" s="3092" t="s">
        <v>2745</v>
      </c>
      <c r="E119" s="3118">
        <v>0.1</v>
      </c>
      <c r="F119" s="3118">
        <v>15</v>
      </c>
    </row>
    <row r="120" spans="1:6" ht="24">
      <c r="A120" s="3118">
        <v>46</v>
      </c>
      <c r="B120" s="3848" t="s">
        <v>2746</v>
      </c>
      <c r="C120" s="3118" t="s">
        <v>2747</v>
      </c>
      <c r="D120" s="3092" t="s">
        <v>2748</v>
      </c>
      <c r="E120" s="3118">
        <v>0.1</v>
      </c>
      <c r="F120" s="3118">
        <v>15</v>
      </c>
    </row>
    <row r="121" spans="1:6" ht="24">
      <c r="A121" s="3118">
        <v>47</v>
      </c>
      <c r="B121" s="3849"/>
      <c r="C121" s="3118" t="s">
        <v>2749</v>
      </c>
      <c r="D121" s="3092" t="s">
        <v>2750</v>
      </c>
      <c r="E121" s="3118">
        <v>0.1</v>
      </c>
      <c r="F121" s="3118">
        <v>15</v>
      </c>
    </row>
    <row r="122" spans="1:6" ht="13.5">
      <c r="A122" s="3118">
        <v>48</v>
      </c>
      <c r="B122" s="3848" t="s">
        <v>2751</v>
      </c>
      <c r="C122" s="3118" t="s">
        <v>2752</v>
      </c>
      <c r="D122" s="3092" t="s">
        <v>2753</v>
      </c>
      <c r="E122" s="3118">
        <v>0.1</v>
      </c>
      <c r="F122" s="3118">
        <v>15</v>
      </c>
    </row>
    <row r="123" spans="1:6" ht="13.5">
      <c r="A123" s="3118">
        <v>49</v>
      </c>
      <c r="B123" s="3849"/>
      <c r="C123" s="3118" t="s">
        <v>2754</v>
      </c>
      <c r="D123" s="3092" t="s">
        <v>2755</v>
      </c>
      <c r="E123" s="3118">
        <v>0.1</v>
      </c>
      <c r="F123" s="3118">
        <v>15</v>
      </c>
    </row>
    <row r="124" spans="1:6" ht="24">
      <c r="A124" s="3118">
        <v>50</v>
      </c>
      <c r="B124" s="3847" t="s">
        <v>2756</v>
      </c>
      <c r="C124" s="3118" t="s">
        <v>2757</v>
      </c>
      <c r="D124" s="3092" t="s">
        <v>2758</v>
      </c>
      <c r="E124" s="3118">
        <v>0.1</v>
      </c>
      <c r="F124" s="3118">
        <v>15</v>
      </c>
    </row>
    <row r="125" spans="1:6" ht="24">
      <c r="A125" s="3118">
        <v>51</v>
      </c>
      <c r="B125" s="3847"/>
      <c r="C125" s="3118" t="s">
        <v>2759</v>
      </c>
      <c r="D125" s="3092" t="s">
        <v>2760</v>
      </c>
      <c r="E125" s="3118">
        <v>0.1</v>
      </c>
      <c r="F125" s="3118">
        <v>15</v>
      </c>
    </row>
    <row r="126" spans="1:6" ht="24">
      <c r="A126" s="3118">
        <v>52</v>
      </c>
      <c r="B126" s="3847" t="s">
        <v>2761</v>
      </c>
      <c r="C126" s="3118" t="s">
        <v>2762</v>
      </c>
      <c r="D126" s="3092" t="s">
        <v>2763</v>
      </c>
      <c r="E126" s="3118">
        <v>0.1</v>
      </c>
      <c r="F126" s="3118">
        <v>15</v>
      </c>
    </row>
    <row r="127" spans="1:6" ht="24">
      <c r="A127" s="3118">
        <v>53</v>
      </c>
      <c r="B127" s="3847"/>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847" t="s">
        <v>2769</v>
      </c>
      <c r="C129" s="3118" t="s">
        <v>2770</v>
      </c>
      <c r="D129" s="3092" t="s">
        <v>2771</v>
      </c>
      <c r="E129" s="3118">
        <v>0.1</v>
      </c>
      <c r="F129" s="3118">
        <v>15</v>
      </c>
    </row>
    <row r="130" spans="1:6" ht="13.5">
      <c r="A130" s="3118">
        <v>56</v>
      </c>
      <c r="B130" s="3847"/>
      <c r="C130" s="3118" t="s">
        <v>2772</v>
      </c>
      <c r="D130" s="3092" t="s">
        <v>2773</v>
      </c>
      <c r="E130" s="3118">
        <v>0.1</v>
      </c>
      <c r="F130" s="3118">
        <v>15</v>
      </c>
    </row>
    <row r="131" spans="1:6" ht="24">
      <c r="A131" s="3118">
        <v>57</v>
      </c>
      <c r="B131" s="3847"/>
      <c r="C131" s="3118" t="s">
        <v>2774</v>
      </c>
      <c r="D131" s="3092" t="s">
        <v>2775</v>
      </c>
      <c r="E131" s="3118">
        <v>0.1</v>
      </c>
      <c r="F131" s="3118">
        <v>15</v>
      </c>
    </row>
    <row r="132" spans="1:6" ht="24">
      <c r="A132" s="3118">
        <v>58</v>
      </c>
      <c r="B132" s="3847" t="s">
        <v>2776</v>
      </c>
      <c r="C132" s="3118" t="s">
        <v>2777</v>
      </c>
      <c r="D132" s="3092" t="s">
        <v>2778</v>
      </c>
      <c r="E132" s="3118">
        <v>0.1</v>
      </c>
      <c r="F132" s="3118">
        <v>15</v>
      </c>
    </row>
    <row r="133" spans="1:6" ht="13.5">
      <c r="A133" s="3118">
        <v>59</v>
      </c>
      <c r="B133" s="3847"/>
      <c r="C133" s="3118" t="s">
        <v>2779</v>
      </c>
      <c r="D133" s="3092" t="s">
        <v>2780</v>
      </c>
      <c r="E133" s="3118">
        <v>0.1</v>
      </c>
      <c r="F133" s="3118">
        <v>15</v>
      </c>
    </row>
    <row r="134" spans="1:6" ht="13.5">
      <c r="A134" s="3118">
        <v>60</v>
      </c>
      <c r="B134" s="3848" t="s">
        <v>2781</v>
      </c>
      <c r="C134" s="3118" t="s">
        <v>2782</v>
      </c>
      <c r="D134" s="3092" t="s">
        <v>2783</v>
      </c>
      <c r="E134" s="3118">
        <v>0.1</v>
      </c>
      <c r="F134" s="3118">
        <v>15</v>
      </c>
    </row>
    <row r="135" spans="1:6" ht="13.5">
      <c r="A135" s="3118">
        <v>61</v>
      </c>
      <c r="B135" s="3849"/>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847" t="s">
        <v>2789</v>
      </c>
      <c r="C137" s="3118" t="s">
        <v>2790</v>
      </c>
      <c r="D137" s="3092" t="s">
        <v>2791</v>
      </c>
      <c r="E137" s="3118">
        <v>0.1</v>
      </c>
      <c r="F137" s="3118">
        <v>15</v>
      </c>
    </row>
    <row r="138" spans="1:6" ht="13.5">
      <c r="A138" s="3118">
        <v>64</v>
      </c>
      <c r="B138" s="3847"/>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8"/>
      <c r="C2" s="3538"/>
      <c r="D2" s="3538"/>
      <c r="E2" s="3538"/>
    </row>
    <row r="3" spans="1:5" ht="18">
      <c r="A3" s="3539" t="str">
        <f>IF(项目基本情况!B9="房地产市场价值","估价结果一览表（市场价值不需“结果表-1”）","估价结果一览表")</f>
        <v>估价结果一览表</v>
      </c>
      <c r="B3" s="3539"/>
      <c r="C3" s="3539"/>
      <c r="D3" s="3539"/>
      <c r="E3" s="3539"/>
    </row>
    <row r="4" spans="1:5" ht="19.5" thickBot="1">
      <c r="A4" s="1493"/>
      <c r="B4" s="3537" t="s">
        <v>917</v>
      </c>
      <c r="C4" s="3537"/>
      <c r="D4" s="3537"/>
      <c r="E4" s="1493"/>
    </row>
    <row r="5" spans="1:5" ht="16.5" thickTop="1">
      <c r="A5" s="1491"/>
      <c r="B5" s="3535" t="s">
        <v>909</v>
      </c>
      <c r="C5" s="1494" t="s">
        <v>910</v>
      </c>
      <c r="D5" s="850" t="e">
        <f ca="1">结果表!H101</f>
        <v>#REF!</v>
      </c>
      <c r="E5" s="1491"/>
    </row>
    <row r="6" spans="1:5" ht="15.75">
      <c r="A6" s="1491"/>
      <c r="B6" s="3535"/>
      <c r="C6" s="1494" t="s">
        <v>911</v>
      </c>
      <c r="D6" s="850" t="e">
        <f ca="1">NUMBERSTRING(INT(D5*10000),2)&amp;"元整"</f>
        <v>#REF!</v>
      </c>
      <c r="E6" s="1491"/>
    </row>
    <row r="7" spans="1:5" ht="15.75">
      <c r="A7" s="1491"/>
      <c r="B7" s="3540"/>
      <c r="C7" s="1495" t="s">
        <v>912</v>
      </c>
      <c r="D7" s="851" t="e">
        <f ca="1">结果表!H102</f>
        <v>#REF!</v>
      </c>
      <c r="E7" s="1491"/>
    </row>
    <row r="8" spans="1:5" ht="15.75">
      <c r="A8" s="1491"/>
      <c r="B8" s="3541" t="str">
        <f>结果表!E103</f>
        <v>2.估价师知悉的法定优先受偿款</v>
      </c>
      <c r="C8" s="1496" t="s">
        <v>913</v>
      </c>
      <c r="D8" s="851">
        <f>结果表!H103</f>
        <v>0</v>
      </c>
      <c r="E8" s="1491"/>
    </row>
    <row r="9" spans="1:5" ht="15.75">
      <c r="A9" s="1491"/>
      <c r="B9" s="354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34" t="str">
        <f>结果表!E107</f>
        <v>3.房地产抵押价值</v>
      </c>
      <c r="C13" s="1499" t="s">
        <v>910</v>
      </c>
      <c r="D13" s="853" t="e">
        <f ca="1">结果表!H107</f>
        <v>#REF!</v>
      </c>
      <c r="E13" s="1491"/>
    </row>
    <row r="14" spans="1:5" ht="15.75">
      <c r="A14" s="1491"/>
      <c r="B14" s="3535"/>
      <c r="C14" s="1494" t="s">
        <v>911</v>
      </c>
      <c r="D14" s="850" t="e">
        <f ca="1">NUMBERSTRING(INT(D13*10000),2)&amp;"元整"</f>
        <v>#REF!</v>
      </c>
      <c r="E14" s="1491"/>
    </row>
    <row r="15" spans="1:5" ht="15">
      <c r="A15" s="1491"/>
      <c r="B15" s="3540"/>
      <c r="C15" s="1495" t="s">
        <v>921</v>
      </c>
      <c r="D15" s="859" t="e">
        <f ca="1">结果表!H108</f>
        <v>#REF!</v>
      </c>
      <c r="E15" s="1491"/>
    </row>
    <row r="16" spans="1:5" ht="15">
      <c r="A16" s="1491"/>
      <c r="B16" s="3541" t="str">
        <f>结果表!E109</f>
        <v>——</v>
      </c>
      <c r="C16" s="1499" t="s">
        <v>922</v>
      </c>
      <c r="D16" s="1500" t="str">
        <f>结果表!H109</f>
        <v>——</v>
      </c>
      <c r="E16" s="1491"/>
    </row>
    <row r="17" spans="1:5" ht="15.75">
      <c r="A17" s="1491"/>
      <c r="B17" s="3542"/>
      <c r="C17" s="1494" t="s">
        <v>923</v>
      </c>
      <c r="D17" s="850" t="e">
        <f>NUMBERSTRING(INT(D16*10000),2)&amp;"元整"</f>
        <v>#VALUE!</v>
      </c>
      <c r="E17" s="1491"/>
    </row>
    <row r="18" spans="1:5" ht="15">
      <c r="A18" s="1491"/>
      <c r="B18" s="3543"/>
      <c r="C18" s="1495" t="s">
        <v>912</v>
      </c>
      <c r="D18" s="859" t="str">
        <f>结果表!H110</f>
        <v>——</v>
      </c>
      <c r="E18" s="1491"/>
    </row>
    <row r="19" spans="1:5" ht="15.75">
      <c r="A19" s="1491"/>
      <c r="B19" s="3534" t="str">
        <f>结果表!E111</f>
        <v>——</v>
      </c>
      <c r="C19" s="1499" t="s">
        <v>910</v>
      </c>
      <c r="D19" s="851" t="str">
        <f>结果表!H111</f>
        <v>——</v>
      </c>
      <c r="E19" s="1491"/>
    </row>
    <row r="20" spans="1:5" ht="15.75">
      <c r="A20" s="1491"/>
      <c r="B20" s="3535"/>
      <c r="C20" s="1494" t="s">
        <v>923</v>
      </c>
      <c r="D20" s="850" t="e">
        <f>NUMBERSTRING(INT(D19*10000),2)&amp;"元整"</f>
        <v>#VALUE!</v>
      </c>
      <c r="E20" s="1491"/>
    </row>
    <row r="21" spans="1:5" ht="15.75" thickBot="1">
      <c r="A21" s="1491"/>
      <c r="B21" s="353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1.2302</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1.1198999999999999</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28098</v>
      </c>
      <c r="C2" s="2" t="s">
        <v>106</v>
      </c>
      <c r="D2" s="199"/>
      <c r="E2" s="199"/>
      <c r="F2" s="199"/>
      <c r="G2" s="199"/>
    </row>
    <row r="3" spans="1:7" s="200" customFormat="1" ht="18" customHeight="1" thickBot="1">
      <c r="A3" s="203" t="s">
        <v>58</v>
      </c>
      <c r="B3" s="204">
        <f ca="1">ROUND(B2*10000/'数据-汇总表'!E3,0)</f>
        <v>479881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v>
      </c>
      <c r="D10" s="845">
        <f>'数据-汇总表'!E6</f>
        <v>585.52</v>
      </c>
      <c r="E10" s="225">
        <f>'数据-取费表'!B28</f>
        <v>100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v>
      </c>
      <c r="D19" s="849">
        <f>'数据-汇总表'!E3</f>
        <v>585.52</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1330</v>
      </c>
      <c r="D22" s="235">
        <f ca="1">C26</f>
        <v>5.9999999999999995E-4</v>
      </c>
      <c r="E22" s="236" t="s">
        <v>99</v>
      </c>
      <c r="F22" s="237">
        <f ca="1">'数据-取费表'!B40</f>
        <v>3.1300000000000001E-2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1310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3186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27875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193</v>
      </c>
      <c r="D34" s="217"/>
      <c r="E34" s="220"/>
      <c r="F34" s="257">
        <f>IF('数据-取费表'!B24=0,1,'数据-取费表'!N16)</f>
        <v>1</v>
      </c>
      <c r="G34" s="219" t="s">
        <v>89</v>
      </c>
    </row>
    <row r="35" spans="1:7" ht="13.5" customHeight="1">
      <c r="A35" s="780" t="s">
        <v>351</v>
      </c>
      <c r="B35" s="215" t="s">
        <v>33</v>
      </c>
      <c r="C35" s="220">
        <f>ROUND(C34*F35,0)</f>
        <v>10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v>
      </c>
      <c r="D37" s="217">
        <f>'数据-汇总表'!E3</f>
        <v>585.52</v>
      </c>
      <c r="E37" s="249">
        <f>'数据-取费表'!B35</f>
        <v>200</v>
      </c>
      <c r="F37" s="259"/>
      <c r="G37" s="261" t="s">
        <v>92</v>
      </c>
    </row>
    <row r="38" spans="1:7" ht="13.5" customHeight="1">
      <c r="A38" s="780" t="s">
        <v>354</v>
      </c>
      <c r="B38" s="215" t="s">
        <v>36</v>
      </c>
      <c r="C38" s="220">
        <f>ROUND(C34*F38,0)</f>
        <v>4</v>
      </c>
      <c r="D38" s="220"/>
      <c r="E38" s="220"/>
      <c r="F38" s="259">
        <f>'数据-取费表'!B36</f>
        <v>0.02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v>
      </c>
      <c r="D42" s="238"/>
      <c r="E42" s="238"/>
      <c r="F42" s="239"/>
      <c r="G42" s="3721" t="s">
        <v>94</v>
      </c>
    </row>
    <row r="43" spans="1:7" ht="13.5" customHeight="1">
      <c r="A43" s="780" t="s">
        <v>347</v>
      </c>
      <c r="B43" s="215" t="s">
        <v>426</v>
      </c>
      <c r="C43" s="238">
        <f ca="1">ROUND(IF('数据-取费表'!B22&lt;=1,C39*F22*'数据-取费表'!B21/2,C39*(POWER((1+F22),'数据-取费表'!B21/2)-1)),0)</f>
        <v>0</v>
      </c>
      <c r="D43" s="238"/>
      <c r="E43" s="238"/>
      <c r="F43" s="239"/>
      <c r="G43" s="3722"/>
    </row>
    <row r="44" spans="1:7" ht="13.5" customHeight="1">
      <c r="A44" s="780" t="s">
        <v>348</v>
      </c>
      <c r="B44" s="215" t="s">
        <v>428</v>
      </c>
      <c r="C44" s="238">
        <f ca="1">ROUND(IF('数据-取费表'!B22&lt;=1,C40*F22*'数据-取费表'!B21/2,C40*(POWER((1+F22),'数据-取费表'!B21/2)-1)),4)</f>
        <v>5.9999999999999995E-4</v>
      </c>
      <c r="D44" s="238"/>
      <c r="E44" s="238"/>
      <c r="F44" s="239"/>
      <c r="G44" s="3723"/>
    </row>
    <row r="45" spans="1:7" s="214" customFormat="1" ht="13.5" customHeight="1">
      <c r="A45" s="777" t="s">
        <v>341</v>
      </c>
      <c r="B45" s="244" t="s">
        <v>85</v>
      </c>
      <c r="C45" s="245">
        <f>C46</f>
        <v>34</v>
      </c>
      <c r="D45" s="235">
        <f>C47</f>
        <v>3.0000000000000001E-3</v>
      </c>
      <c r="E45" s="236" t="s">
        <v>102</v>
      </c>
      <c r="F45" s="246"/>
      <c r="G45" s="247" t="s">
        <v>434</v>
      </c>
    </row>
    <row r="46" spans="1:7" s="214" customFormat="1" ht="13.5" customHeight="1">
      <c r="A46" s="780" t="s">
        <v>349</v>
      </c>
      <c r="B46" s="248" t="s">
        <v>427</v>
      </c>
      <c r="C46" s="249">
        <f>ROUND((C33+C39)*F27,0)</f>
        <v>34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289</v>
      </c>
      <c r="D49" s="232"/>
      <c r="E49" s="232"/>
      <c r="F49" s="264"/>
      <c r="G49" s="234" t="s">
        <v>435</v>
      </c>
    </row>
    <row r="50" spans="1:7" s="258" customFormat="1" ht="24">
      <c r="A50" s="777" t="s">
        <v>344</v>
      </c>
      <c r="B50" s="210" t="s">
        <v>97</v>
      </c>
      <c r="C50" s="232"/>
      <c r="D50" s="232"/>
      <c r="E50" s="232"/>
      <c r="F50" s="264">
        <f>IF('数据-取费表'!B24=0,'数据-取费表'!N16,1)</f>
        <v>0.77</v>
      </c>
      <c r="G50" s="247" t="s">
        <v>98</v>
      </c>
    </row>
    <row r="51" spans="1:7" ht="16.5" customHeight="1">
      <c r="A51" s="777" t="s">
        <v>345</v>
      </c>
      <c r="B51" s="210" t="s">
        <v>105</v>
      </c>
      <c r="C51" s="232">
        <f ca="1">ROUND(C49*F50,0)</f>
        <v>223</v>
      </c>
      <c r="D51" s="232"/>
      <c r="E51" s="232"/>
      <c r="F51" s="264"/>
      <c r="G51" s="234" t="s">
        <v>37</v>
      </c>
    </row>
    <row r="52" spans="1:7" s="208" customFormat="1" ht="16.5" thickBot="1">
      <c r="A52" s="265" t="s">
        <v>38</v>
      </c>
      <c r="B52" s="266"/>
      <c r="C52" s="267">
        <f ca="1">C31+C51</f>
        <v>28098</v>
      </c>
      <c r="D52" s="266"/>
      <c r="E52" s="266"/>
      <c r="F52" s="266"/>
      <c r="G52" s="268"/>
    </row>
    <row r="55" spans="1:7" ht="15">
      <c r="B55" s="270" t="s">
        <v>39</v>
      </c>
      <c r="C55" s="271"/>
    </row>
    <row r="56" spans="1:7">
      <c r="B56" s="273" t="s">
        <v>40</v>
      </c>
      <c r="C56" s="274">
        <f ca="1">ROUND(C51/C52,3)</f>
        <v>8.0000000000000002E-3</v>
      </c>
    </row>
    <row r="57" spans="1:7">
      <c r="B57" s="273" t="s">
        <v>41</v>
      </c>
      <c r="C57" s="275">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61" t="s">
        <v>3181</v>
      </c>
      <c r="B1" s="386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62" t="s">
        <v>3232</v>
      </c>
      <c r="B1" s="3862"/>
      <c r="C1" s="3862"/>
      <c r="D1" s="3862"/>
      <c r="E1" s="3862"/>
      <c r="F1" s="386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21">
        <f>基准地价修正!G23</f>
        <v>45924</v>
      </c>
      <c r="B1" s="3210" t="s">
        <v>3376</v>
      </c>
      <c r="C1" s="3211"/>
      <c r="D1" s="3211"/>
      <c r="E1" s="3211"/>
      <c r="F1" s="3211"/>
      <c r="G1" s="3211"/>
      <c r="H1" s="3211"/>
      <c r="I1" s="3211"/>
      <c r="J1" s="3165"/>
      <c r="K1" s="3211" t="s">
        <v>454</v>
      </c>
      <c r="L1" s="3211"/>
      <c r="M1" s="3211"/>
      <c r="N1" s="3211"/>
      <c r="O1" s="3211"/>
      <c r="P1" s="3211"/>
      <c r="Q1" s="3165"/>
      <c r="R1" s="3864" t="s">
        <v>456</v>
      </c>
      <c r="S1" s="3865"/>
      <c r="T1" s="3865"/>
      <c r="U1" s="3865"/>
      <c r="V1" s="3865"/>
      <c r="W1" s="3865"/>
      <c r="X1" s="3165"/>
      <c r="Y1" s="3864" t="s">
        <v>457</v>
      </c>
      <c r="Z1" s="3865"/>
      <c r="AA1" s="3865"/>
      <c r="AB1" s="3865"/>
      <c r="AC1" s="3865"/>
      <c r="AD1" s="386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64" t="s">
        <v>2827</v>
      </c>
      <c r="S29" s="3865"/>
      <c r="T29" s="3865"/>
      <c r="U29" s="3865"/>
      <c r="V29" s="3865"/>
      <c r="W29" s="3865"/>
      <c r="X29" s="3165"/>
      <c r="Y29" s="3864" t="s">
        <v>2828</v>
      </c>
      <c r="Z29" s="3865"/>
      <c r="AA29" s="3865"/>
      <c r="AB29" s="3865"/>
      <c r="AC29" s="3865"/>
      <c r="AD29" s="386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71" t="s">
        <v>452</v>
      </c>
      <c r="C1" s="3871"/>
      <c r="D1" s="3871"/>
      <c r="E1" s="3871"/>
      <c r="F1" s="3871"/>
      <c r="G1" s="3870" t="s">
        <v>453</v>
      </c>
      <c r="H1" s="3870"/>
      <c r="I1" s="3870"/>
      <c r="J1" s="3870"/>
      <c r="K1" s="3870"/>
      <c r="L1" s="3870"/>
      <c r="N1" s="3870" t="s">
        <v>454</v>
      </c>
      <c r="O1" s="3870"/>
      <c r="P1" s="3870"/>
      <c r="Q1" s="3870"/>
      <c r="S1" s="3870" t="s">
        <v>455</v>
      </c>
      <c r="T1" s="3870"/>
      <c r="U1" s="3870"/>
      <c r="V1" s="3870"/>
      <c r="X1" s="3869" t="s">
        <v>456</v>
      </c>
      <c r="Y1" s="3870"/>
      <c r="Z1" s="3870"/>
      <c r="AA1" s="3870"/>
      <c r="AB1" s="3870"/>
      <c r="AD1" s="3869" t="s">
        <v>457</v>
      </c>
      <c r="AE1" s="3870"/>
      <c r="AF1" s="3870"/>
      <c r="AG1" s="3870"/>
      <c r="AH1" s="387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6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6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6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7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7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6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6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7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7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6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6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6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6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6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6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6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6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6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6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6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7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7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7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7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6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6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6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6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6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6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6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6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6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6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6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6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6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6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6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6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6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6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6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6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6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6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6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6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6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6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6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6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6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6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6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6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6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6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6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6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6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6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6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6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6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6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6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6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79" t="s">
        <v>2839</v>
      </c>
      <c r="B1" s="3879"/>
      <c r="C1" s="3879"/>
      <c r="D1" s="3879"/>
      <c r="E1" s="3879"/>
      <c r="F1" s="3879"/>
      <c r="G1" s="388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7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7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45924</v>
      </c>
      <c r="D1" s="1302" t="s">
        <v>603</v>
      </c>
      <c r="E1" s="1297">
        <f>'数据-取费表'!B22</f>
        <v>2</v>
      </c>
      <c r="F1" s="1302" t="s">
        <v>604</v>
      </c>
      <c r="G1" s="1298">
        <f ca="1">IF(OR(C1&lt;C27,E1&lt;=1),INDIRECT("d"&amp;$K$1)/100,ROUND((D5+(E1-C5)*(D7-D5)/(C7-C5))/100,4))</f>
        <v>3.1300000000000001E-2</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41"/>
  <sheetViews>
    <sheetView topLeftCell="A19" workbookViewId="0">
      <selection activeCell="O44" sqref="O44"/>
    </sheetView>
  </sheetViews>
  <sheetFormatPr defaultRowHeight="13.5"/>
  <sheetData>
    <row r="41" spans="12:12">
      <c r="L41" s="3484" t="s">
        <v>3480</v>
      </c>
    </row>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A134" sqref="A134"/>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51" t="str">
        <f>IF(项目基本情况!B9="房地产市场价值","估价结果一览表","结果表-2")</f>
        <v>结果表-2</v>
      </c>
      <c r="B1" s="3551"/>
      <c r="C1" s="3551"/>
      <c r="D1" s="3551"/>
      <c r="E1" s="3551"/>
      <c r="F1" s="3551"/>
      <c r="G1" s="3551"/>
      <c r="H1" s="3551"/>
      <c r="I1" s="3551"/>
    </row>
    <row r="2" spans="1:9" ht="30" customHeight="1" thickTop="1">
      <c r="A2" s="3552" t="s">
        <v>928</v>
      </c>
      <c r="B2" s="3552" t="s">
        <v>929</v>
      </c>
      <c r="C2" s="3552" t="s">
        <v>930</v>
      </c>
      <c r="D2" s="3552" t="str">
        <f>结果表!D116</f>
        <v>出让国有建设用地使用权价值</v>
      </c>
      <c r="E2" s="3552"/>
      <c r="F2" s="3552" t="str">
        <f>结果表!F116</f>
        <v>在建建筑物价值</v>
      </c>
      <c r="G2" s="3552"/>
      <c r="H2" s="3552" t="str">
        <f>IF(项目基本情况!B9="房地产市场价值","房地产市场价值","房地产价值")</f>
        <v>房地产价值</v>
      </c>
      <c r="I2" s="3552"/>
    </row>
    <row r="3" spans="1:9" ht="15">
      <c r="A3" s="3547"/>
      <c r="B3" s="3547"/>
      <c r="C3" s="3547"/>
      <c r="D3" s="854" t="s">
        <v>925</v>
      </c>
      <c r="E3" s="854" t="s">
        <v>931</v>
      </c>
      <c r="F3" s="854" t="s">
        <v>925</v>
      </c>
      <c r="G3" s="854" t="s">
        <v>926</v>
      </c>
      <c r="H3" s="854" t="s">
        <v>925</v>
      </c>
      <c r="I3" s="854" t="s">
        <v>926</v>
      </c>
    </row>
    <row r="4" spans="1:9" ht="30">
      <c r="A4" s="1505" t="str">
        <f>项目基本情况!S2</f>
        <v>北京市通州区环科中路16号22幢1层101厂房用房房地产</v>
      </c>
      <c r="B4" s="854">
        <f>项目基本情况!C17</f>
        <v>585.52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47" t="s">
        <v>927</v>
      </c>
      <c r="B5" s="3547"/>
      <c r="C5" s="3547"/>
      <c r="D5" s="3547" t="e">
        <f ca="1">结果表!D119</f>
        <v>#REF!</v>
      </c>
      <c r="E5" s="3547"/>
      <c r="F5" s="3547" t="e">
        <f ca="1">结果表!F119</f>
        <v>#REF!</v>
      </c>
      <c r="G5" s="3547"/>
      <c r="H5" s="3547" t="e">
        <f ca="1">结果表!H119</f>
        <v>#REF!</v>
      </c>
      <c r="I5" s="3547"/>
    </row>
    <row r="6" spans="1:9" ht="15.75">
      <c r="A6" s="3546" t="str">
        <f>结果表!A120</f>
        <v>估价师知悉的法定优先受偿款</v>
      </c>
      <c r="B6" s="3546"/>
      <c r="C6" s="3546"/>
      <c r="D6" s="3546">
        <f>结果表!D120</f>
        <v>0</v>
      </c>
      <c r="E6" s="3546"/>
      <c r="F6" s="3546"/>
      <c r="G6" s="3546"/>
      <c r="H6" s="3546"/>
      <c r="I6" s="3546"/>
    </row>
    <row r="7" spans="1:9" ht="15">
      <c r="A7" s="3547" t="s">
        <v>927</v>
      </c>
      <c r="B7" s="3547"/>
      <c r="C7" s="3547"/>
      <c r="D7" s="3548" t="str">
        <f>结果表!D121</f>
        <v>零元整</v>
      </c>
      <c r="E7" s="3549"/>
      <c r="F7" s="3549"/>
      <c r="G7" s="3549"/>
      <c r="H7" s="3549"/>
      <c r="I7" s="3550"/>
    </row>
    <row r="8" spans="1:9" ht="15.75">
      <c r="A8" s="3546" t="str">
        <f>结果表!A122</f>
        <v>房地产抵押价值</v>
      </c>
      <c r="B8" s="3546"/>
      <c r="C8" s="3546"/>
      <c r="D8" s="3546" t="e">
        <f ca="1">结果表!D122</f>
        <v>#REF!</v>
      </c>
      <c r="E8" s="3546"/>
      <c r="F8" s="3546"/>
      <c r="G8" s="3546"/>
      <c r="H8" s="3546"/>
      <c r="I8" s="3546"/>
    </row>
    <row r="9" spans="1:9" ht="15">
      <c r="A9" s="3547" t="s">
        <v>927</v>
      </c>
      <c r="B9" s="3547"/>
      <c r="C9" s="3547"/>
      <c r="D9" s="3547" t="e">
        <f ca="1">结果表!D123</f>
        <v>#REF!</v>
      </c>
      <c r="E9" s="3547"/>
      <c r="F9" s="3547"/>
      <c r="G9" s="3547"/>
      <c r="H9" s="3547"/>
      <c r="I9" s="3547"/>
    </row>
    <row r="10" spans="1:9" ht="15.75">
      <c r="A10" s="3546" t="str">
        <f>结果表!A124</f>
        <v/>
      </c>
      <c r="B10" s="3546"/>
      <c r="C10" s="3546"/>
      <c r="D10" s="3546" t="str">
        <f>结果表!D124</f>
        <v>——</v>
      </c>
      <c r="E10" s="3546"/>
      <c r="F10" s="3546"/>
      <c r="G10" s="3546"/>
      <c r="H10" s="3546"/>
      <c r="I10" s="3546"/>
    </row>
    <row r="11" spans="1:9" ht="15">
      <c r="A11" s="3547" t="s">
        <v>927</v>
      </c>
      <c r="B11" s="3547"/>
      <c r="C11" s="3547"/>
      <c r="D11" s="3547" t="e">
        <f>结果表!D125</f>
        <v>#VALUE!</v>
      </c>
      <c r="E11" s="3547"/>
      <c r="F11" s="3547"/>
      <c r="G11" s="3547"/>
      <c r="H11" s="3547"/>
      <c r="I11" s="3547"/>
    </row>
    <row r="12" spans="1:9" ht="15.75">
      <c r="A12" s="3546" t="str">
        <f>结果表!A126</f>
        <v/>
      </c>
      <c r="B12" s="3546"/>
      <c r="C12" s="3546"/>
      <c r="D12" s="3546" t="str">
        <f>结果表!D126</f>
        <v>——</v>
      </c>
      <c r="E12" s="3546"/>
      <c r="F12" s="3546"/>
      <c r="G12" s="3546"/>
      <c r="H12" s="3546"/>
      <c r="I12" s="3546"/>
    </row>
    <row r="13" spans="1:9" ht="15.75" thickBot="1">
      <c r="A13" s="3544" t="s">
        <v>927</v>
      </c>
      <c r="B13" s="3544"/>
      <c r="C13" s="3544"/>
      <c r="D13" s="3544" t="e">
        <f>结果表!D127</f>
        <v>#VALUE!</v>
      </c>
      <c r="E13" s="3544"/>
      <c r="F13" s="3544"/>
      <c r="G13" s="3544"/>
      <c r="H13" s="3544"/>
      <c r="I13" s="3544"/>
    </row>
    <row r="14" spans="1:9" ht="15" thickTop="1">
      <c r="A14" s="3545" t="s">
        <v>932</v>
      </c>
      <c r="B14" s="3545"/>
      <c r="C14" s="3545"/>
      <c r="D14" s="3545"/>
      <c r="E14" s="3545"/>
      <c r="F14" s="3545"/>
      <c r="G14" s="3545"/>
      <c r="H14" s="3545"/>
      <c r="I14" s="354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8" workbookViewId="0">
      <selection activeCell="N98" sqref="N98"/>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59" t="s">
        <v>949</v>
      </c>
      <c r="B1" s="3559"/>
      <c r="C1" s="3559"/>
      <c r="D1" s="3559"/>
    </row>
    <row r="2" spans="1:4" ht="18">
      <c r="A2" s="3560" t="s">
        <v>933</v>
      </c>
      <c r="B2" s="3560"/>
      <c r="C2" s="3560"/>
      <c r="D2" s="3560"/>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f>项目基本情况!D4</f>
        <v>0</v>
      </c>
      <c r="B5" s="1511">
        <f>项目基本情况!E4</f>
        <v>0</v>
      </c>
      <c r="C5" s="1514"/>
      <c r="D5" s="1513" t="s">
        <v>938</v>
      </c>
    </row>
    <row r="6" spans="1:4" ht="18">
      <c r="A6" s="3560" t="s">
        <v>939</v>
      </c>
      <c r="B6" s="3560"/>
      <c r="C6" s="3560"/>
      <c r="D6" s="356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61" t="s">
        <v>942</v>
      </c>
      <c r="B11" s="3553"/>
      <c r="C11" s="3553"/>
      <c r="D11" s="3553"/>
    </row>
    <row r="12" spans="1:4" ht="15.75">
      <c r="A12" s="35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8"/>
      <c r="C12" s="3558"/>
      <c r="D12" s="3558"/>
    </row>
    <row r="13" spans="1:4" ht="30" customHeight="1">
      <c r="A13" s="35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8"/>
      <c r="C13" s="3558"/>
      <c r="D13" s="3558"/>
    </row>
    <row r="14" spans="1:4" ht="15.75" customHeight="1">
      <c r="A14" s="3553" t="str">
        <f>IF(项目基本情况!B8="抵押","4.本次评估估价师所知悉的法定优先受偿款情况说明如下：","——")</f>
        <v>4.本次评估估价师所知悉的法定优先受偿款情况说明如下：</v>
      </c>
      <c r="B14" s="3558"/>
      <c r="C14" s="3558"/>
      <c r="D14" s="3558"/>
    </row>
    <row r="15" spans="1:4" ht="42" customHeight="1">
      <c r="A15" s="35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3"/>
      <c r="C15" s="3553"/>
      <c r="D15" s="3553"/>
    </row>
    <row r="16" spans="1:4" ht="30" customHeight="1">
      <c r="A16" s="3555" t="s">
        <v>943</v>
      </c>
      <c r="B16" s="3555"/>
      <c r="C16" s="3555"/>
      <c r="D16" s="3555"/>
    </row>
    <row r="17" spans="1:4" ht="144" customHeight="1">
      <c r="A17" s="3555" t="s">
        <v>944</v>
      </c>
      <c r="B17" s="3555"/>
      <c r="C17" s="3555"/>
      <c r="D17" s="3555"/>
    </row>
    <row r="18" spans="1:4" ht="15.75" customHeight="1">
      <c r="A18" s="3553" t="str">
        <f>IF(项目基本情况!B8="抵押",结果表!K120,"——")</f>
        <v>故，本次评估不存在估价师知悉的法定优先受偿款</v>
      </c>
      <c r="B18" s="3553"/>
      <c r="C18" s="3553"/>
      <c r="D18" s="3553"/>
    </row>
    <row r="19" spans="1:4" ht="46.5" customHeight="1">
      <c r="A19" s="35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3"/>
      <c r="C19" s="3553"/>
      <c r="D19" s="3553"/>
    </row>
    <row r="20" spans="1:4" ht="57.75" customHeight="1">
      <c r="A20" s="35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3"/>
      <c r="C20" s="3553"/>
      <c r="D20" s="3553"/>
    </row>
    <row r="21" spans="1:4" ht="57.75" customHeight="1">
      <c r="A21" s="35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6"/>
      <c r="C21" s="3556"/>
      <c r="D21" s="3556"/>
    </row>
    <row r="22" spans="1:4" ht="18.75" customHeight="1">
      <c r="A22" s="3557" t="s">
        <v>945</v>
      </c>
      <c r="B22" s="3557"/>
      <c r="C22" s="3557"/>
      <c r="D22" s="355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54">
        <v>42551</v>
      </c>
      <c r="D31" s="35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67" t="s">
        <v>956</v>
      </c>
      <c r="B15" s="3562" t="s">
        <v>109</v>
      </c>
      <c r="C15" s="3563"/>
    </row>
    <row r="16" spans="1:7" ht="13.5">
      <c r="A16" s="3568"/>
      <c r="B16" s="3562" t="s">
        <v>42</v>
      </c>
      <c r="C16" s="3563"/>
    </row>
    <row r="17" spans="1:3" ht="13.5">
      <c r="A17" s="3568"/>
      <c r="B17" s="3565" t="s">
        <v>957</v>
      </c>
      <c r="C17" s="1532" t="s">
        <v>956</v>
      </c>
    </row>
    <row r="18" spans="1:3" ht="13.5">
      <c r="A18" s="3568"/>
      <c r="B18" s="3565"/>
      <c r="C18" s="1532" t="s">
        <v>958</v>
      </c>
    </row>
    <row r="19" spans="1:3" ht="13.5">
      <c r="A19" s="3568"/>
      <c r="B19" s="3565"/>
      <c r="C19" s="1532" t="s">
        <v>959</v>
      </c>
    </row>
    <row r="20" spans="1:3" ht="13.5">
      <c r="A20" s="3569"/>
      <c r="B20" s="3564" t="s">
        <v>960</v>
      </c>
      <c r="C20" s="3563"/>
    </row>
    <row r="21" spans="1:3" ht="13.5">
      <c r="A21" s="1533" t="s">
        <v>961</v>
      </c>
      <c r="B21" s="1534"/>
      <c r="C21" s="1535"/>
    </row>
    <row r="22" spans="1:3" ht="13.5">
      <c r="A22" s="3566" t="s">
        <v>962</v>
      </c>
      <c r="B22" s="3564" t="s">
        <v>963</v>
      </c>
      <c r="C22" s="3563"/>
    </row>
    <row r="23" spans="1:3" ht="13.5">
      <c r="A23" s="3566"/>
      <c r="B23" s="3564" t="s">
        <v>964</v>
      </c>
      <c r="C23" s="3563"/>
    </row>
    <row r="24" spans="1:3" ht="13.5">
      <c r="A24" s="3566"/>
      <c r="B24" s="3564" t="s">
        <v>965</v>
      </c>
      <c r="C24" s="3563"/>
    </row>
    <row r="25" spans="1:3" ht="13.5">
      <c r="A25" s="3566"/>
      <c r="B25" s="3565" t="s">
        <v>966</v>
      </c>
      <c r="C25" s="1532" t="s">
        <v>967</v>
      </c>
    </row>
    <row r="26" spans="1:3" ht="13.5">
      <c r="A26" s="3566"/>
      <c r="B26" s="3565"/>
      <c r="C26" s="1532" t="s">
        <v>968</v>
      </c>
    </row>
    <row r="27" spans="1:3" ht="13.5">
      <c r="A27" s="3566"/>
      <c r="B27" s="3565"/>
      <c r="C27" s="1532" t="s">
        <v>969</v>
      </c>
    </row>
    <row r="28" spans="1:3" ht="13.5">
      <c r="A28" s="3566"/>
      <c r="B28" s="3565"/>
      <c r="C28" s="1532" t="s">
        <v>970</v>
      </c>
    </row>
    <row r="29" spans="1:3" ht="13.5">
      <c r="A29" s="3566"/>
      <c r="B29" s="3565"/>
      <c r="C29" s="1532" t="s">
        <v>971</v>
      </c>
    </row>
    <row r="30" spans="1:3" ht="13.5">
      <c r="A30" s="3566"/>
      <c r="B30" s="3565"/>
      <c r="C30" s="1532" t="s">
        <v>972</v>
      </c>
    </row>
    <row r="31" spans="1:3" ht="13.5">
      <c r="A31" s="3566"/>
      <c r="B31" s="3565"/>
      <c r="C31" s="1532" t="s">
        <v>973</v>
      </c>
    </row>
    <row r="32" spans="1:3" ht="13.5">
      <c r="A32" s="3566"/>
      <c r="B32" s="3565"/>
      <c r="C32" s="1532" t="s">
        <v>974</v>
      </c>
    </row>
    <row r="33" spans="1:3" ht="13.5">
      <c r="A33" s="3566"/>
      <c r="B33" s="356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45926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70" t="s">
        <v>2160</v>
      </c>
      <c r="B17" s="3570"/>
      <c r="C17" s="3570"/>
      <c r="D17" s="3570"/>
      <c r="E17" s="3570"/>
      <c r="F17" s="3570"/>
      <c r="G17" s="3570"/>
      <c r="H17" s="3570"/>
    </row>
    <row r="18" spans="1:8" ht="24" customHeight="1">
      <c r="A18" s="3571" t="s">
        <v>2161</v>
      </c>
      <c r="B18" s="3571"/>
      <c r="C18" s="3571"/>
      <c r="D18" s="2343"/>
      <c r="E18" s="3572" t="s">
        <v>2162</v>
      </c>
      <c r="F18" s="3571"/>
      <c r="G18" s="357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166</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租赁合同</vt:lpstr>
      <vt:lpstr>系统读取表</vt:lpstr>
      <vt:lpstr>结果表</vt:lpstr>
      <vt:lpstr>成本法</vt:lpstr>
      <vt:lpstr>比较法-工业</vt:lpstr>
      <vt:lpstr>租金比较法-工业</vt:lpstr>
      <vt:lpstr>收益法 (元)</vt:lpstr>
      <vt:lpstr>成本法 (元)</vt:lpstr>
      <vt:lpstr>假设开发法</vt:lpstr>
      <vt:lpstr>收益法</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租金案例</vt:lpstr>
      <vt:lpstr>售价案例</vt:lpstr>
      <vt:lpstr>城市基础设施建设费</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'租金比较法-工业'!Print_Area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'租金比较法-工业'!工业公共部分装修</vt:lpstr>
      <vt:lpstr>工业公共部分装修</vt:lpstr>
      <vt:lpstr>'租金比较法-工业'!工业基础设施水平</vt:lpstr>
      <vt:lpstr>工业基础设施水平</vt:lpstr>
      <vt:lpstr>'租金比较法-工业'!工业建筑结构</vt:lpstr>
      <vt:lpstr>工业建筑结构</vt:lpstr>
      <vt:lpstr>'租金比较法-工业'!工业建筑类型</vt:lpstr>
      <vt:lpstr>工业建筑类型</vt:lpstr>
      <vt:lpstr>'租金比较法-工业'!工业交易情况</vt:lpstr>
      <vt:lpstr>工业交易情况</vt:lpstr>
      <vt:lpstr>'租金比较法-工业'!工业内部装修</vt:lpstr>
      <vt:lpstr>工业内部装修</vt:lpstr>
      <vt:lpstr>'租金比较法-工业'!工业物业管理</vt:lpstr>
      <vt:lpstr>工业物业管理</vt:lpstr>
      <vt:lpstr>'租金比较法-工业'!工业用途</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2025-09-26T08:24:27Z</dcterms:modified>
</cp:coreProperties>
</file>