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6.资产评估\密云工业\"/>
    </mc:Choice>
  </mc:AlternateContent>
  <bookViews>
    <workbookView xWindow="0" yWindow="0" windowWidth="16740" windowHeight="13548"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Sheet1"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AH6" i="1" l="1"/>
  <c r="Y6" i="1"/>
  <c r="F19" i="6" l="1"/>
  <c r="E27" i="45" l="1"/>
  <c r="G14" i="73" l="1"/>
  <c r="F14" i="73"/>
  <c r="E14" i="73"/>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AR19" i="79" s="1"/>
  <c r="AR20" i="79" s="1"/>
  <c r="AR21" i="79" s="1"/>
  <c r="AR22" i="79" s="1"/>
  <c r="AR23" i="79" s="1"/>
  <c r="AR24"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W22" i="79"/>
  <c r="AK22" i="79" s="1"/>
  <c r="AH22" i="79"/>
  <c r="AD35" i="79"/>
  <c r="AD37" i="79"/>
  <c r="AD38" i="79"/>
  <c r="AD36" i="79"/>
  <c r="AD34" i="79"/>
  <c r="AR40" i="79"/>
  <c r="AR41" i="79" s="1"/>
  <c r="AR42" i="79" s="1"/>
  <c r="AR43" i="79" s="1"/>
  <c r="AR44" i="79" s="1"/>
  <c r="AR45" i="79" s="1"/>
  <c r="AR46" i="79" s="1"/>
  <c r="AR47" i="79" s="1"/>
  <c r="AR48" i="79" s="1"/>
  <c r="AR49" i="79" s="1"/>
  <c r="AR50" i="79" s="1"/>
  <c r="AR51" i="79" s="1"/>
  <c r="AR52" i="79" s="1"/>
  <c r="Z3" i="79"/>
  <c r="S34" i="79"/>
  <c r="AG34" i="79" s="1"/>
  <c r="S33" i="79"/>
  <c r="AG33" i="79" s="1"/>
  <c r="S35" i="79"/>
  <c r="AG35" i="79" s="1"/>
  <c r="AA31" i="79"/>
  <c r="AD31" i="79" s="1"/>
  <c r="T40" i="79"/>
  <c r="U46" i="79"/>
  <c r="AI46" i="79" s="1"/>
  <c r="AD47" i="79"/>
  <c r="S48" i="79"/>
  <c r="AG48" i="79" s="1"/>
  <c r="U50" i="79"/>
  <c r="AI50" i="79" s="1"/>
  <c r="AD51" i="79"/>
  <c r="T33" i="79"/>
  <c r="T34" i="79"/>
  <c r="T35" i="79"/>
  <c r="U34" i="79"/>
  <c r="AI34" i="79" s="1"/>
  <c r="U33" i="79"/>
  <c r="AI33"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23" i="79" l="1"/>
  <c r="AK23" i="79" s="1"/>
  <c r="AH23" i="79"/>
  <c r="W12" i="79"/>
  <c r="AK12" i="79" s="1"/>
  <c r="AH12" i="79"/>
  <c r="W45" i="79"/>
  <c r="AK45" i="79" s="1"/>
  <c r="AH45" i="79"/>
  <c r="W21" i="79"/>
  <c r="AK21" i="79" s="1"/>
  <c r="AH21" i="79"/>
  <c r="W47" i="79"/>
  <c r="AK47" i="79" s="1"/>
  <c r="AH47" i="79"/>
  <c r="W11" i="79"/>
  <c r="AK11" i="79" s="1"/>
  <c r="AH11" i="79"/>
  <c r="W39" i="79"/>
  <c r="AK39" i="79" s="1"/>
  <c r="W17" i="79"/>
  <c r="AK17" i="79" s="1"/>
  <c r="AH17" i="79"/>
  <c r="W10" i="79"/>
  <c r="AK10" i="79" s="1"/>
  <c r="AH10" i="79"/>
  <c r="W18" i="79"/>
  <c r="AK18" i="79" s="1"/>
  <c r="AH18" i="79"/>
  <c r="W20" i="79"/>
  <c r="AK20" i="79" s="1"/>
  <c r="AH20" i="79"/>
  <c r="W35" i="79"/>
  <c r="AK35" i="79" s="1"/>
  <c r="AH35" i="79"/>
  <c r="W40" i="79"/>
  <c r="AK40" i="79" s="1"/>
  <c r="AH40"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AH34" i="79"/>
  <c r="W34" i="79"/>
  <c r="AK34" i="79" s="1"/>
  <c r="W15" i="79"/>
  <c r="AK15" i="79" s="1"/>
  <c r="AH15" i="79"/>
  <c r="W13" i="79"/>
  <c r="AK13" i="79" s="1"/>
  <c r="AH13" i="79"/>
  <c r="W48" i="79"/>
  <c r="AK48" i="79" s="1"/>
  <c r="AH48" i="79"/>
  <c r="W49" i="79"/>
  <c r="AK49" i="79" s="1"/>
  <c r="AH49" i="79"/>
  <c r="W43" i="79"/>
  <c r="AK43" i="79" s="1"/>
  <c r="AH43" i="79"/>
  <c r="W38" i="79"/>
  <c r="AK38" i="79" s="1"/>
  <c r="AH38" i="79"/>
  <c r="AH33" i="79"/>
  <c r="W33" i="79"/>
  <c r="AK33"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F79" i="71" s="1"/>
  <c r="F78" i="71" s="1"/>
  <c r="V80" i="71"/>
  <c r="E80" i="71"/>
  <c r="U80" i="71" s="1"/>
  <c r="C80" i="71"/>
  <c r="T80" i="71"/>
  <c r="B80" i="71"/>
  <c r="Q79" i="71"/>
  <c r="P79" i="71"/>
  <c r="O79" i="71"/>
  <c r="N79" i="7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c r="E68" i="71"/>
  <c r="P68" i="71" s="1"/>
  <c r="C68" i="71"/>
  <c r="B68" i="71"/>
  <c r="S68" i="71"/>
  <c r="F67" i="71"/>
  <c r="F66" i="71" s="1"/>
  <c r="B67" i="71"/>
  <c r="N67" i="71" s="1"/>
  <c r="D65" i="71"/>
  <c r="Q64" i="71"/>
  <c r="P64" i="71"/>
  <c r="O64" i="71"/>
  <c r="N64" i="71"/>
  <c r="Q63" i="71"/>
  <c r="P63" i="71"/>
  <c r="O63" i="71"/>
  <c r="N63" i="71"/>
  <c r="Q62" i="71"/>
  <c r="P62" i="71"/>
  <c r="O62" i="71"/>
  <c r="N62" i="71"/>
  <c r="Q61" i="71"/>
  <c r="F62" i="71"/>
  <c r="F63" i="7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Y37" i="71" s="1"/>
  <c r="Z37" i="71" s="1"/>
  <c r="N39" i="71"/>
  <c r="X39" i="71"/>
  <c r="Q38" i="71"/>
  <c r="AB38" i="71" s="1"/>
  <c r="P38" i="71"/>
  <c r="O38" i="71"/>
  <c r="N38" i="71"/>
  <c r="Q37" i="71"/>
  <c r="P37" i="71"/>
  <c r="O37" i="71"/>
  <c r="N37" i="71"/>
  <c r="B38" i="71" s="1"/>
  <c r="B39" i="71" s="1"/>
  <c r="B40" i="71" s="1"/>
  <c r="S40" i="71" s="1"/>
  <c r="D37" i="71"/>
  <c r="Q36" i="71"/>
  <c r="P36" i="71"/>
  <c r="O36" i="71"/>
  <c r="N36" i="71"/>
  <c r="Q35" i="71"/>
  <c r="P35" i="71"/>
  <c r="O35" i="71"/>
  <c r="Y35" i="71" s="1"/>
  <c r="Z35" i="71" s="1"/>
  <c r="N35" i="71"/>
  <c r="Q34" i="71"/>
  <c r="P34" i="71"/>
  <c r="O34" i="71"/>
  <c r="N34" i="71"/>
  <c r="Q33" i="71"/>
  <c r="F34" i="71" s="1"/>
  <c r="P33" i="71"/>
  <c r="E34" i="71" s="1"/>
  <c r="E35" i="71" s="1"/>
  <c r="E36" i="71" s="1"/>
  <c r="U36" i="71" s="1"/>
  <c r="O33" i="71"/>
  <c r="N33" i="71"/>
  <c r="D33" i="71"/>
  <c r="Q32" i="71"/>
  <c r="P32" i="71"/>
  <c r="O32" i="71"/>
  <c r="N32" i="71"/>
  <c r="Q31" i="71"/>
  <c r="P31" i="71"/>
  <c r="O31" i="71"/>
  <c r="N31" i="71"/>
  <c r="Q30" i="71"/>
  <c r="P30" i="71"/>
  <c r="O30" i="71"/>
  <c r="N30" i="71"/>
  <c r="Q29" i="71"/>
  <c r="F30" i="71" s="1"/>
  <c r="P29" i="71"/>
  <c r="O29" i="71"/>
  <c r="N29" i="71"/>
  <c r="D29" i="71"/>
  <c r="O28" i="71"/>
  <c r="N28" i="71"/>
  <c r="B28" i="71" s="1"/>
  <c r="B30" i="71"/>
  <c r="B31" i="71" s="1"/>
  <c r="B32" i="71" s="1"/>
  <c r="S32" i="71" s="1"/>
  <c r="E30" i="71"/>
  <c r="E31" i="71"/>
  <c r="E32" i="71" s="1"/>
  <c r="U32" i="71" s="1"/>
  <c r="B34" i="71"/>
  <c r="E38" i="71"/>
  <c r="E39" i="71" s="1"/>
  <c r="E40" i="71" s="1"/>
  <c r="U40" i="71" s="1"/>
  <c r="N68" i="71"/>
  <c r="C30" i="71"/>
  <c r="C31" i="71" s="1"/>
  <c r="D31" i="71" s="1"/>
  <c r="AA35" i="71"/>
  <c r="C38" i="71"/>
  <c r="D38" i="71" s="1"/>
  <c r="X38" i="71"/>
  <c r="C28" i="71"/>
  <c r="T28" i="71" s="1"/>
  <c r="C39" i="71"/>
  <c r="C40" i="71" s="1"/>
  <c r="C43" i="71"/>
  <c r="C44" i="71" s="1"/>
  <c r="D44" i="71" s="1"/>
  <c r="P28" i="71"/>
  <c r="E28" i="71" s="1"/>
  <c r="E55" i="71"/>
  <c r="E56" i="71" s="1"/>
  <c r="U56" i="71"/>
  <c r="E63" i="71"/>
  <c r="E64" i="71"/>
  <c r="U64" i="71" s="1"/>
  <c r="E67" i="71"/>
  <c r="Q28" i="71"/>
  <c r="C59" i="71"/>
  <c r="D58" i="71"/>
  <c r="B66" i="71"/>
  <c r="N65" i="71" s="1"/>
  <c r="D68" i="71"/>
  <c r="Q68" i="71"/>
  <c r="C71" i="71"/>
  <c r="C70" i="71" s="1"/>
  <c r="D70" i="71" s="1"/>
  <c r="E71" i="71"/>
  <c r="E70" i="71" s="1"/>
  <c r="D72" i="71"/>
  <c r="E75" i="71"/>
  <c r="E74" i="71" s="1"/>
  <c r="C79" i="71"/>
  <c r="D79" i="71" s="1"/>
  <c r="E79" i="71"/>
  <c r="E78" i="71" s="1"/>
  <c r="D80" i="71"/>
  <c r="C83" i="71"/>
  <c r="D83" i="71" s="1"/>
  <c r="C87" i="71"/>
  <c r="AA28" i="71"/>
  <c r="C82" i="71"/>
  <c r="D82" i="71"/>
  <c r="N66" i="71"/>
  <c r="C78" i="71"/>
  <c r="D78" i="71" s="1"/>
  <c r="D71" i="71"/>
  <c r="C60" i="71"/>
  <c r="D60" i="71" s="1"/>
  <c r="D59" i="71"/>
  <c r="P67" i="71"/>
  <c r="E66" i="71"/>
  <c r="D43" i="71"/>
  <c r="C32"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C29" i="39"/>
  <c r="S25" i="40"/>
  <c r="S18" i="36"/>
  <c r="H25" i="40"/>
  <c r="AB25" i="40" s="1"/>
  <c r="J25" i="40"/>
  <c r="H29" i="39"/>
  <c r="AB29" i="39" s="1"/>
  <c r="J29" i="39"/>
  <c r="AC29" i="39" s="1"/>
  <c r="J18" i="36"/>
  <c r="AC18" i="36" s="1"/>
  <c r="F68" i="35"/>
  <c r="G68" i="35" s="1"/>
  <c r="H18" i="35"/>
  <c r="AB18" i="35" s="1"/>
  <c r="J18" i="35"/>
  <c r="H21" i="37"/>
  <c r="AB21" i="37" s="1"/>
  <c r="F21" i="37"/>
  <c r="AA21" i="37" s="1"/>
  <c r="H21" i="34"/>
  <c r="H21" i="33"/>
  <c r="F21" i="33"/>
  <c r="E83" i="21"/>
  <c r="F83" i="21" s="1"/>
  <c r="H1" i="69"/>
  <c r="U29" i="39"/>
  <c r="W29" i="39"/>
  <c r="S21" i="37"/>
  <c r="AA21" i="33"/>
  <c r="S21" i="33"/>
  <c r="J21" i="37"/>
  <c r="G84" i="34"/>
  <c r="J21" i="34"/>
  <c r="W21" i="34" s="1"/>
  <c r="J21" i="33"/>
  <c r="W21" i="33" s="1"/>
  <c r="H21" i="21"/>
  <c r="U21" i="21" s="1"/>
  <c r="F38" i="69"/>
  <c r="E37" i="69"/>
  <c r="F36" i="69"/>
  <c r="F35" i="69"/>
  <c r="F21" i="69"/>
  <c r="F20" i="69"/>
  <c r="F39" i="69" s="1"/>
  <c r="E10" i="69"/>
  <c r="E9" i="69"/>
  <c r="AC21" i="33"/>
  <c r="G83" i="21"/>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4" s="1"/>
  <c r="E15" i="4"/>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A72" i="3" s="1"/>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A70" i="3" s="1"/>
  <c r="AZ70" i="3" s="1"/>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A67" i="3" s="1"/>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A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N443" i="3"/>
  <c r="BM443" i="3"/>
  <c r="BL443" i="3" s="1"/>
  <c r="BK443" i="3"/>
  <c r="BJ443" i="3"/>
  <c r="BI443" i="3"/>
  <c r="BH443" i="3"/>
  <c r="BG443" i="3"/>
  <c r="BF443" i="3"/>
  <c r="BE443" i="3"/>
  <c r="BD443" i="3"/>
  <c r="BC443" i="3"/>
  <c r="BA443" i="3" s="1"/>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A406" i="3" s="1"/>
  <c r="AZ406" i="3" s="1"/>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A402" i="3" s="1"/>
  <c r="AZ402" i="3" s="1"/>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A24" i="51" s="1"/>
  <c r="B18" i="72" s="1"/>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F35" i="39" s="1"/>
  <c r="AA35" i="39" s="1"/>
  <c r="B111" i="39"/>
  <c r="J30" i="36"/>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s="1"/>
  <c r="G115" i="40"/>
  <c r="H115" i="40" s="1"/>
  <c r="I115" i="40" s="1"/>
  <c r="J115" i="40" s="1"/>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B71" i="36"/>
  <c r="H23" i="36" s="1"/>
  <c r="AB23" i="36" s="1"/>
  <c r="D70" i="36"/>
  <c r="H22" i="36"/>
  <c r="AB22" i="36" s="1"/>
  <c r="D68" i="36"/>
  <c r="E68" i="36" s="1"/>
  <c r="F68" i="36"/>
  <c r="G68" i="36" s="1"/>
  <c r="D64" i="36"/>
  <c r="E64" i="36" s="1"/>
  <c r="F64" i="36" s="1"/>
  <c r="G64" i="36"/>
  <c r="J16" i="36"/>
  <c r="W16" i="36" s="1"/>
  <c r="D62" i="36"/>
  <c r="E62" i="36" s="1"/>
  <c r="F62" i="36"/>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s="1"/>
  <c r="H26" i="36"/>
  <c r="AB26" i="36" s="1"/>
  <c r="Q25" i="36"/>
  <c r="Z25" i="36" s="1"/>
  <c r="Q24" i="36"/>
  <c r="Z24" i="36"/>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s="1"/>
  <c r="D96" i="35"/>
  <c r="E96" i="35" s="1"/>
  <c r="F96" i="35" s="1"/>
  <c r="G96" i="35" s="1"/>
  <c r="D94" i="35"/>
  <c r="E94" i="35" s="1"/>
  <c r="F94" i="35"/>
  <c r="G94" i="35" s="1"/>
  <c r="H94" i="35" s="1"/>
  <c r="I94" i="35"/>
  <c r="J94" i="35" s="1"/>
  <c r="K94" i="35" s="1"/>
  <c r="L94" i="35" s="1"/>
  <c r="M94" i="35" s="1"/>
  <c r="D84" i="35"/>
  <c r="E84" i="35" s="1"/>
  <c r="F84" i="35" s="1"/>
  <c r="G84" i="35" s="1"/>
  <c r="H84" i="35" s="1"/>
  <c r="I84" i="35" s="1"/>
  <c r="J84" i="35" s="1"/>
  <c r="K84" i="35" s="1"/>
  <c r="L84" i="35" s="1"/>
  <c r="M84" i="35" s="1"/>
  <c r="D80" i="35"/>
  <c r="E80" i="35" s="1"/>
  <c r="F80" i="35"/>
  <c r="G80" i="35" s="1"/>
  <c r="H80" i="35" s="1"/>
  <c r="I80" i="35"/>
  <c r="J80" i="35" s="1"/>
  <c r="K80" i="35" s="1"/>
  <c r="L80" i="35" s="1"/>
  <c r="M80" i="35" s="1"/>
  <c r="D72" i="35"/>
  <c r="E72" i="35" s="1"/>
  <c r="F72" i="35" s="1"/>
  <c r="G72" i="35" s="1"/>
  <c r="D70" i="35"/>
  <c r="E70" i="35" s="1"/>
  <c r="F70" i="35" s="1"/>
  <c r="G70" i="35" s="1"/>
  <c r="D66" i="35"/>
  <c r="E66" i="35" s="1"/>
  <c r="F66" i="35" s="1"/>
  <c r="G66" i="35"/>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c r="F88" i="34" s="1"/>
  <c r="G88" i="34" s="1"/>
  <c r="H88" i="34" s="1"/>
  <c r="I88" i="34" s="1"/>
  <c r="J88" i="34" s="1"/>
  <c r="K88" i="34" s="1"/>
  <c r="L88" i="34" s="1"/>
  <c r="M88" i="34" s="1"/>
  <c r="D86" i="34"/>
  <c r="E86" i="34"/>
  <c r="F86" i="34" s="1"/>
  <c r="G86" i="34"/>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c r="Q42" i="34"/>
  <c r="Z42" i="34" s="1"/>
  <c r="Q41" i="34"/>
  <c r="Z41" i="34"/>
  <c r="Q40" i="34"/>
  <c r="Z40" i="34" s="1"/>
  <c r="Q39" i="34"/>
  <c r="Z39" i="34" s="1"/>
  <c r="H39" i="34"/>
  <c r="AB39" i="34" s="1"/>
  <c r="Q38" i="34"/>
  <c r="Z38" i="34" s="1"/>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s="1"/>
  <c r="Q13" i="34"/>
  <c r="Z13" i="34"/>
  <c r="Q12" i="34"/>
  <c r="Z12" i="34" s="1"/>
  <c r="F12" i="34"/>
  <c r="S12" i="34" s="1"/>
  <c r="Q11" i="34"/>
  <c r="Z11" i="34" s="1"/>
  <c r="Q10" i="34"/>
  <c r="Z10" i="34" s="1"/>
  <c r="F10" i="34"/>
  <c r="AA10" i="34" s="1"/>
  <c r="Q9" i="34"/>
  <c r="Z9" i="34"/>
  <c r="H9" i="34"/>
  <c r="J8" i="34"/>
  <c r="AC8" i="34" s="1"/>
  <c r="H8" i="34"/>
  <c r="U8" i="34" s="1"/>
  <c r="F8" i="34"/>
  <c r="D121" i="33"/>
  <c r="E121" i="33" s="1"/>
  <c r="F109" i="33"/>
  <c r="E109" i="33"/>
  <c r="D109" i="33"/>
  <c r="C109" i="33"/>
  <c r="D91" i="33"/>
  <c r="E91" i="33" s="1"/>
  <c r="B88" i="33"/>
  <c r="J26" i="33" s="1"/>
  <c r="AC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F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s="1"/>
  <c r="J42" i="33"/>
  <c r="AC42" i="33" s="1"/>
  <c r="W41" i="33"/>
  <c r="Q41" i="33"/>
  <c r="Z41" i="33" s="1"/>
  <c r="Q40" i="33"/>
  <c r="Z40" i="33"/>
  <c r="J40" i="33"/>
  <c r="AC40" i="33" s="1"/>
  <c r="H40" i="33"/>
  <c r="AB40" i="33"/>
  <c r="AA40" i="33"/>
  <c r="Q39" i="33"/>
  <c r="Z39" i="33" s="1"/>
  <c r="J39" i="33"/>
  <c r="AC39" i="33" s="1"/>
  <c r="Q38" i="33"/>
  <c r="Z38" i="33" s="1"/>
  <c r="J38" i="33"/>
  <c r="AC38" i="33" s="1"/>
  <c r="H38" i="33"/>
  <c r="AB38" i="33" s="1"/>
  <c r="F38" i="33"/>
  <c r="AA38" i="33"/>
  <c r="Q37" i="33"/>
  <c r="Z37" i="33" s="1"/>
  <c r="Q36" i="33"/>
  <c r="Z36" i="33"/>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c r="Q26" i="33"/>
  <c r="Z26" i="33" s="1"/>
  <c r="Q25" i="33"/>
  <c r="Z25" i="33"/>
  <c r="Q23" i="33"/>
  <c r="Z23" i="33" s="1"/>
  <c r="Q19" i="33"/>
  <c r="Z19" i="33" s="1"/>
  <c r="Q17" i="33"/>
  <c r="Z17" i="33" s="1"/>
  <c r="Q15" i="33"/>
  <c r="Z15" i="33"/>
  <c r="F15" i="33"/>
  <c r="AA15" i="33" s="1"/>
  <c r="Q14" i="33"/>
  <c r="Z14" i="33"/>
  <c r="Q13" i="33"/>
  <c r="Z13" i="33" s="1"/>
  <c r="Q12" i="33"/>
  <c r="Z12" i="33"/>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c r="F123" i="21" s="1"/>
  <c r="G123" i="21" s="1"/>
  <c r="H123" i="21" s="1"/>
  <c r="F42" i="21"/>
  <c r="AA42" i="21" s="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s="1"/>
  <c r="E81" i="21"/>
  <c r="F81" i="21" s="1"/>
  <c r="G81" i="21" s="1"/>
  <c r="D77" i="21"/>
  <c r="E77" i="21" s="1"/>
  <c r="B130" i="21"/>
  <c r="H46" i="21" s="1"/>
  <c r="U46" i="21" s="1"/>
  <c r="B128" i="21"/>
  <c r="J45" i="21" s="1"/>
  <c r="B126" i="21"/>
  <c r="B98" i="21"/>
  <c r="H31" i="21" s="1"/>
  <c r="AB31" i="21" s="1"/>
  <c r="B96" i="21"/>
  <c r="B94" i="21"/>
  <c r="J29" i="21"/>
  <c r="AC29" i="21" s="1"/>
  <c r="B92" i="21"/>
  <c r="B90" i="21"/>
  <c r="J27" i="21"/>
  <c r="W27" i="21" s="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A585" i="3" s="1"/>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s="1"/>
  <c r="J26" i="21"/>
  <c r="W26" i="21" s="1"/>
  <c r="F26" i="21"/>
  <c r="S26" i="21" s="1"/>
  <c r="AB41" i="21"/>
  <c r="AA41" i="21"/>
  <c r="F45" i="39"/>
  <c r="S45" i="39" s="1"/>
  <c r="J45" i="39"/>
  <c r="W45" i="39" s="1"/>
  <c r="J44" i="39"/>
  <c r="AC44" i="39" s="1"/>
  <c r="F36" i="39"/>
  <c r="S36" i="39" s="1"/>
  <c r="H36" i="39"/>
  <c r="AB36" i="39"/>
  <c r="J35" i="39"/>
  <c r="AC35" i="39" s="1"/>
  <c r="J36" i="39"/>
  <c r="AC36" i="39" s="1"/>
  <c r="U9" i="39"/>
  <c r="W40" i="39"/>
  <c r="W25" i="37"/>
  <c r="U30" i="37"/>
  <c r="W31" i="37"/>
  <c r="F39" i="37"/>
  <c r="S39" i="37" s="1"/>
  <c r="F29" i="36"/>
  <c r="AA29" i="36" s="1"/>
  <c r="F16" i="36"/>
  <c r="AA16" i="36" s="1"/>
  <c r="W28" i="36"/>
  <c r="U31" i="36"/>
  <c r="J33" i="36"/>
  <c r="AC33" i="36" s="1"/>
  <c r="H22" i="35"/>
  <c r="AB22" i="35" s="1"/>
  <c r="AC27" i="35"/>
  <c r="W28" i="35"/>
  <c r="U31" i="35"/>
  <c r="W22" i="35"/>
  <c r="S31" i="35"/>
  <c r="U34" i="35"/>
  <c r="F36" i="34"/>
  <c r="J35" i="34"/>
  <c r="U34" i="34"/>
  <c r="H39" i="33"/>
  <c r="AB39" i="33" s="1"/>
  <c r="F26" i="33"/>
  <c r="AA26" i="33" s="1"/>
  <c r="U33" i="33"/>
  <c r="S40" i="33"/>
  <c r="W33" i="33"/>
  <c r="H39" i="37"/>
  <c r="AB39" i="37"/>
  <c r="S27" i="35"/>
  <c r="F11" i="40"/>
  <c r="AA11" i="40" s="1"/>
  <c r="H11" i="40"/>
  <c r="AB11" i="40" s="1"/>
  <c r="W8" i="40"/>
  <c r="AA9" i="40"/>
  <c r="U9" i="40"/>
  <c r="U38" i="40"/>
  <c r="W31" i="40"/>
  <c r="U34" i="40"/>
  <c r="F42" i="39"/>
  <c r="AA42" i="39" s="1"/>
  <c r="F41" i="39"/>
  <c r="S41" i="39" s="1"/>
  <c r="H40" i="39"/>
  <c r="AB40" i="39" s="1"/>
  <c r="H39" i="39"/>
  <c r="U39" i="39" s="1"/>
  <c r="S38" i="39"/>
  <c r="S34" i="39"/>
  <c r="H34" i="39"/>
  <c r="U34" i="39" s="1"/>
  <c r="E108" i="39"/>
  <c r="F31" i="39"/>
  <c r="AA31" i="39" s="1"/>
  <c r="E100" i="39"/>
  <c r="F100" i="39" s="1"/>
  <c r="G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C15" i="39"/>
  <c r="H32" i="33"/>
  <c r="AB32" i="33" s="1"/>
  <c r="H11" i="21"/>
  <c r="U11" i="21" s="1"/>
  <c r="J11" i="21"/>
  <c r="W11" i="21" s="1"/>
  <c r="H37" i="40"/>
  <c r="U37" i="40" s="1"/>
  <c r="H36" i="40"/>
  <c r="AB36" i="40" s="1"/>
  <c r="F35" i="40"/>
  <c r="AA35" i="40"/>
  <c r="H23" i="40"/>
  <c r="AB23" i="40" s="1"/>
  <c r="H17" i="40"/>
  <c r="U17" i="40"/>
  <c r="J15" i="40"/>
  <c r="W15" i="40" s="1"/>
  <c r="J11" i="40"/>
  <c r="W11" i="40" s="1"/>
  <c r="AB8" i="39"/>
  <c r="AC12" i="34"/>
  <c r="AB12" i="35"/>
  <c r="W32" i="40"/>
  <c r="F37" i="39"/>
  <c r="AA37" i="39" s="1"/>
  <c r="U30" i="36"/>
  <c r="J30" i="35"/>
  <c r="W30" i="35" s="1"/>
  <c r="H30" i="35"/>
  <c r="AB30" i="35" s="1"/>
  <c r="F22" i="35"/>
  <c r="AA22" i="35"/>
  <c r="H10" i="35"/>
  <c r="U10" i="35" s="1"/>
  <c r="F33" i="36"/>
  <c r="AA33" i="36" s="1"/>
  <c r="W30" i="36"/>
  <c r="H16" i="36"/>
  <c r="AB16" i="36" s="1"/>
  <c r="E85" i="36"/>
  <c r="F85" i="36"/>
  <c r="G85" i="36" s="1"/>
  <c r="H85" i="36" s="1"/>
  <c r="I85" i="36" s="1"/>
  <c r="J85" i="36"/>
  <c r="K85" i="36" s="1"/>
  <c r="L85" i="36" s="1"/>
  <c r="M85" i="36" s="1"/>
  <c r="J29" i="36"/>
  <c r="AC29" i="36" s="1"/>
  <c r="F24" i="36"/>
  <c r="AA24" i="36"/>
  <c r="F14" i="35"/>
  <c r="AA14" i="35"/>
  <c r="F23" i="35"/>
  <c r="AA23" i="35" s="1"/>
  <c r="J32" i="35"/>
  <c r="AC32" i="35" s="1"/>
  <c r="J16" i="35"/>
  <c r="AC16" i="35"/>
  <c r="H16" i="35"/>
  <c r="U16" i="35" s="1"/>
  <c r="F16" i="35"/>
  <c r="S16" i="35"/>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5" i="34"/>
  <c r="S25" i="34" s="1"/>
  <c r="H23" i="34"/>
  <c r="U23" i="34" s="1"/>
  <c r="J23" i="34"/>
  <c r="F19" i="34"/>
  <c r="H17" i="34"/>
  <c r="U17" i="34" s="1"/>
  <c r="F15" i="34"/>
  <c r="AA15" i="34" s="1"/>
  <c r="J15" i="34"/>
  <c r="W15" i="34" s="1"/>
  <c r="H15" i="34"/>
  <c r="AB15" i="34" s="1"/>
  <c r="W8" i="34"/>
  <c r="F41" i="33"/>
  <c r="AA41" i="33" s="1"/>
  <c r="S38" i="33"/>
  <c r="E113" i="33"/>
  <c r="F32" i="33"/>
  <c r="AA32" i="33" s="1"/>
  <c r="J19" i="33"/>
  <c r="AC19" i="33"/>
  <c r="J15" i="33"/>
  <c r="AC15" i="33" s="1"/>
  <c r="F11" i="33"/>
  <c r="AA11" i="33" s="1"/>
  <c r="S26" i="33"/>
  <c r="U40" i="33"/>
  <c r="F37" i="40"/>
  <c r="AA37" i="40"/>
  <c r="F36" i="40"/>
  <c r="AA36" i="40" s="1"/>
  <c r="H28" i="40"/>
  <c r="U28" i="40"/>
  <c r="F23" i="40"/>
  <c r="AA23" i="40" s="1"/>
  <c r="F17" i="40"/>
  <c r="AA17" i="40" s="1"/>
  <c r="J17" i="40"/>
  <c r="W17" i="40"/>
  <c r="F15" i="40"/>
  <c r="S15" i="40" s="1"/>
  <c r="H15" i="40"/>
  <c r="AB15" i="40"/>
  <c r="AC11" i="40"/>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c r="J17" i="34"/>
  <c r="W17" i="34" s="1"/>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I123" i="21"/>
  <c r="J123" i="21" s="1"/>
  <c r="K123" i="21" s="1"/>
  <c r="L123" i="21" s="1"/>
  <c r="M123" i="21"/>
  <c r="J42" i="21"/>
  <c r="AC42" i="21"/>
  <c r="H42" i="21"/>
  <c r="U42" i="21" s="1"/>
  <c r="J44" i="34"/>
  <c r="F44" i="34"/>
  <c r="AA44" i="34" s="1"/>
  <c r="J10" i="35"/>
  <c r="AC10" i="35" s="1"/>
  <c r="J14" i="21"/>
  <c r="W14" i="21"/>
  <c r="F14" i="21"/>
  <c r="S14" i="21" s="1"/>
  <c r="H14" i="21"/>
  <c r="U14" i="21"/>
  <c r="H28" i="21"/>
  <c r="AB28" i="21" s="1"/>
  <c r="F28" i="21"/>
  <c r="AA28" i="21"/>
  <c r="J28" i="21"/>
  <c r="W28" i="21" s="1"/>
  <c r="H30" i="21"/>
  <c r="U30" i="21" s="1"/>
  <c r="F30" i="21"/>
  <c r="S30" i="21" s="1"/>
  <c r="J30" i="21"/>
  <c r="AC30" i="21"/>
  <c r="J44" i="21"/>
  <c r="AC44" i="21" s="1"/>
  <c r="H44" i="21"/>
  <c r="U44" i="21"/>
  <c r="F44" i="21"/>
  <c r="AA44" i="21" s="1"/>
  <c r="J46" i="21"/>
  <c r="F46" i="21"/>
  <c r="AA46" i="21" s="1"/>
  <c r="E119" i="21"/>
  <c r="F119" i="21" s="1"/>
  <c r="G119" i="21" s="1"/>
  <c r="H119" i="21" s="1"/>
  <c r="I119" i="21" s="1"/>
  <c r="J119" i="21" s="1"/>
  <c r="K119" i="21" s="1"/>
  <c r="L119" i="21" s="1"/>
  <c r="M119" i="21" s="1"/>
  <c r="H26" i="33"/>
  <c r="AB26" i="33" s="1"/>
  <c r="U26" i="33"/>
  <c r="H28" i="33"/>
  <c r="U28" i="33" s="1"/>
  <c r="F28" i="33"/>
  <c r="AA28" i="33"/>
  <c r="J28" i="33"/>
  <c r="W28" i="33" s="1"/>
  <c r="F33" i="35"/>
  <c r="AA33" i="35" s="1"/>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c r="J13" i="33"/>
  <c r="H13" i="33"/>
  <c r="U13" i="33" s="1"/>
  <c r="F13" i="33"/>
  <c r="S13" i="33"/>
  <c r="J29" i="33"/>
  <c r="H29" i="33"/>
  <c r="U29" i="33"/>
  <c r="F29" i="33"/>
  <c r="S29" i="33" s="1"/>
  <c r="J31" i="33"/>
  <c r="W31" i="33" s="1"/>
  <c r="H31" i="33"/>
  <c r="F31" i="33"/>
  <c r="H45" i="33"/>
  <c r="U45" i="33" s="1"/>
  <c r="J45" i="33"/>
  <c r="W45" i="33" s="1"/>
  <c r="F45" i="33"/>
  <c r="AA45" i="33"/>
  <c r="J14" i="34"/>
  <c r="W14" i="34" s="1"/>
  <c r="F14" i="34"/>
  <c r="S14" i="34"/>
  <c r="H14" i="34"/>
  <c r="AB14" i="34" s="1"/>
  <c r="H30" i="34"/>
  <c r="F30" i="34"/>
  <c r="S30" i="34"/>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W40" i="37" s="1"/>
  <c r="AC40" i="37"/>
  <c r="F40" i="37"/>
  <c r="AA40" i="37" s="1"/>
  <c r="AC12" i="40"/>
  <c r="W12" i="40"/>
  <c r="H14" i="33"/>
  <c r="U14" i="33" s="1"/>
  <c r="F14" i="33"/>
  <c r="S14" i="33"/>
  <c r="J14" i="33"/>
  <c r="H30" i="33"/>
  <c r="AB30" i="33" s="1"/>
  <c r="F30" i="33"/>
  <c r="J30" i="33"/>
  <c r="H44" i="33"/>
  <c r="U44" i="33" s="1"/>
  <c r="J44" i="33"/>
  <c r="AC44" i="33"/>
  <c r="F44" i="33"/>
  <c r="S44" i="33" s="1"/>
  <c r="J46" i="33"/>
  <c r="AC46" i="33" s="1"/>
  <c r="F46" i="33"/>
  <c r="AA46" i="33" s="1"/>
  <c r="H46" i="33"/>
  <c r="AB46" i="33"/>
  <c r="H13" i="34"/>
  <c r="U13" i="34" s="1"/>
  <c r="J13" i="34"/>
  <c r="W13" i="34"/>
  <c r="F13" i="34"/>
  <c r="AA13" i="34" s="1"/>
  <c r="J29" i="34"/>
  <c r="F29" i="34"/>
  <c r="S29" i="34"/>
  <c r="H29" i="34"/>
  <c r="J31" i="34"/>
  <c r="AC31" i="34"/>
  <c r="H31" i="34"/>
  <c r="F31" i="34"/>
  <c r="S31" i="34" s="1"/>
  <c r="H45" i="34"/>
  <c r="U45" i="34" s="1"/>
  <c r="J45" i="34"/>
  <c r="W45" i="34"/>
  <c r="F45" i="34"/>
  <c r="S45" i="34" s="1"/>
  <c r="H47" i="34"/>
  <c r="U47" i="34"/>
  <c r="F47" i="34"/>
  <c r="S47" i="34" s="1"/>
  <c r="J47" i="34"/>
  <c r="AC47" i="34"/>
  <c r="F13" i="35"/>
  <c r="J13" i="35"/>
  <c r="AC13" i="35" s="1"/>
  <c r="H13" i="35"/>
  <c r="U13" i="35" s="1"/>
  <c r="J25" i="35"/>
  <c r="W25" i="35"/>
  <c r="F25" i="35"/>
  <c r="S25" i="35" s="1"/>
  <c r="H25" i="35"/>
  <c r="AB25" i="35"/>
  <c r="J35" i="35"/>
  <c r="AC35" i="35" s="1"/>
  <c r="F35" i="35"/>
  <c r="AA35" i="35"/>
  <c r="H35" i="35"/>
  <c r="J25" i="36"/>
  <c r="W25" i="36" s="1"/>
  <c r="F25" i="36"/>
  <c r="S25" i="36" s="1"/>
  <c r="H25" i="36"/>
  <c r="AB25" i="36"/>
  <c r="H13" i="37"/>
  <c r="AB13" i="37" s="1"/>
  <c r="F13" i="37"/>
  <c r="S13" i="37"/>
  <c r="J13" i="37"/>
  <c r="W13" i="37" s="1"/>
  <c r="F28" i="37"/>
  <c r="AA28" i="37" s="1"/>
  <c r="J28" i="37"/>
  <c r="AC28" i="37"/>
  <c r="H28" i="37"/>
  <c r="H38" i="37"/>
  <c r="AB38" i="37"/>
  <c r="J38" i="37"/>
  <c r="AC38" i="37" s="1"/>
  <c r="F38" i="37"/>
  <c r="S38" i="37" s="1"/>
  <c r="F43" i="39"/>
  <c r="AA43" i="39" s="1"/>
  <c r="H43" i="39"/>
  <c r="J14" i="39"/>
  <c r="AC14" i="39" s="1"/>
  <c r="F14" i="39"/>
  <c r="H14" i="39"/>
  <c r="AB14" i="39"/>
  <c r="F12" i="40"/>
  <c r="S12" i="40" s="1"/>
  <c r="H12" i="40"/>
  <c r="AB12" i="40"/>
  <c r="H30" i="40"/>
  <c r="AB30" i="40" s="1"/>
  <c r="F33" i="40"/>
  <c r="AA33" i="40"/>
  <c r="H33" i="40"/>
  <c r="J35" i="40"/>
  <c r="AC35" i="40"/>
  <c r="J37" i="40"/>
  <c r="AC37" i="40" s="1"/>
  <c r="H13" i="40"/>
  <c r="U13" i="40"/>
  <c r="J13" i="40"/>
  <c r="W13" i="40" s="1"/>
  <c r="F13" i="40"/>
  <c r="AA13" i="40"/>
  <c r="F14" i="37"/>
  <c r="F27" i="37"/>
  <c r="AA27" i="37"/>
  <c r="F13" i="39"/>
  <c r="J13" i="39"/>
  <c r="W13" i="39" s="1"/>
  <c r="H13" i="39"/>
  <c r="H14" i="40"/>
  <c r="U14" i="40" s="1"/>
  <c r="AB14" i="40"/>
  <c r="J14" i="40"/>
  <c r="W14" i="40" s="1"/>
  <c r="F14" i="40"/>
  <c r="AA14" i="40"/>
  <c r="J14" i="37"/>
  <c r="J27" i="37"/>
  <c r="AC27" i="37"/>
  <c r="AA44" i="33"/>
  <c r="U46" i="33"/>
  <c r="AA14" i="33"/>
  <c r="J36" i="37"/>
  <c r="AC36" i="37"/>
  <c r="J10" i="36"/>
  <c r="AC10" i="36" s="1"/>
  <c r="W31" i="34"/>
  <c r="AA14" i="34"/>
  <c r="S45" i="33"/>
  <c r="BA586" i="3"/>
  <c r="F17" i="21"/>
  <c r="AA17" i="21" s="1"/>
  <c r="H17" i="21"/>
  <c r="AB17" i="21" s="1"/>
  <c r="F15" i="2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AZ538" i="3" s="1"/>
  <c r="BL534" i="3"/>
  <c r="BL530" i="3"/>
  <c r="BL526" i="3"/>
  <c r="BL522" i="3"/>
  <c r="AZ522" i="3" s="1"/>
  <c r="BL516" i="3"/>
  <c r="BL512" i="3"/>
  <c r="BL506" i="3"/>
  <c r="BL502" i="3"/>
  <c r="AZ502" i="3" s="1"/>
  <c r="BL498" i="3"/>
  <c r="BL494" i="3"/>
  <c r="BL582" i="3"/>
  <c r="BL578" i="3"/>
  <c r="BL574" i="3"/>
  <c r="BL570" i="3"/>
  <c r="BL566" i="3"/>
  <c r="BL562" i="3"/>
  <c r="BL556" i="3"/>
  <c r="BL552" i="3"/>
  <c r="BL544" i="3"/>
  <c r="BL540" i="3"/>
  <c r="AZ540" i="3" s="1"/>
  <c r="BL536" i="3"/>
  <c r="G533" i="3"/>
  <c r="BL532" i="3"/>
  <c r="AZ532" i="3" s="1"/>
  <c r="G529" i="3"/>
  <c r="BL528" i="3"/>
  <c r="G525" i="3"/>
  <c r="BL524" i="3"/>
  <c r="BL518" i="3"/>
  <c r="BL514" i="3"/>
  <c r="BL510" i="3"/>
  <c r="BL504" i="3"/>
  <c r="BL500" i="3"/>
  <c r="AZ500" i="3" s="1"/>
  <c r="BL496" i="3"/>
  <c r="G493" i="3"/>
  <c r="BA584" i="3"/>
  <c r="AZ584" i="3" s="1"/>
  <c r="BA582" i="3"/>
  <c r="AZ582" i="3" s="1"/>
  <c r="BA580" i="3"/>
  <c r="BA578" i="3"/>
  <c r="BA576" i="3"/>
  <c r="BA574" i="3"/>
  <c r="AZ574" i="3" s="1"/>
  <c r="BA572" i="3"/>
  <c r="AZ572" i="3" s="1"/>
  <c r="BA570" i="3"/>
  <c r="AZ570" i="3" s="1"/>
  <c r="BA568" i="3"/>
  <c r="AZ568" i="3" s="1"/>
  <c r="BA566" i="3"/>
  <c r="AZ566" i="3" s="1"/>
  <c r="BA564" i="3"/>
  <c r="BA562" i="3"/>
  <c r="BA560" i="3"/>
  <c r="BA558" i="3"/>
  <c r="AZ558" i="3" s="1"/>
  <c r="BA556" i="3"/>
  <c r="AZ556" i="3"/>
  <c r="BA554" i="3"/>
  <c r="AZ554" i="3" s="1"/>
  <c r="BA552" i="3"/>
  <c r="AZ552" i="3"/>
  <c r="BA548" i="3"/>
  <c r="BA546" i="3"/>
  <c r="BA544" i="3"/>
  <c r="AZ544" i="3"/>
  <c r="BA542" i="3"/>
  <c r="AZ542" i="3" s="1"/>
  <c r="BA540" i="3"/>
  <c r="BA538" i="3"/>
  <c r="BA536" i="3"/>
  <c r="AZ536" i="3"/>
  <c r="BA534" i="3"/>
  <c r="AZ534" i="3"/>
  <c r="BA532" i="3"/>
  <c r="BA530" i="3"/>
  <c r="AZ530" i="3" s="1"/>
  <c r="BA528" i="3"/>
  <c r="AZ528" i="3" s="1"/>
  <c r="BA526" i="3"/>
  <c r="BA524" i="3"/>
  <c r="BA522" i="3"/>
  <c r="BA520" i="3"/>
  <c r="BA518" i="3"/>
  <c r="BA516" i="3"/>
  <c r="AZ516" i="3" s="1"/>
  <c r="BA514" i="3"/>
  <c r="BA512" i="3"/>
  <c r="AZ512" i="3" s="1"/>
  <c r="BA510" i="3"/>
  <c r="AZ510" i="3"/>
  <c r="BA508" i="3"/>
  <c r="AZ508" i="3" s="1"/>
  <c r="BA506" i="3"/>
  <c r="BA504" i="3"/>
  <c r="AZ504" i="3"/>
  <c r="BA502" i="3"/>
  <c r="BA500" i="3"/>
  <c r="BA498" i="3"/>
  <c r="AZ498" i="3"/>
  <c r="BA496" i="3"/>
  <c r="BA494" i="3"/>
  <c r="BA587"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AZ577" i="3" s="1"/>
  <c r="BQ575" i="3"/>
  <c r="BL575" i="3"/>
  <c r="BQ573" i="3"/>
  <c r="BL573" i="3" s="1"/>
  <c r="AZ573" i="3" s="1"/>
  <c r="BQ571" i="3"/>
  <c r="BL571" i="3" s="1"/>
  <c r="BQ569" i="3"/>
  <c r="BL569" i="3" s="1"/>
  <c r="BQ567" i="3"/>
  <c r="BL567" i="3"/>
  <c r="BQ565" i="3"/>
  <c r="BL565" i="3" s="1"/>
  <c r="AZ565" i="3"/>
  <c r="BQ563" i="3"/>
  <c r="BL563" i="3"/>
  <c r="BQ561" i="3"/>
  <c r="BL561" i="3"/>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c r="BQ535" i="3"/>
  <c r="BL535" i="3" s="1"/>
  <c r="AZ535" i="3" s="1"/>
  <c r="BQ533" i="3"/>
  <c r="BL533" i="3"/>
  <c r="BQ531" i="3"/>
  <c r="BL531" i="3" s="1"/>
  <c r="BQ529" i="3"/>
  <c r="BL529" i="3" s="1"/>
  <c r="BQ527" i="3"/>
  <c r="BL527" i="3" s="1"/>
  <c r="AZ527" i="3"/>
  <c r="BQ525" i="3"/>
  <c r="BL525" i="3" s="1"/>
  <c r="AZ525" i="3" s="1"/>
  <c r="BQ523" i="3"/>
  <c r="BL523" i="3" s="1"/>
  <c r="BA521" i="3"/>
  <c r="AC521" i="3"/>
  <c r="G521" i="3" s="1"/>
  <c r="BQ521" i="3"/>
  <c r="BL521" i="3"/>
  <c r="AZ521" i="3" s="1"/>
  <c r="BL520" i="3"/>
  <c r="G519" i="3"/>
  <c r="G517" i="3"/>
  <c r="G515" i="3"/>
  <c r="G513" i="3"/>
  <c r="G511" i="3"/>
  <c r="BQ519" i="3"/>
  <c r="BL519" i="3" s="1"/>
  <c r="AZ519" i="3" s="1"/>
  <c r="BQ517" i="3"/>
  <c r="BL517" i="3" s="1"/>
  <c r="BQ515" i="3"/>
  <c r="BL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H24" i="35"/>
  <c r="AB24" i="35"/>
  <c r="H23" i="37"/>
  <c r="J32" i="37"/>
  <c r="AC32" i="37"/>
  <c r="F36" i="37"/>
  <c r="AA36" i="37" s="1"/>
  <c r="F37" i="37"/>
  <c r="AA37" i="37"/>
  <c r="F31" i="40"/>
  <c r="H31" i="40"/>
  <c r="U31" i="40"/>
  <c r="F32" i="40"/>
  <c r="S32" i="40" s="1"/>
  <c r="H32" i="40"/>
  <c r="AB32" i="40"/>
  <c r="J36" i="40"/>
  <c r="H19" i="37"/>
  <c r="AB19" i="37" s="1"/>
  <c r="H42" i="33"/>
  <c r="AB42" i="33" s="1"/>
  <c r="J43" i="33"/>
  <c r="AC43" i="33" s="1"/>
  <c r="S28" i="31"/>
  <c r="S27" i="31"/>
  <c r="S26" i="31"/>
  <c r="W23" i="35"/>
  <c r="U39" i="37"/>
  <c r="U26" i="37"/>
  <c r="W47" i="34"/>
  <c r="AC36" i="34"/>
  <c r="AA13" i="33"/>
  <c r="AC45" i="33"/>
  <c r="W44" i="33"/>
  <c r="U11" i="33"/>
  <c r="U19" i="21"/>
  <c r="W44" i="21"/>
  <c r="AB38" i="21"/>
  <c r="F43" i="33"/>
  <c r="AA43" i="33" s="1"/>
  <c r="AC15" i="34"/>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S15" i="37" s="1"/>
  <c r="AA15" i="37"/>
  <c r="E94" i="37"/>
  <c r="F31" i="37"/>
  <c r="S31" i="37" s="1"/>
  <c r="F12" i="39"/>
  <c r="S12" i="39" s="1"/>
  <c r="J42" i="39"/>
  <c r="AC42" i="39" s="1"/>
  <c r="H21" i="40"/>
  <c r="AB21" i="40" s="1"/>
  <c r="F94" i="37"/>
  <c r="G94" i="37"/>
  <c r="H94" i="37" s="1"/>
  <c r="I94" i="37" s="1"/>
  <c r="J94" i="37" s="1"/>
  <c r="K94" i="37" s="1"/>
  <c r="L94" i="37" s="1"/>
  <c r="M94" i="37" s="1"/>
  <c r="H31" i="37"/>
  <c r="U31" i="37" s="1"/>
  <c r="J15" i="37"/>
  <c r="W15" i="37"/>
  <c r="AT6" i="3"/>
  <c r="H5" i="3"/>
  <c r="AA25" i="21"/>
  <c r="H19" i="40"/>
  <c r="U19" i="40" s="1"/>
  <c r="F88" i="40"/>
  <c r="G88" i="40" s="1"/>
  <c r="F19" i="40"/>
  <c r="S19" i="40" s="1"/>
  <c r="S14" i="40"/>
  <c r="W23" i="39"/>
  <c r="AC43" i="39"/>
  <c r="W43" i="39"/>
  <c r="U45" i="39"/>
  <c r="AB45" i="39"/>
  <c r="AB44" i="39"/>
  <c r="U44"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W35" i="40"/>
  <c r="A118" i="9"/>
  <c r="A4" i="52"/>
  <c r="B41" i="72" s="1"/>
  <c r="J11" i="39"/>
  <c r="W11" i="39" s="1"/>
  <c r="F11" i="39"/>
  <c r="G4" i="4"/>
  <c r="I4" i="4"/>
  <c r="A2" i="9"/>
  <c r="F61" i="43"/>
  <c r="H64" i="43" s="1"/>
  <c r="AZ497" i="3"/>
  <c r="BL549" i="3"/>
  <c r="AZ494" i="3"/>
  <c r="AZ514"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BL116" i="3"/>
  <c r="AZ116" i="3"/>
  <c r="G117" i="3"/>
  <c r="BA119" i="3"/>
  <c r="BL120" i="3"/>
  <c r="G121" i="3"/>
  <c r="BA123" i="3"/>
  <c r="BL124" i="3"/>
  <c r="AZ124" i="3" s="1"/>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AZ159" i="3" s="1"/>
  <c r="BL160" i="3"/>
  <c r="G161" i="3"/>
  <c r="BA163" i="3"/>
  <c r="AZ163" i="3" s="1"/>
  <c r="BL164" i="3"/>
  <c r="G165" i="3"/>
  <c r="BA167" i="3"/>
  <c r="BL168" i="3"/>
  <c r="AZ168" i="3" s="1"/>
  <c r="G169" i="3"/>
  <c r="BA171" i="3"/>
  <c r="BL172" i="3"/>
  <c r="G173" i="3"/>
  <c r="BA175" i="3"/>
  <c r="AZ175" i="3" s="1"/>
  <c r="BL176" i="3"/>
  <c r="G177" i="3"/>
  <c r="BA179" i="3"/>
  <c r="BL180" i="3"/>
  <c r="AZ180" i="3"/>
  <c r="G181" i="3"/>
  <c r="BA183" i="3"/>
  <c r="BL184" i="3"/>
  <c r="G185" i="3"/>
  <c r="BA187" i="3"/>
  <c r="BL188" i="3"/>
  <c r="G189" i="3"/>
  <c r="BA191" i="3"/>
  <c r="AZ191" i="3"/>
  <c r="BL192" i="3"/>
  <c r="G193" i="3"/>
  <c r="BA195" i="3"/>
  <c r="BL196" i="3"/>
  <c r="AZ196" i="3"/>
  <c r="G197" i="3"/>
  <c r="BA199" i="3"/>
  <c r="BL200" i="3"/>
  <c r="G201" i="3"/>
  <c r="BA203" i="3"/>
  <c r="BL204" i="3"/>
  <c r="AZ47" i="3"/>
  <c r="AZ67" i="3"/>
  <c r="AZ120"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BL337" i="3"/>
  <c r="G338" i="3"/>
  <c r="G341" i="3"/>
  <c r="BA342" i="3"/>
  <c r="BL342" i="3"/>
  <c r="AZ342" i="3" s="1"/>
  <c r="BA344" i="3"/>
  <c r="AZ344" i="3" s="1"/>
  <c r="BL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BA16" i="3"/>
  <c r="AZ16" i="3"/>
  <c r="BL303" i="3"/>
  <c r="AZ303" i="3" s="1"/>
  <c r="G304" i="3"/>
  <c r="BA306" i="3"/>
  <c r="BL307" i="3"/>
  <c r="AZ307" i="3" s="1"/>
  <c r="G308" i="3"/>
  <c r="BA310" i="3"/>
  <c r="AZ310" i="3"/>
  <c r="BL311" i="3"/>
  <c r="AZ311" i="3" s="1"/>
  <c r="G312" i="3"/>
  <c r="BA314" i="3"/>
  <c r="AZ314" i="3"/>
  <c r="BL315" i="3"/>
  <c r="G316" i="3"/>
  <c r="BA318" i="3"/>
  <c r="BL319" i="3"/>
  <c r="AZ319" i="3" s="1"/>
  <c r="G320" i="3"/>
  <c r="BA322" i="3"/>
  <c r="BL323" i="3"/>
  <c r="G324" i="3"/>
  <c r="BA326" i="3"/>
  <c r="AZ326" i="3"/>
  <c r="BL327" i="3"/>
  <c r="AZ327" i="3"/>
  <c r="G328" i="3"/>
  <c r="BA330" i="3"/>
  <c r="BL331" i="3"/>
  <c r="AZ331" i="3" s="1"/>
  <c r="G332" i="3"/>
  <c r="BA334" i="3"/>
  <c r="BL335" i="3"/>
  <c r="G336" i="3"/>
  <c r="BA338" i="3"/>
  <c r="AZ338" i="3" s="1"/>
  <c r="BL339" i="3"/>
  <c r="G340" i="3"/>
  <c r="BL343" i="3"/>
  <c r="G344" i="3"/>
  <c r="G348" i="3"/>
  <c r="G355" i="3"/>
  <c r="AZ218" i="3"/>
  <c r="G342" i="3"/>
  <c r="BL345" i="3"/>
  <c r="G346" i="3"/>
  <c r="BL349" i="3"/>
  <c r="BL352" i="3"/>
  <c r="G353" i="3"/>
  <c r="BA357" i="3"/>
  <c r="AZ357" i="3" s="1"/>
  <c r="BL358" i="3"/>
  <c r="G359" i="3"/>
  <c r="BA361" i="3"/>
  <c r="AZ361" i="3" s="1"/>
  <c r="BL362" i="3"/>
  <c r="AZ362" i="3" s="1"/>
  <c r="G363" i="3"/>
  <c r="BA365" i="3"/>
  <c r="BL366" i="3"/>
  <c r="G367" i="3"/>
  <c r="BA369" i="3"/>
  <c r="AZ369" i="3" s="1"/>
  <c r="BL370" i="3"/>
  <c r="AZ370" i="3" s="1"/>
  <c r="G371" i="3"/>
  <c r="BA373" i="3"/>
  <c r="AZ373" i="3" s="1"/>
  <c r="BL374" i="3"/>
  <c r="G375" i="3"/>
  <c r="BA377" i="3"/>
  <c r="AZ377" i="3" s="1"/>
  <c r="AZ229" i="3"/>
  <c r="AZ249" i="3"/>
  <c r="AZ269" i="3"/>
  <c r="BA379" i="3"/>
  <c r="AZ379" i="3" s="1"/>
  <c r="BL380" i="3"/>
  <c r="G381" i="3"/>
  <c r="BA383" i="3"/>
  <c r="AZ383" i="3" s="1"/>
  <c r="BL384" i="3"/>
  <c r="G385" i="3"/>
  <c r="BA387" i="3"/>
  <c r="AZ387" i="3" s="1"/>
  <c r="BL388" i="3"/>
  <c r="G389" i="3"/>
  <c r="BA391" i="3"/>
  <c r="AZ391" i="3" s="1"/>
  <c r="BL392" i="3"/>
  <c r="G393" i="3"/>
  <c r="BO5" i="3"/>
  <c r="BM5" i="3"/>
  <c r="F29" i="6" s="1"/>
  <c r="BJ5" i="3"/>
  <c r="BH5" i="3"/>
  <c r="BF5" i="3"/>
  <c r="BD5" i="3"/>
  <c r="AZ325" i="3"/>
  <c r="AC5" i="3"/>
  <c r="AZ506" i="3"/>
  <c r="AZ496" i="3"/>
  <c r="G548" i="3"/>
  <c r="G538" i="3"/>
  <c r="G520" i="3"/>
  <c r="G502" i="3"/>
  <c r="BS5" i="3"/>
  <c r="BP5" i="3"/>
  <c r="BN5" i="3"/>
  <c r="BK5" i="3"/>
  <c r="BI5" i="3"/>
  <c r="BG5" i="3"/>
  <c r="BE5" i="3"/>
  <c r="BC5" i="3"/>
  <c r="G17" i="3"/>
  <c r="BA17" i="3"/>
  <c r="BT5" i="3"/>
  <c r="BA15" i="3"/>
  <c r="BB5" i="3"/>
  <c r="BR5" i="3"/>
  <c r="AZ380" i="3"/>
  <c r="AZ392" i="3"/>
  <c r="AZ499" i="3"/>
  <c r="G509" i="3"/>
  <c r="BL493" i="3"/>
  <c r="AZ493" i="3" s="1"/>
  <c r="U36" i="40"/>
  <c r="F83" i="43"/>
  <c r="H85" i="43" s="1"/>
  <c r="F50" i="43"/>
  <c r="H54" i="43" s="1"/>
  <c r="F72" i="43"/>
  <c r="H75" i="43" s="1"/>
  <c r="U17" i="39"/>
  <c r="S14" i="35"/>
  <c r="U43" i="21"/>
  <c r="U35" i="21"/>
  <c r="AC35" i="21"/>
  <c r="AZ563" i="3"/>
  <c r="W37" i="37"/>
  <c r="W44" i="34"/>
  <c r="AC44" i="34"/>
  <c r="U13" i="37"/>
  <c r="U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F96" i="37"/>
  <c r="H27" i="40"/>
  <c r="U27" i="40" s="1"/>
  <c r="J27" i="40"/>
  <c r="F27" i="40"/>
  <c r="S27" i="40"/>
  <c r="J30" i="40"/>
  <c r="AC30" i="40" s="1"/>
  <c r="F30" i="40"/>
  <c r="S30" i="40" s="1"/>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F43" i="34"/>
  <c r="H44" i="34"/>
  <c r="U44" i="34" s="1"/>
  <c r="AC38" i="39"/>
  <c r="F39" i="39"/>
  <c r="S39" i="39" s="1"/>
  <c r="J39" i="39"/>
  <c r="AC39" i="39" s="1"/>
  <c r="E96" i="39"/>
  <c r="F96" i="39" s="1"/>
  <c r="G96" i="39" s="1"/>
  <c r="AZ386" i="3"/>
  <c r="C40" i="11"/>
  <c r="AZ227" i="3"/>
  <c r="AZ251" i="3"/>
  <c r="AZ72" i="3"/>
  <c r="F23" i="39"/>
  <c r="S23" i="39" s="1"/>
  <c r="AA23" i="39"/>
  <c r="H27" i="36"/>
  <c r="U27" i="36" s="1"/>
  <c r="F27" i="36"/>
  <c r="AA27" i="36" s="1"/>
  <c r="H33" i="34"/>
  <c r="AB33" i="34" s="1"/>
  <c r="U33" i="34"/>
  <c r="F32" i="37"/>
  <c r="AA32" i="37"/>
  <c r="G96" i="37"/>
  <c r="H96" i="37"/>
  <c r="I96" i="37" s="1"/>
  <c r="J96" i="37" s="1"/>
  <c r="K96" i="37" s="1"/>
  <c r="L96" i="37" s="1"/>
  <c r="M96" i="37" s="1"/>
  <c r="F20" i="36"/>
  <c r="AA20" i="36" s="1"/>
  <c r="J33" i="34"/>
  <c r="H23" i="39"/>
  <c r="U23" i="39" s="1"/>
  <c r="D48" i="9"/>
  <c r="M52" i="9" s="1"/>
  <c r="K9" i="1"/>
  <c r="M9" i="1" s="1"/>
  <c r="D93" i="9"/>
  <c r="K6" i="1"/>
  <c r="AP6" i="1" s="1"/>
  <c r="G29" i="6"/>
  <c r="W26" i="33"/>
  <c r="W27" i="34"/>
  <c r="AC27" i="34"/>
  <c r="AB34" i="36"/>
  <c r="U34" i="36"/>
  <c r="AB33" i="36"/>
  <c r="U33" i="36"/>
  <c r="AC12" i="39"/>
  <c r="W12" i="39"/>
  <c r="AC39" i="40"/>
  <c r="W39" i="40"/>
  <c r="AZ586" i="3"/>
  <c r="W12" i="33"/>
  <c r="AC12" i="33"/>
  <c r="AA32" i="36"/>
  <c r="S32" i="36"/>
  <c r="AZ473" i="3"/>
  <c r="BL14" i="3"/>
  <c r="U30" i="33"/>
  <c r="AC13" i="34"/>
  <c r="AA47" i="34"/>
  <c r="W28" i="37"/>
  <c r="S19" i="39"/>
  <c r="F12" i="33"/>
  <c r="H12" i="39"/>
  <c r="AB12" i="39" s="1"/>
  <c r="F39" i="40"/>
  <c r="S39" i="40" s="1"/>
  <c r="BA14" i="3"/>
  <c r="AZ367" i="3"/>
  <c r="AZ286" i="3"/>
  <c r="AZ157" i="3"/>
  <c r="B12" i="1"/>
  <c r="E12" i="1" s="1"/>
  <c r="B10" i="1"/>
  <c r="E10" i="1" s="1"/>
  <c r="K12" i="1"/>
  <c r="M12" i="1" s="1"/>
  <c r="S13" i="1"/>
  <c r="AR13" i="1" s="1"/>
  <c r="R13" i="1"/>
  <c r="J51" i="67"/>
  <c r="AC34" i="33"/>
  <c r="AA34" i="33"/>
  <c r="B41" i="1"/>
  <c r="F48" i="9" s="1"/>
  <c r="O52" i="9" s="1"/>
  <c r="AB37" i="40"/>
  <c r="S35" i="40"/>
  <c r="U35" i="40"/>
  <c r="W38" i="40"/>
  <c r="AA32" i="40"/>
  <c r="S17" i="40"/>
  <c r="AC17" i="40"/>
  <c r="AC15" i="40"/>
  <c r="AA19" i="40"/>
  <c r="S28" i="40"/>
  <c r="AA27" i="40"/>
  <c r="U21" i="40"/>
  <c r="U37" i="39"/>
  <c r="S43" i="39"/>
  <c r="S37" i="39"/>
  <c r="U35" i="39"/>
  <c r="F32" i="39"/>
  <c r="S32" i="39" s="1"/>
  <c r="F106" i="39"/>
  <c r="G106" i="39" s="1"/>
  <c r="H106" i="39" s="1"/>
  <c r="I106" i="39" s="1"/>
  <c r="J106" i="39" s="1"/>
  <c r="K106" i="39" s="1"/>
  <c r="L106" i="39" s="1"/>
  <c r="M106" i="39" s="1"/>
  <c r="U25" i="39"/>
  <c r="AB27" i="39"/>
  <c r="U31" i="39"/>
  <c r="J21" i="39"/>
  <c r="W21" i="39" s="1"/>
  <c r="F21" i="39"/>
  <c r="G94" i="39"/>
  <c r="H21" i="39"/>
  <c r="U21" i="39" s="1"/>
  <c r="W19" i="39"/>
  <c r="U19" i="39"/>
  <c r="S17" i="39"/>
  <c r="S15" i="39"/>
  <c r="AA12" i="39"/>
  <c r="S9" i="39"/>
  <c r="U14" i="39"/>
  <c r="AC13" i="39"/>
  <c r="U12" i="39"/>
  <c r="S23" i="36"/>
  <c r="U13" i="36"/>
  <c r="U26" i="36"/>
  <c r="S33" i="36"/>
  <c r="AA26" i="36"/>
  <c r="AC26" i="36"/>
  <c r="AA22" i="36"/>
  <c r="AB14" i="36"/>
  <c r="U22" i="36"/>
  <c r="S16" i="36"/>
  <c r="AA25" i="36"/>
  <c r="S24" i="36"/>
  <c r="U23" i="36"/>
  <c r="AB20" i="36"/>
  <c r="U16" i="36"/>
  <c r="S14" i="36"/>
  <c r="AA25" i="35"/>
  <c r="S23" i="35"/>
  <c r="W24" i="35"/>
  <c r="AB13" i="35"/>
  <c r="U29" i="35"/>
  <c r="U28" i="35"/>
  <c r="AB27" i="35"/>
  <c r="U32" i="35"/>
  <c r="AC30" i="35"/>
  <c r="S32" i="35"/>
  <c r="AA36" i="35"/>
  <c r="S28" i="35"/>
  <c r="AB16" i="35"/>
  <c r="U22" i="35"/>
  <c r="AC20" i="35"/>
  <c r="S22" i="35"/>
  <c r="U14" i="35"/>
  <c r="AA11" i="35"/>
  <c r="AC9" i="35"/>
  <c r="W9" i="35"/>
  <c r="AC12" i="35"/>
  <c r="W13" i="35"/>
  <c r="F9" i="35"/>
  <c r="S9" i="35" s="1"/>
  <c r="H9" i="35"/>
  <c r="U9" i="35" s="1"/>
  <c r="AB40" i="37"/>
  <c r="S25" i="37"/>
  <c r="W27" i="37"/>
  <c r="AC29" i="37"/>
  <c r="U29" i="37"/>
  <c r="S32" i="37"/>
  <c r="AB31" i="37"/>
  <c r="W30" i="37"/>
  <c r="AA38" i="37"/>
  <c r="W38" i="37"/>
  <c r="AC35" i="37"/>
  <c r="W39" i="37"/>
  <c r="S30" i="37"/>
  <c r="S37" i="37"/>
  <c r="AC15" i="37"/>
  <c r="J17" i="37"/>
  <c r="W17" i="37" s="1"/>
  <c r="G73" i="37"/>
  <c r="F17" i="37"/>
  <c r="AB17" i="37"/>
  <c r="F75" i="37"/>
  <c r="F19" i="37"/>
  <c r="S19" i="37" s="1"/>
  <c r="F79" i="37"/>
  <c r="F23" i="37"/>
  <c r="U15" i="37"/>
  <c r="AC13" i="37"/>
  <c r="AA13" i="37"/>
  <c r="H10" i="37"/>
  <c r="AB10" i="37" s="1"/>
  <c r="F63" i="37"/>
  <c r="G63" i="37" s="1"/>
  <c r="H63" i="37" s="1"/>
  <c r="I63" i="37" s="1"/>
  <c r="J63" i="37" s="1"/>
  <c r="K63" i="37" s="1"/>
  <c r="L63" i="37" s="1"/>
  <c r="M63" i="37" s="1"/>
  <c r="F11" i="37"/>
  <c r="S11" i="37" s="1"/>
  <c r="W25" i="34"/>
  <c r="AB8" i="34"/>
  <c r="U43" i="34"/>
  <c r="AC39" i="34"/>
  <c r="W41" i="34"/>
  <c r="AC42" i="34"/>
  <c r="AB35" i="34"/>
  <c r="U39" i="34"/>
  <c r="AB41" i="34"/>
  <c r="AA45" i="34"/>
  <c r="AA25" i="34"/>
  <c r="U28" i="34"/>
  <c r="S17" i="34"/>
  <c r="AA29" i="34"/>
  <c r="U27" i="34"/>
  <c r="S23" i="34"/>
  <c r="U15" i="34"/>
  <c r="H10" i="34"/>
  <c r="AB10" i="34" s="1"/>
  <c r="F11" i="34"/>
  <c r="S11" i="34" s="1"/>
  <c r="F70" i="34"/>
  <c r="G70" i="34" s="1"/>
  <c r="H70" i="34" s="1"/>
  <c r="I70" i="34" s="1"/>
  <c r="J70" i="34" s="1"/>
  <c r="K70" i="34" s="1"/>
  <c r="L70" i="34" s="1"/>
  <c r="M70" i="34" s="1"/>
  <c r="W42" i="33"/>
  <c r="S27" i="33"/>
  <c r="S32" i="33"/>
  <c r="AA29" i="33"/>
  <c r="AB29" i="33"/>
  <c r="W38" i="33"/>
  <c r="H41" i="33"/>
  <c r="AB41" i="33" s="1"/>
  <c r="F121" i="33"/>
  <c r="G121" i="33" s="1"/>
  <c r="H121" i="33" s="1"/>
  <c r="I121" i="33" s="1"/>
  <c r="J121" i="33" s="1"/>
  <c r="K121" i="33" s="1"/>
  <c r="L121" i="33" s="1"/>
  <c r="M121" i="33" s="1"/>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U25" i="33" s="1"/>
  <c r="F25" i="33"/>
  <c r="S25" i="33" s="1"/>
  <c r="J23" i="33"/>
  <c r="AC23" i="33" s="1"/>
  <c r="H23" i="33"/>
  <c r="U23" i="33" s="1"/>
  <c r="F81" i="33"/>
  <c r="G81" i="33" s="1"/>
  <c r="F19" i="33"/>
  <c r="S19" i="33" s="1"/>
  <c r="W19" i="33"/>
  <c r="J17" i="33"/>
  <c r="AC17" i="33" s="1"/>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F85" i="21" s="1"/>
  <c r="G85" i="21" s="1"/>
  <c r="AA14" i="21"/>
  <c r="C18" i="9"/>
  <c r="D18" i="9" s="1"/>
  <c r="F34" i="67"/>
  <c r="F62" i="67" s="1"/>
  <c r="G13" i="3"/>
  <c r="BA13" i="3"/>
  <c r="BL17" i="3"/>
  <c r="AZ17" i="3"/>
  <c r="BL13" i="3"/>
  <c r="J56" i="9"/>
  <c r="J57" i="9" s="1"/>
  <c r="J59" i="9" s="1"/>
  <c r="J61" i="9" s="1"/>
  <c r="E5" i="6"/>
  <c r="E32" i="6"/>
  <c r="G1" i="68"/>
  <c r="K1" i="12"/>
  <c r="E19" i="69"/>
  <c r="E19" i="68"/>
  <c r="E19" i="11"/>
  <c r="E1" i="73"/>
  <c r="G22" i="69"/>
  <c r="G22" i="68"/>
  <c r="G26" i="12"/>
  <c r="G22" i="11"/>
  <c r="C6" i="43"/>
  <c r="B19" i="53"/>
  <c r="B37" i="72" s="1"/>
  <c r="C7" i="39"/>
  <c r="C67" i="39" s="1"/>
  <c r="C7" i="35"/>
  <c r="C48" i="35" s="1"/>
  <c r="D48" i="35" s="1"/>
  <c r="C7" i="40"/>
  <c r="C63" i="40" s="1"/>
  <c r="M47" i="9"/>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U25" i="36"/>
  <c r="AB28" i="36"/>
  <c r="AA13" i="36"/>
  <c r="W9" i="36"/>
  <c r="W22" i="36"/>
  <c r="W23" i="36"/>
  <c r="AB20" i="35"/>
  <c r="AC25" i="35"/>
  <c r="U25" i="35"/>
  <c r="U24" i="35"/>
  <c r="S35" i="35"/>
  <c r="W35" i="35"/>
  <c r="AA16" i="35"/>
  <c r="AA35" i="37"/>
  <c r="W36" i="37"/>
  <c r="S27" i="37"/>
  <c r="S28" i="37"/>
  <c r="W32" i="37"/>
  <c r="U36" i="37"/>
  <c r="S40" i="37"/>
  <c r="U38" i="37"/>
  <c r="AB37" i="37"/>
  <c r="AC34" i="37"/>
  <c r="AA31" i="37"/>
  <c r="U19" i="37"/>
  <c r="AA29" i="37"/>
  <c r="U8" i="37"/>
  <c r="AB40" i="34"/>
  <c r="U19" i="34"/>
  <c r="W19"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C43" i="34"/>
  <c r="W43" i="34"/>
  <c r="W23" i="34"/>
  <c r="AC23" i="34"/>
  <c r="AC35" i="34"/>
  <c r="W35" i="34"/>
  <c r="AB28" i="33"/>
  <c r="AC37" i="33"/>
  <c r="W46" i="33"/>
  <c r="U39" i="33"/>
  <c r="U38" i="33"/>
  <c r="S33" i="33"/>
  <c r="AB3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AC9" i="21" s="1"/>
  <c r="J32" i="21"/>
  <c r="W32" i="21" s="1"/>
  <c r="F32" i="21"/>
  <c r="AA31" i="21"/>
  <c r="U17" i="21"/>
  <c r="W29" i="21"/>
  <c r="S19" i="21"/>
  <c r="S9" i="21"/>
  <c r="AA9" i="21"/>
  <c r="K141" i="21"/>
  <c r="K144" i="21"/>
  <c r="K143" i="21"/>
  <c r="U27" i="21"/>
  <c r="AB25" i="21"/>
  <c r="AB44" i="21"/>
  <c r="AA30" i="21"/>
  <c r="W13" i="21"/>
  <c r="W42" i="21"/>
  <c r="F10" i="21"/>
  <c r="AA10" i="21" s="1"/>
  <c r="K145" i="21"/>
  <c r="W31" i="21"/>
  <c r="S27" i="21"/>
  <c r="S17" i="21"/>
  <c r="AC27" i="21"/>
  <c r="AC26" i="21"/>
  <c r="AB29" i="21"/>
  <c r="S28" i="21"/>
  <c r="AC34" i="21"/>
  <c r="AB36" i="21"/>
  <c r="W30" i="40"/>
  <c r="C19" i="39"/>
  <c r="C15" i="40"/>
  <c r="C17" i="40"/>
  <c r="C23" i="40"/>
  <c r="C21" i="40"/>
  <c r="U30" i="40"/>
  <c r="B56" i="43"/>
  <c r="B67" i="43"/>
  <c r="B51" i="43"/>
  <c r="B54" i="43"/>
  <c r="B58" i="43"/>
  <c r="B62" i="43"/>
  <c r="B65" i="43"/>
  <c r="B69" i="43"/>
  <c r="D23" i="15"/>
  <c r="E4" i="4"/>
  <c r="B5" i="62" s="1"/>
  <c r="B73" i="72" s="1"/>
  <c r="C4" i="4"/>
  <c r="AA39" i="40"/>
  <c r="S12" i="33"/>
  <c r="AA12" i="33"/>
  <c r="J32" i="39"/>
  <c r="H32" i="39"/>
  <c r="AB32" i="39" s="1"/>
  <c r="AA32" i="39"/>
  <c r="AB21" i="39"/>
  <c r="AA21" i="39"/>
  <c r="S21" i="39"/>
  <c r="J19" i="37"/>
  <c r="W19" i="37" s="1"/>
  <c r="G75" i="37"/>
  <c r="AA19" i="37"/>
  <c r="J23" i="37"/>
  <c r="AC23" i="37" s="1"/>
  <c r="G79" i="37"/>
  <c r="J10" i="37"/>
  <c r="W10" i="37" s="1"/>
  <c r="H11" i="37"/>
  <c r="AB11" i="37" s="1"/>
  <c r="H11" i="34"/>
  <c r="U11" i="34" s="1"/>
  <c r="J10" i="34"/>
  <c r="AC10" i="34" s="1"/>
  <c r="W35" i="33"/>
  <c r="AC35" i="33"/>
  <c r="H111" i="33"/>
  <c r="I111" i="33" s="1"/>
  <c r="J111" i="33" s="1"/>
  <c r="K111" i="33" s="1"/>
  <c r="L111" i="33" s="1"/>
  <c r="M111" i="33" s="1"/>
  <c r="J36" i="33"/>
  <c r="W36" i="33" s="1"/>
  <c r="H36" i="33"/>
  <c r="U36" i="33" s="1"/>
  <c r="AC32" i="33"/>
  <c r="W32" i="33"/>
  <c r="U27" i="33"/>
  <c r="G91" i="33"/>
  <c r="H91" i="33"/>
  <c r="I91" i="33" s="1"/>
  <c r="J91" i="33" s="1"/>
  <c r="K91" i="33" s="1"/>
  <c r="L91" i="33" s="1"/>
  <c r="M91" i="33" s="1"/>
  <c r="J27" i="33"/>
  <c r="AC27" i="33" s="1"/>
  <c r="AB25" i="33"/>
  <c r="AA25" i="33"/>
  <c r="G87" i="33"/>
  <c r="H87" i="33"/>
  <c r="I87" i="33" s="1"/>
  <c r="J87" i="33" s="1"/>
  <c r="K87" i="33" s="1"/>
  <c r="L87" i="33" s="1"/>
  <c r="M87" i="33" s="1"/>
  <c r="J25" i="33"/>
  <c r="AC25" i="33" s="1"/>
  <c r="AB23" i="33"/>
  <c r="F23" i="33"/>
  <c r="G85" i="33"/>
  <c r="AA19" i="33"/>
  <c r="H19" i="33"/>
  <c r="H17" i="33"/>
  <c r="U17" i="33" s="1"/>
  <c r="F17" i="33"/>
  <c r="S17" i="33" s="1"/>
  <c r="W17" i="33"/>
  <c r="AB15" i="21"/>
  <c r="J23" i="21"/>
  <c r="H23" i="21"/>
  <c r="U23" i="21" s="1"/>
  <c r="S13" i="21"/>
  <c r="AP7" i="1"/>
  <c r="AB45" i="21"/>
  <c r="AA32" i="21"/>
  <c r="S32" i="21"/>
  <c r="AB32" i="21"/>
  <c r="U32" i="21"/>
  <c r="A18" i="62"/>
  <c r="B64" i="72" s="1"/>
  <c r="U32" i="39"/>
  <c r="AC32" i="39"/>
  <c r="W32" i="39"/>
  <c r="W23" i="37"/>
  <c r="J11" i="37"/>
  <c r="AC11" i="37" s="1"/>
  <c r="J11" i="34"/>
  <c r="W11" i="34" s="1"/>
  <c r="W27" i="33"/>
  <c r="W25" i="33"/>
  <c r="AB19" i="33"/>
  <c r="U19" i="33"/>
  <c r="AC23" i="21"/>
  <c r="W23" i="21"/>
  <c r="H109" i="9"/>
  <c r="M49" i="9" s="1"/>
  <c r="H112" i="9"/>
  <c r="D21" i="53"/>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B7" i="76"/>
  <c r="E7" i="76"/>
  <c r="F43" i="67"/>
  <c r="E10" i="76"/>
  <c r="E11" i="76"/>
  <c r="B8" i="76"/>
  <c r="M22" i="67"/>
  <c r="F38" i="67"/>
  <c r="M24" i="67"/>
  <c r="E2" i="69"/>
  <c r="F7" i="73"/>
  <c r="F20" i="31"/>
  <c r="B10" i="76"/>
  <c r="E8" i="76"/>
  <c r="F37" i="67"/>
  <c r="L48" i="67"/>
  <c r="F6" i="73"/>
  <c r="M28" i="67"/>
  <c r="F36" i="15"/>
  <c r="F40" i="67"/>
  <c r="F7" i="15"/>
  <c r="M6" i="15"/>
  <c r="F38" i="15"/>
  <c r="B9" i="76"/>
  <c r="E13" i="76"/>
  <c r="B11" i="76"/>
  <c r="E12" i="76"/>
  <c r="F26" i="67"/>
  <c r="B13" i="76"/>
  <c r="F13" i="15"/>
  <c r="J15" i="15"/>
  <c r="F13" i="67"/>
  <c r="F16" i="67"/>
  <c r="M26" i="15"/>
  <c r="M6" i="67"/>
  <c r="B12" i="76"/>
  <c r="F36" i="67"/>
  <c r="E9" i="76"/>
  <c r="D6" i="73"/>
  <c r="C76" i="67"/>
  <c r="M23" i="67"/>
  <c r="F4" i="73"/>
  <c r="AO13" i="1"/>
  <c r="F7" i="67"/>
  <c r="M8" i="67"/>
  <c r="F42" i="67"/>
  <c r="F9" i="67"/>
  <c r="M29" i="67"/>
  <c r="M26" i="67"/>
  <c r="D34" i="9"/>
  <c r="J15" i="67"/>
  <c r="M9" i="67"/>
  <c r="F3" i="73"/>
  <c r="L47" i="67"/>
  <c r="F5" i="73"/>
  <c r="D35" i="9"/>
  <c r="F8" i="67"/>
  <c r="E2" i="68"/>
  <c r="F6" i="67"/>
  <c r="L48" i="15"/>
  <c r="F34" i="15" l="1"/>
  <c r="F62" i="15" s="1"/>
  <c r="M20" i="67"/>
  <c r="F54" i="9"/>
  <c r="F30" i="69"/>
  <c r="F48" i="69" s="1"/>
  <c r="F31" i="12"/>
  <c r="C31" i="12" s="1"/>
  <c r="D68" i="9"/>
  <c r="F28" i="15"/>
  <c r="F32" i="67"/>
  <c r="F60" i="67" s="1"/>
  <c r="F28" i="67"/>
  <c r="C28" i="67" s="1"/>
  <c r="M18" i="15"/>
  <c r="M18" i="67"/>
  <c r="F30" i="11"/>
  <c r="C48" i="11" s="1"/>
  <c r="F32" i="15"/>
  <c r="F60" i="15" s="1"/>
  <c r="F52" i="9"/>
  <c r="F30" i="68"/>
  <c r="F48" i="68" s="1"/>
  <c r="C40" i="68"/>
  <c r="C21" i="68"/>
  <c r="D22" i="15"/>
  <c r="C7" i="36"/>
  <c r="C46" i="36" s="1"/>
  <c r="D46" i="36" s="1"/>
  <c r="E46" i="36" s="1"/>
  <c r="F46" i="36" s="1"/>
  <c r="G46" i="36" s="1"/>
  <c r="H46" i="36" s="1"/>
  <c r="I46" i="36" s="1"/>
  <c r="C7" i="21"/>
  <c r="C42" i="1"/>
  <c r="C24" i="12" s="1"/>
  <c r="G23" i="43"/>
  <c r="C23" i="43" s="1"/>
  <c r="C7" i="33"/>
  <c r="AZ167" i="3"/>
  <c r="AZ520" i="3"/>
  <c r="AB29" i="34"/>
  <c r="U29" i="34"/>
  <c r="AA28" i="34"/>
  <c r="S28" i="34"/>
  <c r="S23" i="37"/>
  <c r="AA23" i="37"/>
  <c r="AA23" i="21"/>
  <c r="AA17" i="37"/>
  <c r="S17" i="37"/>
  <c r="AA43" i="34"/>
  <c r="S43" i="34"/>
  <c r="AC13" i="40"/>
  <c r="AA31" i="40"/>
  <c r="S31" i="40"/>
  <c r="AZ560" i="3"/>
  <c r="S14" i="37"/>
  <c r="AA14" i="37"/>
  <c r="AB9" i="21"/>
  <c r="D120" i="9"/>
  <c r="AC11" i="39"/>
  <c r="AZ341" i="3"/>
  <c r="AZ306" i="3"/>
  <c r="AB23" i="21"/>
  <c r="AB36" i="33"/>
  <c r="W9" i="21"/>
  <c r="S37" i="21"/>
  <c r="U41" i="33"/>
  <c r="AC17" i="37"/>
  <c r="AC15" i="21"/>
  <c r="AB35" i="37"/>
  <c r="AC20" i="36"/>
  <c r="U42" i="33"/>
  <c r="AA35" i="33"/>
  <c r="S20" i="35"/>
  <c r="AB19" i="40"/>
  <c r="AC33" i="34"/>
  <c r="W33" i="34"/>
  <c r="S40" i="34"/>
  <c r="AA40" i="34"/>
  <c r="AC27" i="40"/>
  <c r="W27" i="40"/>
  <c r="AB32" i="37"/>
  <c r="U32" i="37"/>
  <c r="AA12" i="40"/>
  <c r="AZ318" i="3"/>
  <c r="AZ364" i="3"/>
  <c r="AZ329" i="3"/>
  <c r="S11" i="39"/>
  <c r="AA11" i="39"/>
  <c r="AA24" i="35"/>
  <c r="S24" i="35"/>
  <c r="AZ513" i="3"/>
  <c r="U33" i="40"/>
  <c r="AB33" i="40"/>
  <c r="AZ585" i="3"/>
  <c r="AA17" i="33"/>
  <c r="AA36" i="33"/>
  <c r="S36" i="33"/>
  <c r="W17" i="21"/>
  <c r="S13" i="34"/>
  <c r="AA33" i="34"/>
  <c r="S36" i="37"/>
  <c r="AB27" i="40"/>
  <c r="AZ322" i="3"/>
  <c r="W36" i="40"/>
  <c r="AC36" i="40"/>
  <c r="AB23" i="37"/>
  <c r="U23" i="37"/>
  <c r="S15" i="21"/>
  <c r="AA15" i="21"/>
  <c r="W45" i="21"/>
  <c r="AC45" i="21"/>
  <c r="AZ531" i="3"/>
  <c r="AZ583" i="3"/>
  <c r="AZ576" i="3"/>
  <c r="S44" i="34"/>
  <c r="H12" i="36"/>
  <c r="G566" i="3"/>
  <c r="W25" i="21"/>
  <c r="W14" i="36"/>
  <c r="S23" i="40"/>
  <c r="AZ14" i="3"/>
  <c r="AZ345" i="3"/>
  <c r="AZ334" i="3"/>
  <c r="AZ372" i="3"/>
  <c r="AZ347" i="3"/>
  <c r="AZ337" i="3"/>
  <c r="AZ192" i="3"/>
  <c r="AZ376" i="3"/>
  <c r="AZ309" i="3"/>
  <c r="AZ549" i="3"/>
  <c r="AC12" i="37"/>
  <c r="AZ515" i="3"/>
  <c r="AZ523" i="3"/>
  <c r="AZ533" i="3"/>
  <c r="AZ547" i="3"/>
  <c r="AZ561" i="3"/>
  <c r="AZ569" i="3"/>
  <c r="AZ571" i="3"/>
  <c r="AZ579" i="3"/>
  <c r="AZ524" i="3"/>
  <c r="W44" i="39"/>
  <c r="AC28" i="21"/>
  <c r="AB46" i="34"/>
  <c r="AB30" i="21"/>
  <c r="S41" i="33"/>
  <c r="AB23" i="34"/>
  <c r="J28" i="34"/>
  <c r="F12" i="36"/>
  <c r="J34" i="36"/>
  <c r="W34" i="36" s="1"/>
  <c r="S40" i="39"/>
  <c r="AB39" i="40"/>
  <c r="U35" i="33"/>
  <c r="BL585" i="3"/>
  <c r="H12" i="33"/>
  <c r="U12" i="33" s="1"/>
  <c r="H36" i="35"/>
  <c r="J36" i="35"/>
  <c r="AC36" i="35" s="1"/>
  <c r="F44" i="39"/>
  <c r="W31" i="35"/>
  <c r="AC31" i="35"/>
  <c r="BA551" i="3"/>
  <c r="AZ551" i="3" s="1"/>
  <c r="BA550" i="3"/>
  <c r="BL548" i="3"/>
  <c r="AZ548" i="3" s="1"/>
  <c r="AC31" i="33"/>
  <c r="AZ539" i="3"/>
  <c r="AZ529" i="3"/>
  <c r="AZ537" i="3"/>
  <c r="AZ518" i="3"/>
  <c r="AZ526" i="3"/>
  <c r="AZ546" i="3"/>
  <c r="AZ564" i="3"/>
  <c r="AZ580" i="3"/>
  <c r="AB45" i="33"/>
  <c r="S11" i="36"/>
  <c r="AA29" i="35"/>
  <c r="AB17" i="34"/>
  <c r="W40" i="33"/>
  <c r="F34" i="36"/>
  <c r="S38" i="40"/>
  <c r="S34" i="40"/>
  <c r="W39" i="33"/>
  <c r="F9" i="34"/>
  <c r="AA9" i="34" s="1"/>
  <c r="J9" i="34"/>
  <c r="AZ400" i="3"/>
  <c r="BL587" i="3"/>
  <c r="AZ587" i="3" s="1"/>
  <c r="J24" i="36"/>
  <c r="H24" i="36"/>
  <c r="AZ443" i="3"/>
  <c r="AZ487" i="3"/>
  <c r="H12" i="34"/>
  <c r="G574" i="3"/>
  <c r="AZ404" i="3"/>
  <c r="AZ405" i="3"/>
  <c r="AZ419" i="3"/>
  <c r="AZ444" i="3"/>
  <c r="AZ466" i="3"/>
  <c r="AZ480" i="3"/>
  <c r="G398" i="3"/>
  <c r="G399" i="3"/>
  <c r="BL400" i="3"/>
  <c r="BL408" i="3"/>
  <c r="BL411" i="3"/>
  <c r="BL413" i="3"/>
  <c r="AZ413" i="3" s="1"/>
  <c r="G415" i="3"/>
  <c r="G416" i="3"/>
  <c r="BL417" i="3"/>
  <c r="BL418" i="3"/>
  <c r="BL420" i="3"/>
  <c r="G422" i="3"/>
  <c r="G423" i="3"/>
  <c r="BL424" i="3"/>
  <c r="G426" i="3"/>
  <c r="G427" i="3"/>
  <c r="BL428" i="3"/>
  <c r="BL429" i="3"/>
  <c r="BL432" i="3"/>
  <c r="BL435" i="3"/>
  <c r="BL436" i="3"/>
  <c r="BA439" i="3"/>
  <c r="BA440" i="3"/>
  <c r="AZ440" i="3" s="1"/>
  <c r="BA442" i="3"/>
  <c r="BA445" i="3"/>
  <c r="BA447" i="3"/>
  <c r="AZ447" i="3" s="1"/>
  <c r="BA449" i="3"/>
  <c r="BL453" i="3"/>
  <c r="BL454" i="3"/>
  <c r="G458" i="3"/>
  <c r="BL459" i="3"/>
  <c r="G461" i="3"/>
  <c r="G462" i="3"/>
  <c r="BA465" i="3"/>
  <c r="AZ465" i="3" s="1"/>
  <c r="BA467" i="3"/>
  <c r="BA468" i="3"/>
  <c r="BL471" i="3"/>
  <c r="BL475" i="3"/>
  <c r="BA477" i="3"/>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BL210" i="3"/>
  <c r="BL212" i="3"/>
  <c r="G214" i="3"/>
  <c r="BL214" i="3"/>
  <c r="AZ214" i="3" s="1"/>
  <c r="G216" i="3"/>
  <c r="BL225" i="3"/>
  <c r="BL226" i="3"/>
  <c r="G227" i="3"/>
  <c r="BA233" i="3"/>
  <c r="BL234" i="3"/>
  <c r="BA237" i="3"/>
  <c r="AZ237" i="3" s="1"/>
  <c r="BA274" i="3"/>
  <c r="BL274" i="3"/>
  <c r="BL278" i="3"/>
  <c r="BL298" i="3"/>
  <c r="G558" i="3"/>
  <c r="BL398" i="3"/>
  <c r="BL403" i="3"/>
  <c r="AZ403" i="3" s="1"/>
  <c r="BA408" i="3"/>
  <c r="BA409" i="3"/>
  <c r="AZ409" i="3" s="1"/>
  <c r="BA411" i="3"/>
  <c r="AZ411" i="3" s="1"/>
  <c r="BL414" i="3"/>
  <c r="BL415" i="3"/>
  <c r="BA417" i="3"/>
  <c r="AZ417" i="3" s="1"/>
  <c r="BL421" i="3"/>
  <c r="BL422" i="3"/>
  <c r="AZ422" i="3" s="1"/>
  <c r="BL425" i="3"/>
  <c r="BL426" i="3"/>
  <c r="BA428" i="3"/>
  <c r="AZ428" i="3" s="1"/>
  <c r="BA429" i="3"/>
  <c r="AZ429" i="3" s="1"/>
  <c r="BA430" i="3"/>
  <c r="AZ430" i="3" s="1"/>
  <c r="BA432" i="3"/>
  <c r="BA434" i="3"/>
  <c r="BA436" i="3"/>
  <c r="BA438" i="3"/>
  <c r="BA446" i="3"/>
  <c r="BA450" i="3"/>
  <c r="BA453" i="3"/>
  <c r="AZ453" i="3" s="1"/>
  <c r="BA455" i="3"/>
  <c r="AZ455" i="3" s="1"/>
  <c r="BL457" i="3"/>
  <c r="BL460" i="3"/>
  <c r="BL461" i="3"/>
  <c r="BL463" i="3"/>
  <c r="BA471" i="3"/>
  <c r="AZ471" i="3" s="1"/>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AZ228" i="3" s="1"/>
  <c r="BA230" i="3"/>
  <c r="AZ230" i="3" s="1"/>
  <c r="BL232" i="3"/>
  <c r="BL235" i="3"/>
  <c r="AZ235" i="3" s="1"/>
  <c r="BL236" i="3"/>
  <c r="BA247" i="3"/>
  <c r="AZ247" i="3" s="1"/>
  <c r="BL247" i="3"/>
  <c r="BL250" i="3"/>
  <c r="AZ250" i="3" s="1"/>
  <c r="BA259" i="3"/>
  <c r="AZ259" i="3" s="1"/>
  <c r="BL260" i="3"/>
  <c r="BA267" i="3"/>
  <c r="AZ267" i="3" s="1"/>
  <c r="BL275" i="3"/>
  <c r="AZ275" i="3" s="1"/>
  <c r="AZ126" i="3"/>
  <c r="BL550" i="3"/>
  <c r="BL15" i="3"/>
  <c r="AZ15" i="3" s="1"/>
  <c r="BA398" i="3"/>
  <c r="BA399" i="3"/>
  <c r="AZ399" i="3" s="1"/>
  <c r="BL401" i="3"/>
  <c r="AZ401" i="3" s="1"/>
  <c r="BL404" i="3"/>
  <c r="BL405" i="3"/>
  <c r="BL407" i="3"/>
  <c r="AZ407" i="3" s="1"/>
  <c r="BA412" i="3"/>
  <c r="AZ412" i="3" s="1"/>
  <c r="BA414" i="3"/>
  <c r="BA415" i="3"/>
  <c r="AZ415" i="3" s="1"/>
  <c r="BA416" i="3"/>
  <c r="AZ416" i="3" s="1"/>
  <c r="BA418" i="3"/>
  <c r="AZ418" i="3" s="1"/>
  <c r="BA421" i="3"/>
  <c r="BA423" i="3"/>
  <c r="AZ423" i="3" s="1"/>
  <c r="BA425" i="3"/>
  <c r="AZ425" i="3" s="1"/>
  <c r="BA426" i="3"/>
  <c r="BA427" i="3"/>
  <c r="AZ427" i="3" s="1"/>
  <c r="BA433" i="3"/>
  <c r="AZ433" i="3" s="1"/>
  <c r="BA435" i="3"/>
  <c r="AZ435" i="3" s="1"/>
  <c r="BL437" i="3"/>
  <c r="AZ437" i="3" s="1"/>
  <c r="G439" i="3"/>
  <c r="G440" i="3"/>
  <c r="BL441" i="3"/>
  <c r="AZ441" i="3" s="1"/>
  <c r="BL442" i="3"/>
  <c r="BL444" i="3"/>
  <c r="G446" i="3"/>
  <c r="G447" i="3"/>
  <c r="BL448" i="3"/>
  <c r="AZ448" i="3" s="1"/>
  <c r="G450" i="3"/>
  <c r="G451" i="3"/>
  <c r="BA454" i="3"/>
  <c r="AZ454" i="3" s="1"/>
  <c r="BA457" i="3"/>
  <c r="AZ457" i="3" s="1"/>
  <c r="BA459" i="3"/>
  <c r="BA460" i="3"/>
  <c r="BA461" i="3"/>
  <c r="BL464" i="3"/>
  <c r="AZ464" i="3" s="1"/>
  <c r="BL466" i="3"/>
  <c r="G468" i="3"/>
  <c r="G469" i="3"/>
  <c r="BL476" i="3"/>
  <c r="AZ476" i="3" s="1"/>
  <c r="BL477" i="3"/>
  <c r="BL478" i="3"/>
  <c r="G479" i="3"/>
  <c r="G480" i="3"/>
  <c r="BL480" i="3"/>
  <c r="G482" i="3"/>
  <c r="BA483" i="3"/>
  <c r="BL483" i="3"/>
  <c r="AZ483" i="3" s="1"/>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L233" i="3"/>
  <c r="BA238" i="3"/>
  <c r="AZ238" i="3" s="1"/>
  <c r="BL242" i="3"/>
  <c r="BL243" i="3"/>
  <c r="AZ243" i="3" s="1"/>
  <c r="BL248" i="3"/>
  <c r="AZ248" i="3" s="1"/>
  <c r="BA253" i="3"/>
  <c r="BA263" i="3"/>
  <c r="AZ263" i="3" s="1"/>
  <c r="BA270" i="3"/>
  <c r="AZ270" i="3" s="1"/>
  <c r="BA271" i="3"/>
  <c r="AZ271" i="3" s="1"/>
  <c r="BL271" i="3"/>
  <c r="BA133" i="3"/>
  <c r="AZ133" i="3" s="1"/>
  <c r="AZ177" i="3"/>
  <c r="C64" i="71"/>
  <c r="D63" i="71"/>
  <c r="Y26" i="71"/>
  <c r="Z26" i="71" s="1"/>
  <c r="Y25" i="71"/>
  <c r="Z25" i="71"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G283" i="3"/>
  <c r="BL283" i="3"/>
  <c r="AZ283" i="3" s="1"/>
  <c r="BL284" i="3"/>
  <c r="G288" i="3"/>
  <c r="BL292" i="3"/>
  <c r="BA294" i="3"/>
  <c r="AZ294" i="3" s="1"/>
  <c r="BL295" i="3"/>
  <c r="BA298" i="3"/>
  <c r="BL301" i="3"/>
  <c r="AZ301" i="3" s="1"/>
  <c r="BL302" i="3"/>
  <c r="BA114" i="3"/>
  <c r="BL123" i="3"/>
  <c r="AZ123" i="3" s="1"/>
  <c r="BA128" i="3"/>
  <c r="AZ128" i="3" s="1"/>
  <c r="BL134" i="3"/>
  <c r="BL137" i="3"/>
  <c r="G143" i="3"/>
  <c r="BA146" i="3"/>
  <c r="AZ146" i="3" s="1"/>
  <c r="BA150" i="3"/>
  <c r="G159" i="3"/>
  <c r="BL167" i="3"/>
  <c r="BL171" i="3"/>
  <c r="AZ171" i="3" s="1"/>
  <c r="BA188" i="3"/>
  <c r="AZ188" i="3" s="1"/>
  <c r="BL195" i="3"/>
  <c r="AZ195" i="3" s="1"/>
  <c r="G196" i="3"/>
  <c r="BA197" i="3"/>
  <c r="BL201" i="3"/>
  <c r="BL203" i="3"/>
  <c r="AZ203" i="3" s="1"/>
  <c r="BA204" i="3"/>
  <c r="AZ204" i="3" s="1"/>
  <c r="G18" i="3"/>
  <c r="BA25" i="3"/>
  <c r="G31" i="3"/>
  <c r="BL35" i="3"/>
  <c r="BL52" i="3"/>
  <c r="BA65" i="3"/>
  <c r="AZ65" i="3" s="1"/>
  <c r="AZ108" i="3"/>
  <c r="T32" i="71"/>
  <c r="D32" i="71"/>
  <c r="X33" i="71"/>
  <c r="X34" i="71"/>
  <c r="X26" i="71"/>
  <c r="X36" i="71"/>
  <c r="X35" i="71"/>
  <c r="AB37" i="71"/>
  <c r="AB35" i="71"/>
  <c r="F38" i="71"/>
  <c r="F39" i="71" s="1"/>
  <c r="F40" i="71" s="1"/>
  <c r="V40" i="71" s="1"/>
  <c r="AB32" i="71"/>
  <c r="AB27" i="71"/>
  <c r="C47" i="71"/>
  <c r="D47" i="71" s="1"/>
  <c r="D46" i="71"/>
  <c r="BL285" i="3"/>
  <c r="BL287" i="3"/>
  <c r="BA290" i="3"/>
  <c r="BL299" i="3"/>
  <c r="BL113" i="3"/>
  <c r="BL115" i="3"/>
  <c r="AZ115" i="3" s="1"/>
  <c r="BA118" i="3"/>
  <c r="BL118" i="3"/>
  <c r="BA122" i="3"/>
  <c r="AZ122" i="3" s="1"/>
  <c r="BL125" i="3"/>
  <c r="AZ125" i="3" s="1"/>
  <c r="BL126" i="3"/>
  <c r="BA144" i="3"/>
  <c r="AZ144" i="3" s="1"/>
  <c r="BA153" i="3"/>
  <c r="BL155" i="3"/>
  <c r="AZ155" i="3" s="1"/>
  <c r="BA164" i="3"/>
  <c r="AZ164" i="3" s="1"/>
  <c r="BA166" i="3"/>
  <c r="AZ166" i="3" s="1"/>
  <c r="BA169" i="3"/>
  <c r="AZ169" i="3" s="1"/>
  <c r="AZ201" i="3"/>
  <c r="BL99" i="3"/>
  <c r="C51" i="71"/>
  <c r="BA239" i="3"/>
  <c r="AZ239" i="3" s="1"/>
  <c r="BL239" i="3"/>
  <c r="BA241" i="3"/>
  <c r="BL241" i="3"/>
  <c r="BA244" i="3"/>
  <c r="AZ244" i="3" s="1"/>
  <c r="BL244" i="3"/>
  <c r="BA246" i="3"/>
  <c r="BA252" i="3"/>
  <c r="AZ252" i="3" s="1"/>
  <c r="BA254" i="3"/>
  <c r="AZ254" i="3" s="1"/>
  <c r="BA256" i="3"/>
  <c r="BL256" i="3"/>
  <c r="BA258" i="3"/>
  <c r="BL264" i="3"/>
  <c r="BL266" i="3"/>
  <c r="BA268" i="3"/>
  <c r="BL273" i="3"/>
  <c r="G274" i="3"/>
  <c r="BA277" i="3"/>
  <c r="BL277" i="3"/>
  <c r="BA282" i="3"/>
  <c r="BL282" i="3"/>
  <c r="BA284" i="3"/>
  <c r="BL290" i="3"/>
  <c r="BL291" i="3"/>
  <c r="AZ291" i="3" s="1"/>
  <c r="BL293" i="3"/>
  <c r="BL294" i="3"/>
  <c r="BA297" i="3"/>
  <c r="BL297" i="3"/>
  <c r="BL300" i="3"/>
  <c r="BA302" i="3"/>
  <c r="G115" i="3"/>
  <c r="BA117" i="3"/>
  <c r="BA130" i="3"/>
  <c r="AZ130" i="3" s="1"/>
  <c r="BL130" i="3"/>
  <c r="BA137" i="3"/>
  <c r="BL138" i="3"/>
  <c r="BA140" i="3"/>
  <c r="AZ140" i="3" s="1"/>
  <c r="BA142" i="3"/>
  <c r="BL149" i="3"/>
  <c r="AZ149" i="3" s="1"/>
  <c r="BL150" i="3"/>
  <c r="G151" i="3"/>
  <c r="BA152" i="3"/>
  <c r="AZ152" i="3" s="1"/>
  <c r="BA154" i="3"/>
  <c r="AZ154" i="3" s="1"/>
  <c r="BA160" i="3"/>
  <c r="AZ160" i="3" s="1"/>
  <c r="G162" i="3"/>
  <c r="BL162" i="3"/>
  <c r="AZ162" i="3" s="1"/>
  <c r="BL165" i="3"/>
  <c r="G166" i="3"/>
  <c r="G170" i="3"/>
  <c r="BL177" i="3"/>
  <c r="G179" i="3"/>
  <c r="BL183" i="3"/>
  <c r="AZ183" i="3" s="1"/>
  <c r="BA186" i="3"/>
  <c r="AZ186" i="3" s="1"/>
  <c r="BA190" i="3"/>
  <c r="BA207" i="3"/>
  <c r="BL20" i="3"/>
  <c r="BA21" i="3"/>
  <c r="AZ21" i="3" s="1"/>
  <c r="G29" i="3"/>
  <c r="G41" i="3"/>
  <c r="AZ52" i="3"/>
  <c r="BL76" i="3"/>
  <c r="BL82" i="3"/>
  <c r="AZ82" i="3" s="1"/>
  <c r="G98" i="3"/>
  <c r="W25" i="40"/>
  <c r="AC25" i="40"/>
  <c r="C55" i="71"/>
  <c r="D54" i="71"/>
  <c r="BA176" i="3"/>
  <c r="AZ176" i="3" s="1"/>
  <c r="BA178" i="3"/>
  <c r="AZ178" i="3" s="1"/>
  <c r="BA184" i="3"/>
  <c r="AZ184" i="3" s="1"/>
  <c r="BL187" i="3"/>
  <c r="AZ187" i="3" s="1"/>
  <c r="BL189" i="3"/>
  <c r="AZ189" i="3" s="1"/>
  <c r="BL190" i="3"/>
  <c r="BA192" i="3"/>
  <c r="BL197" i="3"/>
  <c r="BL199" i="3"/>
  <c r="AZ199" i="3" s="1"/>
  <c r="BA200" i="3"/>
  <c r="AZ200" i="3" s="1"/>
  <c r="BA202" i="3"/>
  <c r="BL207" i="3"/>
  <c r="BL18" i="3"/>
  <c r="G19" i="3"/>
  <c r="BL19" i="3"/>
  <c r="BA20" i="3"/>
  <c r="BL25" i="3"/>
  <c r="BL27" i="3"/>
  <c r="AZ27" i="3" s="1"/>
  <c r="BA28" i="3"/>
  <c r="AZ28" i="3" s="1"/>
  <c r="BA31" i="3"/>
  <c r="BA32" i="3"/>
  <c r="G38" i="3"/>
  <c r="BA38" i="3"/>
  <c r="AZ38" i="3" s="1"/>
  <c r="BA41" i="3"/>
  <c r="BA42" i="3"/>
  <c r="G47" i="3"/>
  <c r="BL48" i="3"/>
  <c r="BL54" i="3"/>
  <c r="BL55" i="3"/>
  <c r="AZ55" i="3" s="1"/>
  <c r="G58" i="3"/>
  <c r="BA59" i="3"/>
  <c r="BL61" i="3"/>
  <c r="G64" i="3"/>
  <c r="BA64" i="3"/>
  <c r="AZ64" i="3" s="1"/>
  <c r="G67" i="3"/>
  <c r="BL68" i="3"/>
  <c r="BA69" i="3"/>
  <c r="AZ69" i="3" s="1"/>
  <c r="G72" i="3"/>
  <c r="BL73" i="3"/>
  <c r="BA74" i="3"/>
  <c r="AZ74" i="3" s="1"/>
  <c r="BA75" i="3"/>
  <c r="AZ75" i="3" s="1"/>
  <c r="G81" i="3"/>
  <c r="G85" i="3"/>
  <c r="BL85" i="3"/>
  <c r="BA86" i="3"/>
  <c r="AZ86" i="3" s="1"/>
  <c r="BA87" i="3"/>
  <c r="BA91" i="3"/>
  <c r="AZ91" i="3" s="1"/>
  <c r="BL103" i="3"/>
  <c r="G104" i="3"/>
  <c r="BA106" i="3"/>
  <c r="BL108" i="3"/>
  <c r="AB25" i="71"/>
  <c r="AB28" i="71"/>
  <c r="AB26" i="71"/>
  <c r="Y30" i="71"/>
  <c r="Z30" i="71" s="1"/>
  <c r="C34" i="71"/>
  <c r="Y28" i="71"/>
  <c r="Z28" i="71" s="1"/>
  <c r="C23" i="71"/>
  <c r="B22" i="71"/>
  <c r="B21" i="71" s="1"/>
  <c r="B20" i="71" s="1"/>
  <c r="AA3" i="71"/>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BA48" i="3"/>
  <c r="BA49" i="3"/>
  <c r="BA51" i="3"/>
  <c r="G54" i="3"/>
  <c r="G55" i="3"/>
  <c r="BL56" i="3"/>
  <c r="BA58" i="3"/>
  <c r="BL59" i="3"/>
  <c r="BL60" i="3"/>
  <c r="BA61" i="3"/>
  <c r="AZ61" i="3" s="1"/>
  <c r="BA68" i="3"/>
  <c r="BA73" i="3"/>
  <c r="BA80" i="3"/>
  <c r="G84" i="3"/>
  <c r="BL84" i="3"/>
  <c r="BA89" i="3"/>
  <c r="BL92" i="3"/>
  <c r="BL96" i="3"/>
  <c r="BL97" i="3"/>
  <c r="AZ97" i="3" s="1"/>
  <c r="F40" i="69"/>
  <c r="C40" i="69"/>
  <c r="U21" i="33"/>
  <c r="AB21" i="33"/>
  <c r="AC18" i="35"/>
  <c r="W18" i="35"/>
  <c r="T44" i="71"/>
  <c r="P65" i="71"/>
  <c r="P66" i="71"/>
  <c r="F28" i="71"/>
  <c r="F27" i="71" s="1"/>
  <c r="F26" i="71" s="1"/>
  <c r="T40" i="71"/>
  <c r="D40" i="71"/>
  <c r="E59" i="71"/>
  <c r="E60" i="71" s="1"/>
  <c r="U60" i="71" s="1"/>
  <c r="T76" i="71"/>
  <c r="D76" i="71"/>
  <c r="C75" i="71"/>
  <c r="BL29" i="3"/>
  <c r="AZ29" i="3" s="1"/>
  <c r="BA37" i="3"/>
  <c r="G39" i="3"/>
  <c r="BL39" i="3"/>
  <c r="AZ39" i="3" s="1"/>
  <c r="BA45" i="3"/>
  <c r="AZ45" i="3" s="1"/>
  <c r="BA46" i="3"/>
  <c r="BL49" i="3"/>
  <c r="BL50" i="3"/>
  <c r="AZ50" i="3" s="1"/>
  <c r="BL51" i="3"/>
  <c r="G53" i="3"/>
  <c r="BL53" i="3"/>
  <c r="AZ53" i="3" s="1"/>
  <c r="BA56" i="3"/>
  <c r="BA57" i="3"/>
  <c r="AZ57" i="3" s="1"/>
  <c r="BL58" i="3"/>
  <c r="BA60" i="3"/>
  <c r="BA63" i="3"/>
  <c r="AZ63" i="3" s="1"/>
  <c r="BA66" i="3"/>
  <c r="AZ66" i="3" s="1"/>
  <c r="BA71" i="3"/>
  <c r="AZ71" i="3" s="1"/>
  <c r="G76" i="3"/>
  <c r="BL77" i="3"/>
  <c r="AZ77" i="3" s="1"/>
  <c r="BA79" i="3"/>
  <c r="AZ79" i="3" s="1"/>
  <c r="G82" i="3"/>
  <c r="G83" i="3"/>
  <c r="BA84" i="3"/>
  <c r="AZ84" i="3" s="1"/>
  <c r="BL88" i="3"/>
  <c r="AZ88" i="3" s="1"/>
  <c r="G90" i="3"/>
  <c r="G95" i="3"/>
  <c r="G96" i="3"/>
  <c r="G99" i="3"/>
  <c r="G103" i="3"/>
  <c r="BA103" i="3"/>
  <c r="AZ103" i="3" s="1"/>
  <c r="BA109" i="3"/>
  <c r="BA110" i="3"/>
  <c r="AZ110" i="3" s="1"/>
  <c r="B13" i="1"/>
  <c r="E13" i="1" s="1"/>
  <c r="K13" i="1"/>
  <c r="M13" i="1" s="1"/>
  <c r="O13" i="1" s="1"/>
  <c r="P13" i="1" s="1"/>
  <c r="W21" i="37"/>
  <c r="AC21" i="37"/>
  <c r="U21" i="37"/>
  <c r="AB21" i="34"/>
  <c r="U21" i="34"/>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X28" i="71"/>
  <c r="X32" i="71"/>
  <c r="BA101" i="3"/>
  <c r="AZ101" i="3" s="1"/>
  <c r="G109" i="3"/>
  <c r="BL112" i="3"/>
  <c r="U25" i="40"/>
  <c r="S21" i="34"/>
  <c r="B68" i="43"/>
  <c r="B88" i="43"/>
  <c r="D39" i="71"/>
  <c r="C27" i="71"/>
  <c r="D62" i="71"/>
  <c r="U68" i="71"/>
  <c r="D30" i="71"/>
  <c r="X31" i="71"/>
  <c r="F35" i="71"/>
  <c r="F36" i="71" s="1"/>
  <c r="V36" i="71" s="1"/>
  <c r="AA34" i="71"/>
  <c r="B51" i="71"/>
  <c r="B52" i="71" s="1"/>
  <c r="S52" i="71" s="1"/>
  <c r="BA90" i="3"/>
  <c r="BL94" i="3"/>
  <c r="AZ94" i="3" s="1"/>
  <c r="BA100" i="3"/>
  <c r="AZ100" i="3" s="1"/>
  <c r="BA102" i="3"/>
  <c r="AZ102" i="3" s="1"/>
  <c r="BL105" i="3"/>
  <c r="AZ105" i="3" s="1"/>
  <c r="G107" i="3"/>
  <c r="BL107" i="3"/>
  <c r="BA111" i="3"/>
  <c r="AZ111" i="3" s="1"/>
  <c r="W18" i="36"/>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F26" i="43" s="1"/>
  <c r="E29" i="6"/>
  <c r="K15" i="1" s="1"/>
  <c r="F30" i="6"/>
  <c r="G30" i="6"/>
  <c r="G31" i="6" s="1"/>
  <c r="E28" i="6"/>
  <c r="K14" i="1"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P11" i="1"/>
  <c r="E59" i="40"/>
  <c r="D9" i="11"/>
  <c r="C9" i="11" s="1"/>
  <c r="D19" i="12"/>
  <c r="C19" i="12" s="1"/>
  <c r="AZ13" i="3"/>
  <c r="O9" i="1"/>
  <c r="P9" i="1" s="1"/>
  <c r="O12" i="1"/>
  <c r="P12" i="1" s="1"/>
  <c r="O8" i="1"/>
  <c r="P8" i="1" s="1"/>
  <c r="H73" i="43"/>
  <c r="H90" i="43"/>
  <c r="I18" i="43"/>
  <c r="E17" i="43" s="1"/>
  <c r="C17" i="43" s="1"/>
  <c r="G26" i="43"/>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C6" i="67"/>
  <c r="J53" i="15"/>
  <c r="L56" i="15" s="1"/>
  <c r="J57" i="15"/>
  <c r="J55" i="15" s="1"/>
  <c r="J58" i="15" s="1"/>
  <c r="Q50" i="15" s="1"/>
  <c r="I54" i="15"/>
  <c r="B20" i="31"/>
  <c r="B21" i="31" s="1"/>
  <c r="I1" i="73"/>
  <c r="B39" i="1" s="1"/>
  <c r="F51" i="67"/>
  <c r="F65" i="67"/>
  <c r="J53" i="67"/>
  <c r="J57" i="67"/>
  <c r="J55" i="67" s="1"/>
  <c r="J58" i="67" s="1"/>
  <c r="Q50" i="67" s="1"/>
  <c r="L56" i="67"/>
  <c r="I54" i="67"/>
  <c r="M7" i="15"/>
  <c r="F50" i="15"/>
  <c r="F66" i="67"/>
  <c r="F66" i="15"/>
  <c r="Q71" i="67"/>
  <c r="F64" i="15"/>
  <c r="C27" i="67"/>
  <c r="F71" i="67"/>
  <c r="N59" i="67"/>
  <c r="L59" i="67"/>
  <c r="L58" i="67"/>
  <c r="M59" i="67"/>
  <c r="B13" i="70"/>
  <c r="M7" i="67"/>
  <c r="J6" i="67" s="1"/>
  <c r="F50" i="67"/>
  <c r="F68" i="67"/>
  <c r="F64" i="67"/>
  <c r="C36" i="68"/>
  <c r="D9" i="69"/>
  <c r="C36" i="69"/>
  <c r="D9" i="68"/>
  <c r="F37" i="15"/>
  <c r="F43" i="15"/>
  <c r="F9" i="15"/>
  <c r="F40" i="15"/>
  <c r="M22" i="15"/>
  <c r="D4" i="73"/>
  <c r="D7" i="73"/>
  <c r="C16" i="67"/>
  <c r="M8" i="15"/>
  <c r="M24" i="15"/>
  <c r="F26" i="15"/>
  <c r="M28" i="15"/>
  <c r="F42" i="15"/>
  <c r="D3" i="73"/>
  <c r="L47" i="15"/>
  <c r="M23" i="15"/>
  <c r="M9" i="15"/>
  <c r="C76" i="15"/>
  <c r="M29" i="15"/>
  <c r="F8" i="15"/>
  <c r="F16" i="15"/>
  <c r="F6" i="15"/>
  <c r="D5" i="73"/>
  <c r="K16" i="1" l="1"/>
  <c r="E26" i="43"/>
  <c r="H26" i="43"/>
  <c r="P6" i="1"/>
  <c r="C13" i="12" s="1"/>
  <c r="H16" i="1"/>
  <c r="J26" i="43"/>
  <c r="N94" i="46"/>
  <c r="O23" i="43"/>
  <c r="A1" i="79"/>
  <c r="P26" i="43"/>
  <c r="F31" i="15"/>
  <c r="C6" i="15"/>
  <c r="C32" i="15" s="1"/>
  <c r="F51" i="15"/>
  <c r="C49" i="15" s="1"/>
  <c r="Q71" i="15"/>
  <c r="N59" i="15"/>
  <c r="L58" i="15"/>
  <c r="Q73" i="15" s="1"/>
  <c r="M59" i="15"/>
  <c r="L59" i="15"/>
  <c r="Q74" i="15" s="1"/>
  <c r="C27" i="15"/>
  <c r="F68" i="15"/>
  <c r="F71" i="15"/>
  <c r="F65" i="15"/>
  <c r="G5" i="3"/>
  <c r="B3" i="3" s="1"/>
  <c r="D67" i="71"/>
  <c r="C66" i="71"/>
  <c r="O67" i="71"/>
  <c r="AZ49" i="3"/>
  <c r="D23" i="71"/>
  <c r="C22" i="71"/>
  <c r="AZ491" i="3"/>
  <c r="AB36" i="35"/>
  <c r="U36" i="35"/>
  <c r="W28" i="34"/>
  <c r="AC28" i="34"/>
  <c r="D121" i="9"/>
  <c r="D7" i="52" s="1"/>
  <c r="D6" i="52"/>
  <c r="AZ282" i="3"/>
  <c r="C52" i="71"/>
  <c r="D51" i="71"/>
  <c r="AZ25" i="3"/>
  <c r="AZ150" i="3"/>
  <c r="AZ273" i="3"/>
  <c r="AZ461" i="3"/>
  <c r="AZ397" i="3"/>
  <c r="AB12" i="34"/>
  <c r="U12" i="34"/>
  <c r="AB24" i="36"/>
  <c r="U24" i="36"/>
  <c r="AC9" i="34"/>
  <c r="W9" i="34"/>
  <c r="J6" i="15"/>
  <c r="J18" i="15" s="1"/>
  <c r="C26" i="71"/>
  <c r="D26" i="71" s="1"/>
  <c r="D27" i="71"/>
  <c r="D34" i="71"/>
  <c r="C35" i="71"/>
  <c r="AZ41" i="3"/>
  <c r="AZ31" i="3"/>
  <c r="AZ20" i="3"/>
  <c r="AZ137" i="3"/>
  <c r="AZ297" i="3"/>
  <c r="AZ241" i="3"/>
  <c r="AZ197" i="3"/>
  <c r="AZ460" i="3"/>
  <c r="AZ398" i="3"/>
  <c r="AZ432" i="3"/>
  <c r="AZ233" i="3"/>
  <c r="AC24" i="36"/>
  <c r="W24" i="36"/>
  <c r="S34" i="36"/>
  <c r="AA34" i="36"/>
  <c r="AZ550" i="3"/>
  <c r="AA44" i="39"/>
  <c r="S44" i="39"/>
  <c r="D75" i="71"/>
  <c r="C74" i="71"/>
  <c r="D74" i="71" s="1"/>
  <c r="AZ58" i="3"/>
  <c r="AZ51" i="3"/>
  <c r="B19" i="71"/>
  <c r="B18" i="71" s="1"/>
  <c r="B17" i="71" s="1"/>
  <c r="B16" i="71" s="1"/>
  <c r="S20" i="71"/>
  <c r="AZ59" i="3"/>
  <c r="C56" i="71"/>
  <c r="D55" i="71"/>
  <c r="AZ190" i="3"/>
  <c r="AZ302" i="3"/>
  <c r="AZ284" i="3"/>
  <c r="AZ277" i="3"/>
  <c r="AZ256" i="3"/>
  <c r="AZ118" i="3"/>
  <c r="AZ298" i="3"/>
  <c r="AZ459" i="3"/>
  <c r="AZ421" i="3"/>
  <c r="AZ414" i="3"/>
  <c r="AZ368" i="3"/>
  <c r="AZ353" i="3"/>
  <c r="AZ408" i="3"/>
  <c r="AZ274" i="3"/>
  <c r="AZ210" i="3"/>
  <c r="S12" i="36"/>
  <c r="AA12" i="36"/>
  <c r="U12" i="36"/>
  <c r="AB12" i="36"/>
  <c r="G16" i="1"/>
  <c r="F10" i="39" s="1"/>
  <c r="S10" i="39" s="1"/>
  <c r="J7" i="37"/>
  <c r="AC7" i="37" s="1"/>
  <c r="K1" i="73"/>
  <c r="E184" i="3"/>
  <c r="E233" i="3"/>
  <c r="E391" i="3"/>
  <c r="AL6" i="3"/>
  <c r="AF6" i="3"/>
  <c r="E102" i="3"/>
  <c r="E512" i="3"/>
  <c r="E408" i="3"/>
  <c r="E356" i="3"/>
  <c r="E428" i="3"/>
  <c r="E329" i="3"/>
  <c r="E16" i="3"/>
  <c r="E376" i="3"/>
  <c r="AH6" i="3"/>
  <c r="E372" i="3"/>
  <c r="L6" i="3"/>
  <c r="E325" i="3"/>
  <c r="E392" i="3"/>
  <c r="E265" i="3"/>
  <c r="E365" i="3"/>
  <c r="E386" i="3"/>
  <c r="E24" i="3"/>
  <c r="E354" i="3"/>
  <c r="E48" i="3"/>
  <c r="E542" i="3"/>
  <c r="E374" i="3"/>
  <c r="E413" i="3"/>
  <c r="E187" i="3"/>
  <c r="E529" i="3"/>
  <c r="E474" i="3"/>
  <c r="E196" i="3"/>
  <c r="E207" i="3"/>
  <c r="E291" i="3"/>
  <c r="E317" i="3"/>
  <c r="S6" i="3"/>
  <c r="E523" i="3"/>
  <c r="E159" i="3"/>
  <c r="E303" i="3"/>
  <c r="E262" i="3"/>
  <c r="E120" i="3"/>
  <c r="E429" i="3"/>
  <c r="E55" i="3"/>
  <c r="E236" i="3"/>
  <c r="E252" i="3"/>
  <c r="E581" i="3"/>
  <c r="E444" i="3"/>
  <c r="E334" i="3"/>
  <c r="E30" i="3"/>
  <c r="E239" i="3"/>
  <c r="E516" i="3"/>
  <c r="E551" i="3"/>
  <c r="V6" i="3"/>
  <c r="E415" i="3"/>
  <c r="E395" i="3"/>
  <c r="E382" i="3"/>
  <c r="E578" i="3"/>
  <c r="E85" i="3"/>
  <c r="E314" i="3"/>
  <c r="E458" i="3"/>
  <c r="E527" i="3"/>
  <c r="E111" i="3"/>
  <c r="E150" i="3"/>
  <c r="E269" i="3"/>
  <c r="E271" i="3"/>
  <c r="E505" i="3"/>
  <c r="AS6" i="3"/>
  <c r="E331" i="3"/>
  <c r="E384" i="3"/>
  <c r="E508" i="3"/>
  <c r="E388" i="3"/>
  <c r="AR6" i="3"/>
  <c r="E561" i="3"/>
  <c r="E231" i="3"/>
  <c r="E261" i="3"/>
  <c r="E528" i="3"/>
  <c r="E180" i="3"/>
  <c r="E301" i="3"/>
  <c r="E350" i="3"/>
  <c r="E399" i="3"/>
  <c r="E568" i="3"/>
  <c r="E181" i="3"/>
  <c r="E277" i="3"/>
  <c r="E560" i="3"/>
  <c r="E472" i="3"/>
  <c r="E577" i="3"/>
  <c r="E106" i="3"/>
  <c r="E146" i="3"/>
  <c r="E315" i="3"/>
  <c r="E362" i="3"/>
  <c r="E368" i="3"/>
  <c r="E89" i="3"/>
  <c r="Z6" i="3"/>
  <c r="AO6" i="3"/>
  <c r="E400" i="3"/>
  <c r="E345" i="3"/>
  <c r="E557" i="3"/>
  <c r="E489" i="3"/>
  <c r="E28" i="3"/>
  <c r="E70"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AA7"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D26" i="43"/>
  <c r="C25" i="43" s="1"/>
  <c r="C7" i="43"/>
  <c r="C5" i="43" s="1"/>
  <c r="D10" i="52"/>
  <c r="D125" i="9"/>
  <c r="D11" i="52" s="1"/>
  <c r="B7" i="74"/>
  <c r="C7" i="74" s="1"/>
  <c r="F67" i="39"/>
  <c r="F59" i="67"/>
  <c r="H7" i="37"/>
  <c r="AB7" i="37" s="1"/>
  <c r="T42" i="37" s="1"/>
  <c r="G42" i="37" s="1"/>
  <c r="H7" i="33"/>
  <c r="J7" i="33"/>
  <c r="D65" i="40"/>
  <c r="E63" i="40"/>
  <c r="F48" i="35"/>
  <c r="W7" i="37"/>
  <c r="AB7" i="36"/>
  <c r="T36" i="36" s="1"/>
  <c r="G36" i="36" s="1"/>
  <c r="F7" i="33"/>
  <c r="E58" i="21"/>
  <c r="AC7" i="36"/>
  <c r="V36" i="36" s="1"/>
  <c r="I36" i="36" s="1"/>
  <c r="W7" i="36"/>
  <c r="F7" i="37"/>
  <c r="M17" i="67"/>
  <c r="M17" i="15"/>
  <c r="F59" i="15"/>
  <c r="P28" i="43"/>
  <c r="B66" i="40" s="1"/>
  <c r="P25" i="43"/>
  <c r="C49" i="67"/>
  <c r="P29" i="43"/>
  <c r="P27" i="43"/>
  <c r="B70" i="39" s="1"/>
  <c r="C32" i="67"/>
  <c r="Q60" i="67"/>
  <c r="Q73" i="67"/>
  <c r="M11" i="67"/>
  <c r="J10" i="67" s="1"/>
  <c r="J5" i="67" s="1"/>
  <c r="F11" i="15"/>
  <c r="M11" i="15"/>
  <c r="J10" i="15" s="1"/>
  <c r="F11" i="67"/>
  <c r="F1" i="15"/>
  <c r="Q52" i="15"/>
  <c r="J18" i="67"/>
  <c r="F1" i="67"/>
  <c r="Q52" i="67"/>
  <c r="Q61" i="67"/>
  <c r="Q74" i="67"/>
  <c r="AE11" i="1"/>
  <c r="AE9" i="1"/>
  <c r="F27" i="68"/>
  <c r="AE7" i="1"/>
  <c r="AE8" i="1"/>
  <c r="AE12" i="1"/>
  <c r="AE10" i="1"/>
  <c r="AE6" i="1"/>
  <c r="G1" i="73"/>
  <c r="F41" i="67"/>
  <c r="C16" i="15"/>
  <c r="J10" i="39" l="1"/>
  <c r="W10" i="39" s="1"/>
  <c r="Q60" i="15"/>
  <c r="E539" i="3"/>
  <c r="E536" i="3"/>
  <c r="E554" i="3"/>
  <c r="E389" i="3"/>
  <c r="E310"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E575" i="3"/>
  <c r="E417" i="3"/>
  <c r="E409" i="3"/>
  <c r="E67"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E442" i="3"/>
  <c r="E64" i="3"/>
  <c r="E68" i="3"/>
  <c r="E494" i="3"/>
  <c r="E482" i="3"/>
  <c r="E86" i="3"/>
  <c r="E308" i="3"/>
  <c r="T6" i="3"/>
  <c r="E556" i="3"/>
  <c r="E41" i="3"/>
  <c r="E190" i="3"/>
  <c r="E80" i="3"/>
  <c r="E116" i="3"/>
  <c r="E507" i="3"/>
  <c r="E419" i="3"/>
  <c r="E226" i="3"/>
  <c r="E540" i="3"/>
  <c r="E194" i="3"/>
  <c r="E36" i="3"/>
  <c r="E20" i="3"/>
  <c r="E165" i="3"/>
  <c r="E348" i="3"/>
  <c r="E222" i="3"/>
  <c r="E110" i="3"/>
  <c r="E323" i="3"/>
  <c r="E266" i="3"/>
  <c r="E462" i="3"/>
  <c r="E195" i="3"/>
  <c r="E307" i="3"/>
  <c r="E157" i="3"/>
  <c r="W6" i="3"/>
  <c r="E357" i="3"/>
  <c r="U6" i="3"/>
  <c r="E71" i="3"/>
  <c r="E53" i="3"/>
  <c r="E359" i="3"/>
  <c r="E338" i="3"/>
  <c r="E17" i="3"/>
  <c r="AN6" i="3"/>
  <c r="E238" i="3"/>
  <c r="E177" i="3"/>
  <c r="E344" i="3"/>
  <c r="E73" i="3"/>
  <c r="E580"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449" i="3"/>
  <c r="E267" i="3"/>
  <c r="E63" i="3"/>
  <c r="E198" i="3"/>
  <c r="E18" i="3"/>
  <c r="E34" i="3"/>
  <c r="E22" i="3"/>
  <c r="E405" i="3"/>
  <c r="E497" i="3"/>
  <c r="E115" i="3"/>
  <c r="E220" i="3"/>
  <c r="E158" i="3"/>
  <c r="E105" i="3"/>
  <c r="E422" i="3"/>
  <c r="E401" i="3"/>
  <c r="E276" i="3"/>
  <c r="E473" i="3"/>
  <c r="E234" i="3"/>
  <c r="E112" i="3"/>
  <c r="E62" i="3"/>
  <c r="E141" i="3"/>
  <c r="E58" i="3"/>
  <c r="E244" i="3"/>
  <c r="E446" i="3"/>
  <c r="E149" i="3"/>
  <c r="E584" i="3"/>
  <c r="E163" i="3"/>
  <c r="E87" i="3"/>
  <c r="E127" i="3"/>
  <c r="E224" i="3"/>
  <c r="E537" i="3"/>
  <c r="E14" i="3"/>
  <c r="E411" i="3"/>
  <c r="E92" i="3"/>
  <c r="E319" i="3"/>
  <c r="E285" i="3"/>
  <c r="E321" i="3"/>
  <c r="E302" i="3"/>
  <c r="E353" i="3"/>
  <c r="E434" i="3"/>
  <c r="Q6" i="3"/>
  <c r="AE6" i="3"/>
  <c r="E203" i="3"/>
  <c r="I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143" i="3"/>
  <c r="E530" i="3"/>
  <c r="E162" i="3"/>
  <c r="E478" i="3"/>
  <c r="E31" i="3"/>
  <c r="E450" i="3"/>
  <c r="E193" i="3"/>
  <c r="E583" i="3"/>
  <c r="E290" i="3"/>
  <c r="E230" i="3"/>
  <c r="E151" i="3"/>
  <c r="E553" i="3"/>
  <c r="E166" i="3"/>
  <c r="P6" i="3"/>
  <c r="E394" i="3"/>
  <c r="E481" i="3"/>
  <c r="E156" i="3"/>
  <c r="E304" i="3"/>
  <c r="E328" i="3"/>
  <c r="E547" i="3"/>
  <c r="E168" i="3"/>
  <c r="E136" i="3"/>
  <c r="AD6" i="3"/>
  <c r="E297" i="3"/>
  <c r="E500" i="3"/>
  <c r="E460" i="3"/>
  <c r="E340" i="3"/>
  <c r="E38" i="3"/>
  <c r="E108" i="3"/>
  <c r="E543" i="3"/>
  <c r="E49" i="3"/>
  <c r="E420" i="3"/>
  <c r="E173" i="3"/>
  <c r="E235" i="3"/>
  <c r="E309" i="3"/>
  <c r="E241" i="3"/>
  <c r="E3" i="6"/>
  <c r="E6" i="6" s="1"/>
  <c r="E587" i="3"/>
  <c r="E228" i="3"/>
  <c r="E124" i="3"/>
  <c r="E503" i="3"/>
  <c r="E380" i="3"/>
  <c r="E337" i="3"/>
  <c r="E175" i="3"/>
  <c r="E27" i="3"/>
  <c r="E515" i="3"/>
  <c r="E318" i="3"/>
  <c r="E571" i="3"/>
  <c r="E45" i="3"/>
  <c r="E336" i="3"/>
  <c r="E117" i="3"/>
  <c r="E294" i="3"/>
  <c r="E229" i="3"/>
  <c r="E366" i="3"/>
  <c r="E121" i="3"/>
  <c r="E448" i="3"/>
  <c r="E274" i="3"/>
  <c r="E437" i="3"/>
  <c r="E280" i="3"/>
  <c r="E237" i="3"/>
  <c r="E426" i="3"/>
  <c r="E367" i="3"/>
  <c r="E54" i="3"/>
  <c r="E461" i="3"/>
  <c r="E179" i="3"/>
  <c r="E436" i="3"/>
  <c r="E416" i="3"/>
  <c r="E566" i="3"/>
  <c r="E289" i="3"/>
  <c r="E79" i="3"/>
  <c r="E25" i="3"/>
  <c r="E564" i="3"/>
  <c r="E35" i="3"/>
  <c r="E470" i="3"/>
  <c r="E197" i="3"/>
  <c r="E174" i="3"/>
  <c r="E283" i="3"/>
  <c r="E95" i="3"/>
  <c r="J5" i="15"/>
  <c r="J24" i="15" s="1"/>
  <c r="S7" i="36"/>
  <c r="AA10" i="39"/>
  <c r="F10" i="40"/>
  <c r="S10" i="40" s="1"/>
  <c r="H10" i="39"/>
  <c r="U10" i="39" s="1"/>
  <c r="H10" i="40"/>
  <c r="AB10" i="40" s="1"/>
  <c r="J10" i="40"/>
  <c r="AC10" i="40" s="1"/>
  <c r="Q61" i="15"/>
  <c r="R36" i="36"/>
  <c r="R37" i="36" s="1"/>
  <c r="E144" i="3"/>
  <c r="E23" i="3"/>
  <c r="E300" i="3"/>
  <c r="E103" i="3"/>
  <c r="E425" i="3"/>
  <c r="E76" i="3"/>
  <c r="E363" i="3"/>
  <c r="E192" i="3"/>
  <c r="E56" i="3"/>
  <c r="E435" i="3"/>
  <c r="I3" i="6"/>
  <c r="E541" i="3"/>
  <c r="R6" i="3"/>
  <c r="E199" i="3"/>
  <c r="E510" i="3"/>
  <c r="D56" i="71"/>
  <c r="T56" i="71"/>
  <c r="D22" i="71"/>
  <c r="C21" i="71"/>
  <c r="O65" i="71"/>
  <c r="D66" i="71"/>
  <c r="O66" i="71"/>
  <c r="E33" i="3"/>
  <c r="E492" i="3"/>
  <c r="E249" i="3"/>
  <c r="E46" i="3"/>
  <c r="E484" i="3"/>
  <c r="E544" i="3"/>
  <c r="E292" i="3"/>
  <c r="E152" i="3"/>
  <c r="E479" i="3"/>
  <c r="E517" i="3"/>
  <c r="E255" i="3"/>
  <c r="E466" i="3"/>
  <c r="E499" i="3"/>
  <c r="E212" i="3"/>
  <c r="C36" i="71"/>
  <c r="D35" i="71"/>
  <c r="E84" i="3"/>
  <c r="E371" i="3"/>
  <c r="E160" i="3"/>
  <c r="E467" i="3"/>
  <c r="E59" i="3"/>
  <c r="E349" i="3"/>
  <c r="E258" i="3"/>
  <c r="E37" i="3"/>
  <c r="E491" i="3"/>
  <c r="AP6" i="3"/>
  <c r="E430" i="3"/>
  <c r="E502" i="3"/>
  <c r="E286" i="3"/>
  <c r="T52" i="71"/>
  <c r="D52"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M18" i="9"/>
  <c r="B118" i="9" s="1"/>
  <c r="B1" i="74" s="1"/>
  <c r="C17" i="4"/>
  <c r="B4" i="52" s="1"/>
  <c r="B43" i="72" s="1"/>
  <c r="C39" i="43"/>
  <c r="C42" i="43"/>
  <c r="E42" i="43" s="1"/>
  <c r="C38" i="43"/>
  <c r="AB10" i="39"/>
  <c r="AA10" i="40"/>
  <c r="U10" i="40"/>
  <c r="AC10" i="39"/>
  <c r="U7" i="37"/>
  <c r="G67" i="39"/>
  <c r="F69" i="39"/>
  <c r="I53" i="34"/>
  <c r="J53" i="34" s="1"/>
  <c r="F58" i="21"/>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M27" i="15"/>
  <c r="M27" i="67"/>
  <c r="L18" i="9" l="1"/>
  <c r="D3" i="37"/>
  <c r="D19" i="11"/>
  <c r="C19" i="11" s="1"/>
  <c r="D37" i="11"/>
  <c r="AC6" i="3"/>
  <c r="H6" i="3"/>
  <c r="E6" i="3" s="1"/>
  <c r="D14" i="12"/>
  <c r="D17" i="12" s="1"/>
  <c r="C17" i="12" s="1"/>
  <c r="W10" i="40"/>
  <c r="D3" i="33"/>
  <c r="D3" i="34"/>
  <c r="D116" i="43"/>
  <c r="E36" i="36"/>
  <c r="F25" i="12"/>
  <c r="D21" i="71"/>
  <c r="C20" i="71"/>
  <c r="T36" i="71"/>
  <c r="D36" i="71"/>
  <c r="F22" i="68"/>
  <c r="F41" i="68" s="1"/>
  <c r="F22" i="11"/>
  <c r="C23" i="11" s="1"/>
  <c r="F24" i="67"/>
  <c r="C24" i="67" s="1"/>
  <c r="F24" i="15"/>
  <c r="C24" i="15" s="1"/>
  <c r="F22" i="69"/>
  <c r="F41" i="69" s="1"/>
  <c r="E49" i="34"/>
  <c r="I54" i="34" s="1"/>
  <c r="J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C18" i="12" s="1"/>
  <c r="D25" i="6"/>
  <c r="D15" i="6"/>
  <c r="D22" i="6"/>
  <c r="D21" i="6"/>
  <c r="D24" i="6"/>
  <c r="D20" i="6"/>
  <c r="M19" i="9"/>
  <c r="C118" i="9" s="1"/>
  <c r="B2" i="74" s="1"/>
  <c r="D26" i="6"/>
  <c r="D8" i="6"/>
  <c r="D14" i="6"/>
  <c r="D6" i="6"/>
  <c r="D9" i="6"/>
  <c r="D10" i="6"/>
  <c r="L19" i="9"/>
  <c r="D29" i="6"/>
  <c r="H22"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26" i="12"/>
  <c r="D25" i="12" s="1"/>
  <c r="C66" i="67"/>
  <c r="C60" i="67"/>
  <c r="D10" i="69"/>
  <c r="C34" i="69"/>
  <c r="D10" i="68"/>
  <c r="C14" i="67"/>
  <c r="C17" i="67"/>
  <c r="C17" i="15"/>
  <c r="C23" i="68" l="1"/>
  <c r="H21" i="6"/>
  <c r="D30" i="6"/>
  <c r="C44" i="68"/>
  <c r="D41" i="68" s="1"/>
  <c r="C26" i="68"/>
  <c r="D22" i="68" s="1"/>
  <c r="E53" i="34"/>
  <c r="F53" i="34" s="1"/>
  <c r="E54" i="34"/>
  <c r="F54" i="34" s="1"/>
  <c r="C44" i="11"/>
  <c r="D41" i="11" s="1"/>
  <c r="C26" i="11"/>
  <c r="D22" i="11" s="1"/>
  <c r="T20" i="71"/>
  <c r="D20" i="71"/>
  <c r="U20" i="71" s="1"/>
  <c r="C19" i="71"/>
  <c r="H25" i="6"/>
  <c r="C25" i="11"/>
  <c r="C24" i="11"/>
  <c r="C44" i="69"/>
  <c r="D41" i="69" s="1"/>
  <c r="C26" i="69"/>
  <c r="D22" i="69" s="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18" i="71" l="1"/>
  <c r="D19"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D18" i="71" l="1"/>
  <c r="C17"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16" i="71" l="1"/>
  <c r="D17"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M21" i="15"/>
  <c r="M21" i="67"/>
  <c r="F35" i="15"/>
  <c r="T16" i="71" l="1"/>
  <c r="D16" i="71"/>
  <c r="U16" i="71" s="1"/>
  <c r="C15" i="71"/>
  <c r="E48" i="2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4" i="71" l="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C19" i="9"/>
  <c r="D2" i="37"/>
  <c r="D2" i="35"/>
  <c r="L51" i="15"/>
  <c r="D2" i="34"/>
  <c r="D2" i="36"/>
  <c r="D102" i="9" l="1"/>
  <c r="D21" i="9"/>
  <c r="C102" i="9"/>
  <c r="G19" i="9"/>
  <c r="G21" i="9" s="1"/>
  <c r="D22" i="9"/>
  <c r="C21" i="9"/>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
  <c r="C20" i="9"/>
  <c r="AO11" i="1"/>
  <c r="AO6" i="1"/>
  <c r="AO9" i="1"/>
  <c r="AO7" i="1"/>
  <c r="AO10" i="1"/>
  <c r="AO12" i="1"/>
  <c r="AO8" i="1"/>
  <c r="D103" i="9" l="1"/>
  <c r="G20" i="9"/>
  <c r="C32" i="9" s="1"/>
  <c r="C103"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C6" i="71" l="1"/>
  <c r="D7" i="71"/>
  <c r="E14" i="74"/>
  <c r="F14" i="74"/>
  <c r="B5" i="74"/>
  <c r="D5" i="74" s="1"/>
  <c r="D6" i="71" l="1"/>
  <c r="C5" i="71"/>
  <c r="D5" i="71" s="1"/>
  <c r="M24" i="43" s="1"/>
  <c r="B6" i="74"/>
  <c r="D6" i="74" s="1"/>
  <c r="P57" i="9"/>
  <c r="N58" i="9"/>
  <c r="E97" i="9"/>
  <c r="C104" i="9"/>
  <c r="H4" i="52"/>
  <c r="M48" i="9"/>
  <c r="C73" i="9"/>
  <c r="D8" i="52"/>
  <c r="C105" i="9"/>
  <c r="I4" i="52"/>
  <c r="C81" i="9"/>
  <c r="B48" i="72"/>
  <c r="D52" i="9"/>
  <c r="C78" i="9"/>
  <c r="D53" i="9"/>
  <c r="B47" i="72"/>
  <c r="B30" i="72"/>
  <c r="D59" i="9"/>
  <c r="M55" i="9"/>
  <c r="C93" i="9"/>
  <c r="C86" i="9"/>
  <c r="N61" i="9"/>
  <c r="N59" i="9"/>
  <c r="N60" i="9"/>
  <c r="D5" i="52"/>
  <c r="B49" i="72"/>
  <c r="B22" i="72"/>
  <c r="D119" i="9"/>
  <c r="D4" i="52"/>
  <c r="C6" i="74"/>
  <c r="C5" i="74"/>
  <c r="D122" i="9"/>
  <c r="D123" i="9"/>
  <c r="D9" i="52"/>
  <c r="C97" i="9"/>
  <c r="D58" i="9"/>
  <c r="D56" i="9"/>
  <c r="M54" i="9"/>
  <c r="H102" i="9"/>
  <c r="D7" i="53"/>
  <c r="B21" i="72"/>
  <c r="C80" i="9"/>
  <c r="E80" i="9"/>
  <c r="E81" i="9"/>
  <c r="D6" i="53"/>
  <c r="D5" i="53"/>
  <c r="B20" i="72"/>
  <c r="D13" i="53"/>
  <c r="D14" i="53"/>
  <c r="B32" i="72"/>
  <c r="D118" i="9"/>
  <c r="E118" i="9"/>
  <c r="E4" i="52"/>
  <c r="H119" i="9"/>
  <c r="H5" i="52"/>
  <c r="C85" i="9"/>
  <c r="C95" i="9"/>
  <c r="C96" i="9"/>
  <c r="E96" i="9"/>
  <c r="B53" i="72"/>
  <c r="C64" i="9"/>
  <c r="C63" i="9"/>
  <c r="C67" i="9"/>
  <c r="C68" i="9"/>
  <c r="D54" i="9"/>
  <c r="C72" i="9"/>
  <c r="C79" i="9"/>
  <c r="F4" i="52"/>
  <c r="B51" i="72"/>
  <c r="G4" i="52"/>
  <c r="B52" i="72"/>
  <c r="G118" i="9"/>
  <c r="F118" i="9"/>
  <c r="F119" i="9"/>
  <c r="F5" i="52"/>
  <c r="H107" i="9"/>
  <c r="H108" i="9"/>
  <c r="D15" i="53"/>
  <c r="B31" i="72"/>
  <c r="I118" i="9"/>
  <c r="H118" i="9"/>
  <c r="H101" i="9"/>
  <c r="D45" i="9"/>
  <c r="D55" i="9"/>
  <c r="M53" i="9"/>
  <c r="N57"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<sst xmlns="http://schemas.openxmlformats.org/spreadsheetml/2006/main" count="7868" uniqueCount="3429">
  <si>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</si>
  <si>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</si>
  <si>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</si>
  <si>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</si>
  <si>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</si>
  <si>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</si>
  <si>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</si>
  <si>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</si>
  <si>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</si>
  <si>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</si>
  <si>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</si>
  <si>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</si>
  <si>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</si>
  <si>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</si>
  <si>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</si>
  <si>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</si>
  <si>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</si>
  <si>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</si>
  <si>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</si>
  <si>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</si>
  <si>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</si>
  <si>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</si>
  <si>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</si>
  <si>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</si>
  <si>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</si>
  <si>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</si>
  <si>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</si>
  <si>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</si>
  <si>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</si>
  <si>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</si>
  <si>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</si>
  <si>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</si>
  <si>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</si>
  <si>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</si>
  <si>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</si>
  <si>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</si>
  <si>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</si>
  <si>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</si>
  <si>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</si>
  <si>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</si>
  <si>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</si>
  <si>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</si>
  <si>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</si>
  <si>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</si>
  <si>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</si>
  <si>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</si>
  <si>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</si>
  <si>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</si>
  <si>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</si>
  <si>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</si>
  <si>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</si>
  <si>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</si>
  <si>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</si>
  <si>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</si>
  <si>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</si>
  <si>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</si>
  <si>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</si>
  <si>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</si>
  <si>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</si>
  <si>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</si>
  <si>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</si>
  <si>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</si>
  <si>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</si>
  <si>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</si>
  <si>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</si>
  <si>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</si>
  <si>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</si>
  <si>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</si>
  <si>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</si>
  <si>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</si>
  <si>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</si>
  <si>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</si>
  <si>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</si>
  <si>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</si>
  <si>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</si>
  <si>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</si>
  <si>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</si>
  <si>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</si>
  <si>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</si>
  <si>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</si>
  <si>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</si>
  <si>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</si>
  <si>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</si>
  <si>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</si>
  <si>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</si>
  <si>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</si>
  <si>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</si>
  <si>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</si>
  <si>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</si>
  <si>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</si>
  <si>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</si>
  <si>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</si>
  <si>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</si>
  <si>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</si>
  <si>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</si>
  <si>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</si>
  <si>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</si>
  <si>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</si>
  <si>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</si>
  <si>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</si>
  <si>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</si>
  <si>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</si>
  <si>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</si>
  <si>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</si>
  <si>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</si>
  <si>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</si>
  <si>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</si>
  <si>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</si>
  <si>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</si>
  <si>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</si>
  <si>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</si>
  <si>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</si>
  <si>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</si>
  <si>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</si>
  <si>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</si>
  <si>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</si>
  <si>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</si>
  <si>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</si>
  <si>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</si>
  <si>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</si>
  <si>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</si>
  <si>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</si>
  <si>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</si>
  <si>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</si>
  <si>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</si>
  <si>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</si>
  <si>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</si>
  <si>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</si>
  <si>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</si>
  <si>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</si>
  <si>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</si>
  <si>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</si>
  <si>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</si>
  <si>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</si>
  <si>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</si>
  <si>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</si>
  <si>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</si>
  <si>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</si>
  <si>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</si>
  <si>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</si>
  <si>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</si>
  <si>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</si>
  <si>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</si>
  <si>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</si>
  <si>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</si>
  <si>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</si>
  <si>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</si>
  <si>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</si>
  <si>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</si>
  <si>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</si>
  <si>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</si>
  <si>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</si>
  <si>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</si>
  <si>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</si>
  <si>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</si>
  <si>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</si>
  <si>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</si>
  <si>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</si>
  <si>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</si>
  <si>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</si>
  <si>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</si>
  <si>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</si>
  <si>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</si>
  <si>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</si>
  <si>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</si>
  <si>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</si>
  <si>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</si>
  <si>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</si>
  <si>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</si>
  <si>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</si>
  <si>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</si>
  <si>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</si>
  <si>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</si>
  <si>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</si>
  <si>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</si>
  <si>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</si>
  <si>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</si>
  <si>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</si>
  <si>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</si>
  <si>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</si>
  <si>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</si>
  <si>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</si>
  <si>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</si>
  <si>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</si>
  <si>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</si>
  <si>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</si>
  <si>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</si>
  <si>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</si>
  <si>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</si>
  <si>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</si>
  <si>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</si>
  <si>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</si>
  <si>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</si>
  <si>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</si>
  <si>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</si>
  <si>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</si>
  <si>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</si>
  <si>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</si>
  <si>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</si>
  <si>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</si>
  <si>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</si>
  <si>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</si>
  <si>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</si>
  <si>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</si>
  <si>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</si>
  <si>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</si>
  <si>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</si>
  <si>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</si>
  <si>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</si>
  <si>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</si>
  <si>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</si>
  <si>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</si>
  <si>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</si>
  <si>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</si>
  <si>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</si>
  <si>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</si>
  <si>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</si>
  <si>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</si>
  <si>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</si>
  <si>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</si>
  <si>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</si>
  <si>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</si>
  <si>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</si>
  <si>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</si>
  <si>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</si>
  <si>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</si>
  <si>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</si>
  <si>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</si>
  <si>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</si>
  <si>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</si>
  <si>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</si>
  <si>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</si>
  <si>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</si>
  <si>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</si>
  <si>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</si>
  <si>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</si>
  <si>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</si>
  <si>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</si>
  <si>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</si>
  <si>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</si>
  <si>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</si>
  <si>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</si>
  <si>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</si>
  <si>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</si>
  <si>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</si>
  <si>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</si>
  <si>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</si>
  <si>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</si>
  <si>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</si>
  <si>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</si>
  <si>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</si>
  <si>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</si>
  <si>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</si>
  <si>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</si>
  <si>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</si>
  <si>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</si>
  <si>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</si>
  <si>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</si>
  <si>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</si>
  <si>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</si>
  <si>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</si>
  <si>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</si>
  <si>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</si>
  <si>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</si>
  <si>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</si>
  <si>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</si>
  <si>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</si>
  <si>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</si>
  <si>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</si>
  <si>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</si>
  <si>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</si>
  <si>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</si>
  <si>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</si>
  <si>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</si>
  <si>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</si>
  <si>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</si>
  <si>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</si>
  <si>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</si>
  <si>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</si>
  <si>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</si>
  <si>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</si>
  <si>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</si>
  <si>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</si>
  <si>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</si>
  <si>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</si>
  <si>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</si>
  <si>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</si>
  <si>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</si>
  <si>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</si>
  <si>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</si>
  <si>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</si>
  <si>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</si>
  <si>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</si>
  <si>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</si>
  <si>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</si>
  <si>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</si>
  <si>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</si>
  <si>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</si>
  <si>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</si>
  <si>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</si>
  <si>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</si>
  <si>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</si>
  <si>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</si>
  <si>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</si>
  <si>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</si>
  <si>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</si>
  <si>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</si>
  <si>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</si>
  <si>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</si>
  <si>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</si>
  <si>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</si>
  <si>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</si>
  <si>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</si>
  <si>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</si>
  <si>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</si>
  <si>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</si>
  <si>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</si>
  <si>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</si>
  <si>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</si>
  <si>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</si>
  <si>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</si>
  <si>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</si>
  <si>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</si>
  <si>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</si>
  <si>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</si>
  <si>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</si>
  <si>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</si>
  <si>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</si>
  <si>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</si>
  <si>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</si>
  <si>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</si>
  <si>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</si>
  <si>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</si>
  <si>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</si>
  <si>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</si>
  <si>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</si>
  <si>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</si>
  <si>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</si>
  <si>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</si>
  <si>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</si>
  <si>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</si>
  <si>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</si>
  <si>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</si>
  <si>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</si>
  <si>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</si>
  <si>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</si>
  <si>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</si>
  <si>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</si>
  <si>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</si>
  <si>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</si>
  <si>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</si>
  <si>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</si>
  <si>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</si>
  <si>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</si>
  <si>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</si>
  <si>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</si>
  <si>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</si>
  <si>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</si>
  <si>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</si>
  <si>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</si>
  <si>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</si>
  <si>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</si>
  <si>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</si>
  <si>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</si>
  <si>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</si>
  <si>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</si>
  <si>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</si>
  <si>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</si>
  <si>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</si>
  <si>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</si>
  <si>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</si>
  <si>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</si>
  <si>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</si>
  <si>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</si>
  <si>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</si>
  <si>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</si>
  <si>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</si>
  <si>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</si>
  <si>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</si>
  <si>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</si>
  <si>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</si>
  <si>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</si>
  <si>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</si>
  <si>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</si>
  <si>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</si>
  <si>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</si>
  <si>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</si>
  <si>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</si>
  <si>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</si>
  <si>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</si>
  <si>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</si>
  <si>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</si>
  <si>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</si>
  <si>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</si>
  <si>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</si>
  <si>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</si>
  <si>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</si>
  <si>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</si>
  <si>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</si>
  <si>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</si>
  <si>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</si>
  <si>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</si>
  <si>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</si>
  <si>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</si>
  <si>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</si>
  <si>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</si>
  <si>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</si>
  <si>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</si>
  <si>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</si>
  <si>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</si>
  <si>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</si>
  <si>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</si>
  <si>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</si>
  <si>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</si>
  <si>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</si>
  <si>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</si>
  <si>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</si>
  <si>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</si>
  <si>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</si>
  <si>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</si>
  <si>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</si>
  <si>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</si>
  <si>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</si>
  <si>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</si>
  <si>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</si>
  <si>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</si>
  <si>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</si>
  <si>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</si>
  <si>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</si>
  <si>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</si>
  <si>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</si>
  <si>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</si>
  <si>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</si>
  <si>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</si>
  <si>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</si>
  <si>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</si>
  <si>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</si>
  <si>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</si>
  <si>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</si>
  <si>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</si>
  <si>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</si>
  <si>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</si>
  <si>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</si>
  <si>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</si>
  <si>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</si>
  <si>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</si>
  <si>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</si>
  <si>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</si>
  <si>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</si>
  <si>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</si>
  <si>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</si>
  <si>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</si>
  <si>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</si>
  <si>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</si>
  <si>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</si>
  <si>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</si>
  <si>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</si>
  <si>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</si>
  <si>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</si>
  <si>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</si>
  <si>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</si>
  <si>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</si>
  <si>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</si>
  <si>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</si>
  <si>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</si>
  <si>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</si>
  <si>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</si>
  <si>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</si>
  <si>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</si>
  <si>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</si>
  <si>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</si>
  <si>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</si>
  <si>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</si>
  <si>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</si>
  <si>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</si>
  <si>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</si>
  <si>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</si>
  <si>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</si>
  <si>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</si>
  <si>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</si>
  <si>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</si>
  <si>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</si>
  <si>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</si>
  <si>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</si>
  <si>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</si>
  <si>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</si>
  <si>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</si>
  <si>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</si>
  <si>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</si>
  <si>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</si>
  <si>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</si>
  <si>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</si>
  <si>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</si>
  <si>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</si>
  <si>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</si>
  <si>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</si>
  <si>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</si>
  <si>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</si>
  <si>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</si>
  <si>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</si>
  <si>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</si>
  <si>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</si>
  <si>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</si>
  <si>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</si>
  <si>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</si>
  <si>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</si>
  <si>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</si>
  <si>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</si>
  <si>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</si>
  <si>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</si>
  <si>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</si>
  <si>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</si>
  <si>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</si>
  <si>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</si>
  <si>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</si>
  <si>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</si>
  <si>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</si>
  <si>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</si>
  <si>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</si>
  <si>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</si>
  <si>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</si>
  <si>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</si>
  <si>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</si>
  <si>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</si>
  <si>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</si>
  <si>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</si>
  <si>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</si>
  <si>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</si>
  <si>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</si>
  <si>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</si>
  <si>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</si>
  <si>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</si>
  <si>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</si>
  <si>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</si>
  <si>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</si>
  <si>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</si>
  <si>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</si>
  <si>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</si>
  <si>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</si>
  <si>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</si>
  <si>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</si>
  <si>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</si>
  <si>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</si>
  <si>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</si>
  <si>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</si>
  <si>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</si>
  <si>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</si>
  <si>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</si>
  <si>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</si>
  <si>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</si>
  <si>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</si>
  <si>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</si>
  <si>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</si>
  <si>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</si>
  <si>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</si>
  <si>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</si>
  <si>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</si>
  <si>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</si>
  <si>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</si>
  <si>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</si>
  <si>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</si>
  <si>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</si>
  <si>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</si>
  <si>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</si>
  <si>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</si>
  <si>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</si>
  <si>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</si>
  <si>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</si>
  <si>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</si>
  <si>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</si>
  <si>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</si>
  <si>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</si>
  <si>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</si>
  <si>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</si>
  <si>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</si>
  <si>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</si>
  <si>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</si>
  <si>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</si>
  <si>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</si>
  <si>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</si>
  <si>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</si>
  <si>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</si>
  <si>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</si>
  <si>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</si>
  <si>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</si>
  <si>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</si>
  <si>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</si>
  <si>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</si>
  <si>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</si>
  <si>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</si>
  <si>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</si>
  <si>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</si>
  <si>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</si>
  <si>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</si>
  <si>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</si>
  <si>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</si>
  <si>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</si>
  <si>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</si>
  <si>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</si>
  <si>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</si>
  <si>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</si>
  <si>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</si>
  <si>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</si>
  <si>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</si>
  <si>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</si>
  <si>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</si>
  <si>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</si>
  <si>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</si>
  <si>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</si>
  <si>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</si>
  <si>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</si>
  <si>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</si>
  <si>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</si>
  <si>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</si>
  <si>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</si>
  <si>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</si>
  <si>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</si>
  <si>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</si>
  <si>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</si>
  <si>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</si>
  <si>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</si>
  <si>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</si>
  <si>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</si>
  <si>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</si>
  <si>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</si>
  <si>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</si>
  <si>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</si>
  <si>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</si>
  <si>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</si>
  <si>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</si>
  <si>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</si>
  <si>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</si>
  <si>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</si>
  <si>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</si>
  <si>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</si>
  <si>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</si>
  <si>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</si>
  <si>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</si>
  <si>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</si>
  <si>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</si>
  <si>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</si>
  <si>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</si>
  <si>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</si>
  <si>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</si>
  <si>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</si>
  <si>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</si>
  <si>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</si>
  <si>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</si>
  <si>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</si>
  <si>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</si>
  <si>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</si>
  <si>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</si>
  <si>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</si>
  <si>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</si>
  <si>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</si>
  <si>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</si>
  <si>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</si>
  <si>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</si>
  <si>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</si>
  <si>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</si>
  <si>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</si>
  <si>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</si>
  <si>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</si>
  <si>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</si>
  <si>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</si>
  <si>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</si>
  <si>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</si>
  <si>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</si>
  <si>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</si>
  <si>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</si>
  <si>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</si>
  <si>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</si>
  <si>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</si>
  <si>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</si>
  <si>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</si>
  <si>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</si>
  <si>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</si>
  <si>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</si>
  <si>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</si>
  <si>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</si>
  <si>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</si>
  <si>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</si>
  <si>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</si>
  <si>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</si>
  <si>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</si>
  <si>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</si>
  <si>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</si>
  <si>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</si>
  <si>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</si>
  <si>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</si>
  <si>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</si>
  <si>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</si>
  <si>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</si>
  <si>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</si>
  <si>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</si>
  <si>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</si>
  <si>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</si>
  <si>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</si>
  <si>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</si>
  <si>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</si>
  <si>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</si>
  <si>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</si>
  <si>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</si>
  <si>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</si>
  <si>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</si>
  <si>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</si>
  <si>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</si>
  <si>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</si>
  <si>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</si>
  <si>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</si>
  <si>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</si>
  <si>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</si>
  <si>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</si>
  <si>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</si>
  <si>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</si>
  <si>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</si>
  <si>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</si>
  <si>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</si>
  <si>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</si>
  <si>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</si>
  <si>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</si>
  <si>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</si>
  <si>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</si>
  <si>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</si>
  <si>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</si>
  <si>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</si>
  <si>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</si>
  <si>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</si>
  <si>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</si>
  <si>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</si>
  <si>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</si>
  <si>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</si>
  <si>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</si>
  <si>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</si>
  <si>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</si>
  <si>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</si>
  <si>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</si>
  <si>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</si>
  <si>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</si>
  <si>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</si>
  <si>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</si>
  <si>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</si>
  <si>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</si>
  <si>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</si>
  <si>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</si>
  <si>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</si>
  <si>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</si>
  <si>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</si>
  <si>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</si>
  <si>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</si>
  <si>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</si>
  <si>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</si>
  <si>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</si>
  <si>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</si>
  <si>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</si>
  <si>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</si>
  <si>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</si>
  <si>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</si>
  <si>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</si>
  <si>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</si>
  <si>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</si>
  <si>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</si>
  <si>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</si>
  <si>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</si>
  <si>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</si>
  <si>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</si>
  <si>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</si>
  <si>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</si>
  <si>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</si>
  <si>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</si>
  <si>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</si>
  <si>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</si>
  <si>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</si>
  <si>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</si>
  <si>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</si>
  <si>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</si>
  <si>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</si>
  <si>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</si>
  <si>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</si>
  <si>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</si>
  <si>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</si>
  <si>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</si>
  <si>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</si>
  <si>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</si>
  <si>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</si>
  <si>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</si>
  <si>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</si>
  <si>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</si>
  <si>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</si>
  <si>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</si>
  <si>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</si>
  <si>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</si>
  <si>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</si>
  <si>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</si>
  <si>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</si>
  <si>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</si>
  <si>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</si>
  <si>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</si>
  <si>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</si>
  <si>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</si>
  <si>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</si>
  <si>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</si>
  <si>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</si>
  <si>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</si>
  <si>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</si>
  <si>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</si>
  <si>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</si>
  <si>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</si>
  <si>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</si>
  <si>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</si>
  <si>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</si>
  <si>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</si>
  <si>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</si>
  <si>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</si>
  <si>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</si>
  <si>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</si>
  <si>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</si>
  <si>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</si>
  <si>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</si>
  <si>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</si>
  <si>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</si>
  <si>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</si>
  <si>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</si>
  <si>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</si>
  <si>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</si>
  <si>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</si>
  <si>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</si>
  <si>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</si>
  <si>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</si>
  <si>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</si>
  <si>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</si>
  <si>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</si>
  <si>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</si>
  <si>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</si>
  <si>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</si>
  <si>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</si>
  <si>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</si>
  <si>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</si>
  <si>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</si>
  <si>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</si>
  <si>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</si>
  <si>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</si>
  <si>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</si>
  <si>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</si>
  <si>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</si>
  <si>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</si>
  <si>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</si>
  <si>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</si>
  <si>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</si>
  <si>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</si>
  <si>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</si>
  <si>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</si>
  <si>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</si>
  <si>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</si>
  <si>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</si>
  <si>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</si>
  <si>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</si>
  <si>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</si>
  <si>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</si>
  <si>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</si>
  <si>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</si>
  <si>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</si>
  <si>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</si>
  <si>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</si>
  <si>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</si>
  <si>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</si>
  <si>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</si>
  <si>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</si>
  <si>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</si>
  <si>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</si>
  <si>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</si>
  <si>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</si>
  <si>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</si>
  <si>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</si>
  <si>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</si>
  <si>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</si>
  <si>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</si>
  <si>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</si>
  <si>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</si>
  <si>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</si>
  <si>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</si>
  <si>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</si>
  <si>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</si>
  <si>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</si>
  <si>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</si>
  <si>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</si>
  <si>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</si>
  <si>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</si>
  <si>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</si>
  <si>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</si>
  <si>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</si>
  <si>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</si>
  <si>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</si>
  <si>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</si>
  <si>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</si>
  <si>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</si>
  <si>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</si>
  <si>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</si>
  <si>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</si>
  <si>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</si>
  <si>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</si>
  <si>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</si>
  <si>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</si>
  <si>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</si>
  <si>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</si>
  <si>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</si>
  <si>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</si>
  <si>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</si>
  <si>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</si>
  <si>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</si>
  <si>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</si>
  <si>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</si>
  <si>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</si>
  <si>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</si>
  <si>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</si>
  <si>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</si>
  <si>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</si>
  <si>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</si>
  <si>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</si>
  <si>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</si>
  <si>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</si>
  <si>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</si>
  <si>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</si>
  <si>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</si>
  <si>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</si>
  <si>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</si>
  <si>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</si>
  <si>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</si>
  <si>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</si>
  <si>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</si>
  <si>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</si>
  <si>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</si>
  <si>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</si>
  <si>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</si>
  <si>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</si>
  <si>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</si>
  <si>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</si>
  <si>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</si>
  <si>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</si>
  <si>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</si>
  <si>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</si>
  <si>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</si>
  <si>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</si>
  <si>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</si>
  <si>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</si>
  <si>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</si>
  <si>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</si>
  <si>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</si>
  <si>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</si>
  <si>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</si>
  <si>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</si>
  <si>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</si>
  <si>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</si>
  <si>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</si>
  <si>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</si>
  <si>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</si>
  <si>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</si>
  <si>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</si>
  <si>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</si>
  <si>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</si>
  <si>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</si>
  <si>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</si>
  <si>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</si>
  <si>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</si>
  <si>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</si>
  <si>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</si>
  <si>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</si>
  <si>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</si>
  <si>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</si>
  <si>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</si>
  <si>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</si>
  <si>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</si>
  <si>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</si>
  <si>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</si>
  <si>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</si>
  <si>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</si>
  <si>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</si>
  <si>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</si>
  <si>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</si>
  <si>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</si>
  <si>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</si>
  <si>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</si>
  <si>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</si>
  <si>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</si>
  <si>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</si>
  <si>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</si>
  <si>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</si>
  <si>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</si>
  <si>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</si>
  <si>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</si>
  <si>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</si>
  <si>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</si>
  <si>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</si>
  <si>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</si>
  <si>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</si>
  <si>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</si>
  <si>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</si>
  <si>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</si>
  <si>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</si>
  <si>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</si>
  <si>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</si>
  <si>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</si>
  <si>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</si>
  <si>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</si>
  <si>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</si>
  <si>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</si>
  <si>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</si>
  <si>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</si>
  <si>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</si>
  <si>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</si>
  <si>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</si>
  <si>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</si>
  <si>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</si>
  <si>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</si>
  <si>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</si>
  <si>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</si>
  <si>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</si>
  <si>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</si>
  <si>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</si>
  <si>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</si>
  <si>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</si>
  <si>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</si>
  <si>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</si>
  <si>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</si>
  <si>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</si>
  <si>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</si>
  <si>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</si>
  <si>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</si>
  <si>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</si>
  <si>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</si>
  <si>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</si>
  <si>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</si>
  <si>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</si>
  <si>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</si>
  <si>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</si>
  <si>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</si>
  <si>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</si>
  <si>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</si>
  <si>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</si>
  <si>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</si>
  <si>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</si>
  <si>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</si>
  <si>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</si>
  <si>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</si>
  <si>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</si>
  <si>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</si>
  <si>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</si>
  <si>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</si>
  <si>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</si>
  <si>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</si>
  <si>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</si>
  <si>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</si>
  <si>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</si>
  <si>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</si>
  <si>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</si>
  <si>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</si>
  <si>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</si>
  <si>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</si>
  <si>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</si>
  <si>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</si>
  <si>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</si>
  <si>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</si>
  <si>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</si>
  <si>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</si>
  <si>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</si>
  <si>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</si>
  <si>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</si>
  <si>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</si>
  <si>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</si>
  <si>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</si>
  <si>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</si>
  <si>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</si>
  <si>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</si>
  <si>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</si>
  <si>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</si>
  <si>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</si>
  <si>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</si>
  <si>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</si>
  <si>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</si>
  <si>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</si>
  <si>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</si>
  <si>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</si>
  <si>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</si>
  <si>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</si>
  <si>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</si>
  <si>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</si>
  <si>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</si>
  <si>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</si>
  <si>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</si>
  <si>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</si>
  <si>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</si>
  <si>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</si>
  <si>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</si>
  <si>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</si>
  <si>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</si>
  <si>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</si>
  <si>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</si>
  <si>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</si>
  <si>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</si>
  <si>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</si>
  <si>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</si>
  <si>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</si>
  <si>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</si>
  <si>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</si>
  <si>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</si>
  <si>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</si>
  <si>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</si>
  <si>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</si>
  <si>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</si>
  <si>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</si>
  <si>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</si>
  <si>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</si>
  <si>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</si>
  <si>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</si>
  <si>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</si>
  <si>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</si>
  <si>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</si>
  <si>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</si>
  <si>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</si>
  <si>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</si>
  <si>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</si>
  <si>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</si>
  <si>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</si>
  <si>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</si>
  <si>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</si>
  <si>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</si>
  <si>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</si>
  <si>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</si>
  <si>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</si>
  <si>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</si>
  <si>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</si>
  <si>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</si>
  <si>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</si>
  <si>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</si>
  <si>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</si>
  <si>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</si>
  <si>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</si>
  <si>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</si>
  <si>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</si>
  <si>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</si>
  <si>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</si>
  <si>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</si>
  <si>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</si>
  <si>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</si>
  <si>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</si>
  <si>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</si>
  <si>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</si>
  <si>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</si>
  <si>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</si>
  <si>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</si>
  <si>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</si>
  <si>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</si>
  <si>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</si>
  <si>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</si>
  <si>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</si>
  <si>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</si>
  <si>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</si>
  <si>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</si>
  <si>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</si>
  <si>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</si>
  <si>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</si>
  <si>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</si>
  <si>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</si>
  <si>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</si>
  <si>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</si>
  <si>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</si>
  <si>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</si>
  <si>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</si>
  <si>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</si>
  <si>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</si>
  <si>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</si>
  <si>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</si>
  <si>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</si>
  <si>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</si>
  <si>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</si>
  <si>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</si>
  <si>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</si>
  <si>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</si>
  <si>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</si>
  <si>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</si>
  <si>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</si>
  <si>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</si>
  <si>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</si>
  <si>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</si>
  <si>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</si>
  <si>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</si>
  <si>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</si>
  <si>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</si>
  <si>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</si>
  <si>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</si>
  <si>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</si>
  <si>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</si>
  <si>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</si>
  <si>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</si>
  <si>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</si>
  <si>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</si>
  <si>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</si>
  <si>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</si>
  <si>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</si>
  <si>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</si>
  <si>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</si>
  <si>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</si>
  <si>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</si>
  <si>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</si>
  <si>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</si>
  <si>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</si>
  <si>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</si>
  <si>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</si>
  <si>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</si>
  <si>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</si>
  <si>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</si>
  <si>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</si>
  <si>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</si>
  <si>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</si>
  <si>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</si>
  <si>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</si>
  <si>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</si>
  <si>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</si>
  <si>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</si>
  <si>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</si>
  <si>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</si>
  <si>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</si>
  <si>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</si>
  <si>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</si>
  <si>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</si>
  <si>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</si>
  <si>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</si>
  <si>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</si>
  <si>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</si>
  <si>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</si>
  <si>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</si>
  <si>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</si>
  <si>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</si>
  <si>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</si>
  <si>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</si>
  <si>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</si>
  <si>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</si>
  <si>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</si>
  <si>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</si>
  <si>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</si>
  <si>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</si>
  <si>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</si>
  <si>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</si>
  <si>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</si>
  <si>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</si>
  <si>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</si>
  <si>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</si>
  <si>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</si>
  <si>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</si>
  <si>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</si>
  <si>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</si>
  <si>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</si>
  <si>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</si>
  <si>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</si>
  <si>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</si>
  <si>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</si>
  <si>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</si>
  <si>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</si>
  <si>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</si>
  <si>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</si>
  <si>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</si>
  <si>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</si>
  <si>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</si>
  <si>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</si>
  <si>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</si>
  <si>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</si>
  <si>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</si>
  <si>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</si>
  <si>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</si>
  <si>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</si>
  <si>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</si>
  <si>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</si>
  <si>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</si>
  <si>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</si>
  <si>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</si>
  <si>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</si>
  <si>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</si>
  <si>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</si>
  <si>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</si>
  <si>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</si>
  <si>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</si>
  <si>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</si>
  <si>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</si>
  <si>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</si>
  <si>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</si>
  <si>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</si>
  <si>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</si>
  <si>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</si>
  <si>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</si>
  <si>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</si>
  <si>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</si>
  <si>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</si>
  <si>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</si>
  <si>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</si>
  <si>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</si>
  <si>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</si>
  <si>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</si>
  <si>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</si>
  <si>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</si>
  <si>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</si>
  <si>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</si>
  <si>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</si>
  <si>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</si>
  <si>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</si>
  <si>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</si>
  <si>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</si>
  <si>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</si>
  <si>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</si>
  <si>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</si>
  <si>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</si>
  <si>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</si>
  <si>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</si>
  <si>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</si>
  <si>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</si>
  <si>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</si>
  <si>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</si>
  <si>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</si>
  <si>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</si>
  <si>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</si>
  <si>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</si>
  <si>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</si>
  <si>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</si>
  <si>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</si>
  <si>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</si>
  <si>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</si>
  <si>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</si>
  <si>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</si>
  <si>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</si>
  <si>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</si>
  <si>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</si>
  <si>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</si>
  <si>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</si>
  <si>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</si>
  <si>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</si>
  <si>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</si>
  <si>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</si>
  <si>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</si>
  <si>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</si>
  <si>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</si>
  <si>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</si>
  <si>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</si>
  <si>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</si>
  <si>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</si>
  <si>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</si>
  <si>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</si>
  <si>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</si>
  <si>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</si>
  <si>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</si>
  <si>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</si>
  <si>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</si>
  <si>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</si>
  <si>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</si>
  <si>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</si>
  <si>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</si>
  <si>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</si>
  <si>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</si>
  <si>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</si>
  <si>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</si>
  <si>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</si>
  <si>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</si>
  <si>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</si>
  <si>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</si>
  <si>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</si>
  <si>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</si>
  <si>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</si>
  <si>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</si>
  <si>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</si>
  <si>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</si>
  <si>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</si>
  <si>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</si>
  <si>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</si>
  <si>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</si>
  <si>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</si>
  <si>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</si>
  <si>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</si>
  <si>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</si>
  <si>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</si>
  <si>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</si>
  <si>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</si>
  <si>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</si>
  <si>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</si>
  <si>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</si>
  <si>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</si>
  <si>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</si>
  <si>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</si>
  <si>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</si>
  <si>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</si>
  <si>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</si>
  <si>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</si>
  <si>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</si>
  <si>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</si>
  <si>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</si>
  <si>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</si>
  <si>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</si>
  <si>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</si>
  <si>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</si>
  <si>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</si>
  <si>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</si>
  <si>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</si>
  <si>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</si>
  <si>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</si>
  <si>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</si>
  <si>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</si>
  <si>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</si>
  <si>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</si>
  <si>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</si>
  <si>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</si>
  <si>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</si>
  <si>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</si>
  <si>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</si>
  <si>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</si>
  <si>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</si>
  <si>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</si>
  <si>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</si>
  <si>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</si>
  <si>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</si>
  <si>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</si>
  <si>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</si>
  <si>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</si>
  <si>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</si>
  <si>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</si>
  <si>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</si>
  <si>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</si>
  <si>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</si>
  <si>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</si>
  <si>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</si>
  <si>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</si>
  <si>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</si>
  <si>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</si>
  <si>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</si>
  <si>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</si>
  <si>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</si>
  <si>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</si>
  <si>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</si>
  <si>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</si>
  <si>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</si>
  <si>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</si>
  <si>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</si>
  <si>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</si>
  <si>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</si>
  <si>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</si>
  <si>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</si>
  <si>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</si>
  <si>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</si>
  <si>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</si>
  <si>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</si>
  <si>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</si>
  <si>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</si>
  <si>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</si>
  <si>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</si>
  <si>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</si>
  <si>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</si>
  <si>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</si>
  <si>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</si>
  <si>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</si>
  <si>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</si>
  <si>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</si>
  <si>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</si>
  <si>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</si>
  <si>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</si>
  <si>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</si>
  <si>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</si>
  <si>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</si>
  <si>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</si>
  <si>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</si>
  <si>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</si>
  <si>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</si>
  <si>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</si>
  <si>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</si>
  <si>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</si>
  <si>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</si>
  <si>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</si>
  <si>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</si>
  <si>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</si>
  <si>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</si>
  <si>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</si>
  <si>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</si>
  <si>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</si>
  <si>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</si>
  <si>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</si>
  <si>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</si>
  <si>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</si>
  <si>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</si>
  <si>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</si>
  <si>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</si>
  <si>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</si>
  <si>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</si>
  <si>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</si>
  <si>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</si>
  <si>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</si>
  <si>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</si>
  <si>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</si>
  <si>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</si>
  <si>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</si>
  <si>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</si>
  <si>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</si>
  <si>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</si>
  <si>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</si>
  <si>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</si>
  <si>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</si>
  <si>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</si>
  <si>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</si>
  <si>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</si>
  <si>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</si>
  <si>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</si>
  <si>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</si>
  <si>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</si>
  <si>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</si>
  <si>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</si>
  <si>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</si>
  <si>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</si>
  <si>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</si>
  <si>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</si>
  <si>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</si>
  <si>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</si>
  <si>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</si>
  <si>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</si>
  <si>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</si>
  <si>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</si>
  <si>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</si>
  <si>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</si>
  <si>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</si>
  <si>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</si>
  <si>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</si>
  <si>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</si>
  <si>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</si>
  <si>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</si>
  <si>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</si>
  <si>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</si>
  <si>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</si>
  <si>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</si>
  <si>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</si>
  <si>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</si>
  <si>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</si>
  <si>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</si>
  <si>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</si>
  <si>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</si>
  <si>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</si>
  <si>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</si>
  <si>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</si>
  <si>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</si>
  <si>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</si>
  <si>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</si>
  <si>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</si>
  <si>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</si>
  <si>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</si>
  <si>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</si>
  <si>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</si>
  <si>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</si>
  <si>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</si>
  <si>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</si>
  <si>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</si>
  <si>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</si>
  <si>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</si>
  <si>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</si>
  <si>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</si>
  <si>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</si>
  <si>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</si>
  <si>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</si>
  <si>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</si>
  <si>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</si>
  <si>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</si>
  <si>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</si>
  <si>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</si>
  <si>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</si>
  <si>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</si>
  <si>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</si>
  <si>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</si>
  <si>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</si>
  <si>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</si>
  <si>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</si>
  <si>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</si>
  <si>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</si>
  <si>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</si>
  <si>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</si>
  <si>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</si>
  <si>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</si>
  <si>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</si>
  <si>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</si>
  <si>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</si>
  <si>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</si>
  <si>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</si>
  <si>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</si>
  <si>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</si>
  <si>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</si>
  <si>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</si>
  <si>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</si>
  <si>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</si>
  <si>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</si>
  <si>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</si>
  <si>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</si>
  <si>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</si>
  <si>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</si>
  <si>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</si>
  <si>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</si>
  <si>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</si>
  <si>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</si>
  <si>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</si>
  <si>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</si>
  <si>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</si>
  <si>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</si>
  <si>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</si>
  <si>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</si>
  <si>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</si>
  <si>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</si>
  <si>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</si>
  <si>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</si>
  <si>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</si>
  <si>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</si>
  <si>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</si>
  <si>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</si>
  <si>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</si>
  <si>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</si>
  <si>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</si>
  <si>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</si>
  <si>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</si>
  <si>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</si>
  <si>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</si>
  <si>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</si>
  <si>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</si>
  <si>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</si>
  <si>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</si>
  <si>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</si>
  <si>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</si>
  <si>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</si>
  <si>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</si>
  <si>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</si>
  <si>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</si>
  <si>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</si>
  <si>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</si>
  <si>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</si>
  <si>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</si>
  <si>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</si>
  <si>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</si>
  <si>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</si>
  <si>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</si>
  <si>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</si>
  <si>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</si>
  <si>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</si>
  <si>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</si>
  <si>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</si>
  <si>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</si>
  <si>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</si>
  <si>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</si>
  <si>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</si>
  <si>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</si>
  <si>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</si>
  <si>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</si>
  <si>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</si>
  <si>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</si>
  <si>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</si>
  <si>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</si>
  <si>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</si>
  <si>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</si>
  <si>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</si>
  <si>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</si>
  <si>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</si>
  <si>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</si>
  <si>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</si>
  <si>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</si>
  <si>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</si>
  <si>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</si>
  <si>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</si>
  <si>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</si>
  <si>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</si>
  <si>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</si>
  <si>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</si>
  <si>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</si>
  <si>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</si>
  <si>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</si>
  <si>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</si>
  <si>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</si>
  <si>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</si>
  <si>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</si>
  <si>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</si>
  <si>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</si>
  <si>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</si>
  <si>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</si>
  <si>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</si>
  <si>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</si>
  <si>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</si>
  <si>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</si>
  <si>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</si>
  <si>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</si>
  <si>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</si>
  <si>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</si>
  <si>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</si>
  <si>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</si>
  <si>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</si>
  <si>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</si>
  <si>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</si>
  <si>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</si>
  <si>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</si>
  <si>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</si>
  <si>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</si>
  <si>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</si>
  <si>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</si>
  <si>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</si>
  <si>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</si>
  <si>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</si>
  <si>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</si>
  <si>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</si>
  <si>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</si>
  <si>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</si>
  <si>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</si>
  <si>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</si>
  <si>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</si>
  <si>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</si>
  <si>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</si>
  <si>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</si>
  <si>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</si>
  <si>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</si>
  <si>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</si>
  <si>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</si>
  <si>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</si>
  <si>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</si>
  <si>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</si>
  <si>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</si>
  <si>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</si>
  <si>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</si>
  <si>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</si>
  <si>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</si>
  <si>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</si>
  <si>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</si>
  <si>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</si>
  <si>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</si>
  <si>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</si>
  <si>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</si>
  <si>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</si>
  <si>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</si>
  <si>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</si>
  <si>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</si>
  <si>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</si>
  <si>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</si>
  <si>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</si>
  <si>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</si>
  <si>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</si>
  <si>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</si>
  <si>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</si>
  <si>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</si>
  <si>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</si>
  <si>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</si>
  <si>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</si>
  <si>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</si>
  <si>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</si>
  <si>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</si>
  <si>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</si>
  <si>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</si>
  <si>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</si>
  <si>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</si>
  <si>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</si>
  <si>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</si>
  <si>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</si>
  <si>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</si>
  <si>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</si>
  <si>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</si>
  <si>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</si>
  <si>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</si>
  <si>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</si>
  <si>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</si>
  <si>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</si>
  <si>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</si>
  <si>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</si>
  <si>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</si>
  <si>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</si>
  <si>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</si>
  <si>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</si>
  <si>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</si>
  <si>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</si>
  <si>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</si>
  <si>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</si>
  <si>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</si>
  <si>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</si>
  <si>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</si>
  <si>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</si>
  <si>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</si>
  <si>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</si>
  <si>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</si>
  <si>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</si>
  <si>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</si>
  <si>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</si>
  <si>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</si>
  <si>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</si>
  <si>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</si>
  <si>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</si>
  <si>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</si>
  <si>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</si>
  <si>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</si>
  <si>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</si>
  <si>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</si>
  <si>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</si>
  <si>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</si>
  <si>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</si>
  <si>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</si>
  <si>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</si>
  <si>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</si>
  <si>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</si>
  <si>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</si>
  <si>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</si>
  <si>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</si>
  <si>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</si>
  <si>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</si>
  <si>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</si>
  <si>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</si>
  <si>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</si>
  <si>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</si>
  <si>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</si>
  <si>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</si>
  <si>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</si>
  <si>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</si>
  <si>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</si>
  <si>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</si>
  <si>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</si>
  <si>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</si>
  <si>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</si>
  <si>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</si>
  <si>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</si>
  <si>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</si>
  <si>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</si>
  <si>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</si>
  <si>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</si>
  <si>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</si>
  <si>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</si>
  <si>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</si>
  <si>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</si>
  <si>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</si>
  <si>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</si>
  <si>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</si>
  <si>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</si>
  <si>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</si>
  <si>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</si>
  <si>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</si>
  <si>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</si>
  <si>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</si>
  <si>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</si>
  <si>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</si>
  <si>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</si>
  <si>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</si>
  <si>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</si>
  <si>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</si>
  <si>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</si>
  <si>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</si>
  <si>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</si>
  <si>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</si>
  <si>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</si>
  <si>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</si>
  <si>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</si>
  <si>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</si>
  <si>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</si>
  <si>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</si>
  <si>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</si>
  <si>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</si>
  <si>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</si>
  <si>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</si>
  <si>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</si>
  <si>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</si>
  <si>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</si>
  <si>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</si>
  <si>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</si>
  <si>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</si>
  <si>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</si>
  <si>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</si>
  <si>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</si>
  <si>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</si>
  <si>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</si>
  <si>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</si>
  <si>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</si>
  <si>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</si>
  <si>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</si>
  <si>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</si>
  <si>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</si>
  <si>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</si>
  <si>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</si>
  <si>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</si>
  <si>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</si>
  <si>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</si>
  <si>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</si>
  <si>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</si>
  <si>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</si>
  <si>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</si>
  <si>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</si>
  <si>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</si>
  <si>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</si>
  <si>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</si>
  <si>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</si>
  <si>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</si>
  <si>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</si>
  <si>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</si>
  <si>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</si>
  <si>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</si>
  <si>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</si>
  <si>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</si>
  <si>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</si>
  <si>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</si>
  <si>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</si>
  <si>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</si>
  <si>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</si>
  <si>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</si>
  <si>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</si>
  <si>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</si>
  <si>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</si>
  <si>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</si>
  <si>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</si>
  <si>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</si>
  <si>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</si>
  <si>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</si>
  <si>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</si>
  <si>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</si>
  <si>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</si>
  <si>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</si>
  <si>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</si>
  <si>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</si>
  <si>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</si>
  <si>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</si>
  <si>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</si>
  <si>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</si>
  <si>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</si>
  <si>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</si>
  <si>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</si>
  <si>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</si>
  <si>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</si>
  <si>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</si>
  <si>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</si>
  <si>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</si>
  <si>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</si>
  <si>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</si>
  <si>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</si>
  <si>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</si>
  <si>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</si>
  <si>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</si>
  <si>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</si>
  <si>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</si>
  <si>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</si>
  <si>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</si>
  <si>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</si>
  <si>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</si>
  <si>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</si>
  <si>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</si>
  <si>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</si>
  <si>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</si>
  <si>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</si>
  <si>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</si>
  <si>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</si>
  <si>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</si>
  <si>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</si>
  <si>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</si>
  <si>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</si>
  <si>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</si>
  <si>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</si>
  <si>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</si>
  <si>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</si>
  <si>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</si>
  <si>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</si>
  <si>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</si>
  <si>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</si>
  <si>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</si>
  <si>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</si>
  <si>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</si>
  <si>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</si>
  <si>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</si>
  <si>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</si>
  <si>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</si>
  <si>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</si>
  <si>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</si>
  <si>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</si>
  <si>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</si>
  <si>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</si>
  <si>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</si>
  <si>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</si>
  <si>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</si>
  <si>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</si>
  <si>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</si>
  <si>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</si>
  <si>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</si>
  <si>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</si>
  <si>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</si>
  <si>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</si>
  <si>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</si>
  <si>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</si>
  <si>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</si>
  <si>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</si>
  <si>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</si>
  <si>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</si>
  <si>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</si>
  <si>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</si>
  <si>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</si>
  <si>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</si>
  <si>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</si>
  <si>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</si>
  <si>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</si>
  <si>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</si>
  <si>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</si>
  <si>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</si>
  <si>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</si>
  <si>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</si>
  <si>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</si>
  <si>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</si>
  <si>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</si>
  <si>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</si>
  <si>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</si>
  <si>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</si>
  <si>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</si>
  <si>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</si>
  <si>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</si>
  <si>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</si>
  <si>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</si>
  <si>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</si>
  <si>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</si>
  <si>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</si>
  <si>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</si>
  <si>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</si>
  <si>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</si>
  <si>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</si>
  <si>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</si>
  <si>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</si>
  <si>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</si>
  <si>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</si>
  <si>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</si>
  <si>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</si>
  <si>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</si>
  <si>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</si>
  <si>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</si>
  <si>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</si>
  <si>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</si>
  <si>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</si>
  <si>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</si>
  <si>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</si>
  <si>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</si>
  <si>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</si>
  <si>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</si>
  <si>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</si>
  <si>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</si>
  <si>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</si>
  <si>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</si>
  <si>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</si>
  <si>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</si>
  <si>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</si>
  <si>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</si>
  <si>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</si>
  <si>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</si>
  <si>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</si>
  <si>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</si>
  <si>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</si>
  <si>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</si>
  <si>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</si>
  <si>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</si>
  <si>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</si>
  <si>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</si>
  <si>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</si>
  <si>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</si>
  <si>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</si>
  <si>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</si>
  <si>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</si>
  <si>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</si>
  <si>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</si>
  <si>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</si>
  <si>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</si>
  <si>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</si>
  <si>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</si>
  <si>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</si>
  <si>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</si>
  <si>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</si>
  <si>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</si>
  <si>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</si>
  <si>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</si>
  <si>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</si>
  <si>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</si>
  <si>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</si>
  <si>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</si>
  <si>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</si>
  <si>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</si>
  <si>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</si>
  <si>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</si>
  <si>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</si>
  <si>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</si>
  <si>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</si>
  <si>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</si>
  <si>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</si>
  <si>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</si>
  <si>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</si>
  <si>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</si>
  <si>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</si>
  <si>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</si>
  <si>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</si>
  <si>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</si>
  <si>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</si>
  <si>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</si>
  <si>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</si>
  <si>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</si>
  <si>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</si>
  <si>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</si>
  <si>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</si>
  <si>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</si>
  <si>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</si>
  <si>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</si>
  <si>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</si>
  <si>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</si>
  <si>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</si>
  <si>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</si>
  <si>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</si>
  <si>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</si>
  <si>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</si>
  <si>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</si>
  <si>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</si>
  <si>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</si>
  <si>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</si>
  <si>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</si>
  <si>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</si>
  <si>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</si>
  <si>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</si>
  <si>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</si>
  <si>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</si>
  <si>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</si>
  <si>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</si>
  <si>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</si>
  <si>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</si>
  <si>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</si>
  <si>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</si>
  <si>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</si>
  <si>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</si>
  <si>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</si>
  <si>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</si>
  <si>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</si>
  <si>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</si>
  <si>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</si>
  <si>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</si>
  <si>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</si>
  <si>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</si>
  <si>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</si>
  <si>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</si>
  <si>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</si>
  <si>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</si>
  <si>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</si>
  <si>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</si>
  <si>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</si>
  <si>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</si>
  <si>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</si>
  <si>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</si>
  <si>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</si>
  <si>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</si>
  <si>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</si>
  <si>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</si>
  <si>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</si>
  <si>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</si>
  <si>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</si>
  <si>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</si>
  <si>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</si>
  <si>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</si>
  <si>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</si>
  <si>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</si>
  <si>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</si>
  <si>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</si>
  <si>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</si>
  <si>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</si>
  <si>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</si>
  <si>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</si>
  <si>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</si>
  <si>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</si>
  <si>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</si>
  <si>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</si>
  <si>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</si>
  <si>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</si>
  <si>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</si>
  <si>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</si>
  <si>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</si>
  <si>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</si>
  <si>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</si>
  <si>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</si>
  <si>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</si>
  <si>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</si>
  <si>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</si>
  <si>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</si>
  <si>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</si>
  <si>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</si>
  <si>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</si>
  <si>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</si>
  <si>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</si>
  <si>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</si>
  <si>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</si>
  <si>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</si>
  <si>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</si>
  <si>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</si>
  <si>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</si>
  <si>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</si>
  <si>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</si>
  <si>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</si>
  <si>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</si>
  <si>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</si>
  <si>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</si>
  <si>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</si>
  <si>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</si>
  <si>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</si>
  <si>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</si>
  <si>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</si>
  <si>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</si>
  <si>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</si>
  <si>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</si>
  <si>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</si>
  <si>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</si>
  <si>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</si>
  <si>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</si>
  <si>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</si>
  <si>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</si>
  <si>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</si>
  <si>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</si>
  <si>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</si>
  <si>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</si>
  <si>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</si>
  <si>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</si>
  <si>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</si>
  <si>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</si>
  <si>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</si>
  <si>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</si>
  <si>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</si>
  <si>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</si>
  <si>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</si>
  <si>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</si>
  <si>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</si>
  <si>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</si>
  <si>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</si>
  <si>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</si>
  <si>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</si>
  <si>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</si>
  <si>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</si>
  <si>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</si>
  <si>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</si>
  <si>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</si>
  <si>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</si>
  <si>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</si>
  <si>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</si>
  <si>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</si>
  <si>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</si>
  <si>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</si>
  <si>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</si>
  <si>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</si>
  <si>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</si>
  <si>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</si>
  <si>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</si>
  <si>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</si>
  <si>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</si>
  <si>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</si>
  <si>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</si>
  <si>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</si>
  <si>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</si>
  <si>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</si>
  <si>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</si>
  <si>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</si>
  <si>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</si>
  <si>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</si>
  <si>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</si>
  <si>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</si>
  <si>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</si>
  <si>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</si>
  <si>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</si>
  <si>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</si>
  <si>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</si>
  <si>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</si>
  <si>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</si>
  <si>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</si>
  <si>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</si>
  <si>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</si>
  <si>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</si>
  <si>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</si>
  <si>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</si>
  <si>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</si>
  <si>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</si>
  <si>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</si>
  <si>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</si>
  <si>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</si>
  <si>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</si>
  <si>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</si>
  <si>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</si>
  <si>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</si>
  <si>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</si>
  <si>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</si>
  <si>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</si>
  <si>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</si>
  <si>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</si>
  <si>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</si>
  <si>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</si>
  <si>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</si>
  <si>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</si>
  <si>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</si>
  <si>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</si>
  <si>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</si>
  <si>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</si>
  <si>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</si>
  <si>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</si>
  <si>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</si>
  <si>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</si>
  <si>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</si>
  <si>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</si>
  <si>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</si>
  <si>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</si>
  <si>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</si>
  <si>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</si>
  <si>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</si>
  <si>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</si>
  <si>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</si>
  <si>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</si>
  <si>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</si>
  <si>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</si>
  <si>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</si>
  <si>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</si>
  <si>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</si>
  <si>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</si>
  <si>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</si>
  <si>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</si>
  <si>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</si>
  <si>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</si>
  <si>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</si>
  <si>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</si>
  <si>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</si>
  <si>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</si>
  <si>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</si>
  <si>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</si>
  <si>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</si>
  <si>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</si>
  <si>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</si>
  <si>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</si>
  <si>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</si>
  <si>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</si>
  <si>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</si>
  <si>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</si>
  <si>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</si>
  <si>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</si>
  <si>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</si>
  <si>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</si>
  <si>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</si>
  <si>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</si>
  <si>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</si>
  <si>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</si>
  <si>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</si>
  <si>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</si>
  <si>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</si>
  <si>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</si>
  <si>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</si>
  <si>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</si>
  <si>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</si>
  <si>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</si>
  <si>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</si>
  <si>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</si>
  <si>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</si>
  <si>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</si>
  <si>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</si>
  <si>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</si>
  <si>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</si>
  <si>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</si>
  <si>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</si>
  <si>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</si>
  <si>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</si>
  <si>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</si>
  <si>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</si>
  <si>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</si>
  <si>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</si>
  <si>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</si>
  <si>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</si>
  <si>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</si>
  <si>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</si>
  <si>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</si>
  <si>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</si>
  <si>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</si>
  <si>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</si>
  <si>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</si>
  <si>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</si>
  <si>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</si>
  <si>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</si>
  <si>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</si>
  <si>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</si>
  <si>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</si>
  <si>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</si>
  <si>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</si>
  <si>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</si>
  <si>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</si>
  <si>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</si>
  <si>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</si>
  <si>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</si>
  <si>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</si>
  <si>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</si>
  <si>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</si>
  <si>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</si>
  <si>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</si>
  <si>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</si>
  <si>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</si>
  <si>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</si>
  <si>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</si>
  <si>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</si>
  <si>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</si>
  <si>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</si>
  <si>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</si>
  <si>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</si>
  <si>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</si>
  <si>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</si>
  <si>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</si>
  <si>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</si>
  <si>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</si>
  <si>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</si>
  <si>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</si>
  <si>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</si>
  <si>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</si>
  <si>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</si>
  <si>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</si>
  <si>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</si>
  <si>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</si>
  <si>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</si>
  <si>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</si>
  <si>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</si>
  <si>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</si>
  <si>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</si>
  <si>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</si>
  <si>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</si>
  <si>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</si>
  <si>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</si>
  <si>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</si>
  <si>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</si>
  <si>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</si>
  <si>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</si>
  <si>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</si>
  <si>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</si>
  <si>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</si>
  <si>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</si>
  <si>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</si>
  <si>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</si>
  <si>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</si>
  <si>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</si>
  <si>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</si>
  <si>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</si>
  <si>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</si>
  <si>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</si>
  <si>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</si>
  <si>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</si>
  <si>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</si>
  <si>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</si>
  <si>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</si>
  <si>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</si>
  <si>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</si>
  <si>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</si>
  <si>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</si>
  <si>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</si>
  <si>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</si>
  <si>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</si>
  <si>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</si>
  <si>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</si>
  <si>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</si>
  <si>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</si>
  <si>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</si>
  <si>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</si>
  <si>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</si>
  <si>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</si>
  <si>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</si>
  <si>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</si>
  <si>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</si>
  <si>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</si>
  <si>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</si>
  <si>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</si>
  <si>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</si>
  <si>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</si>
  <si>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</si>
  <si>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</si>
  <si>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</si>
  <si>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</si>
  <si>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</si>
  <si>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</si>
  <si>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</si>
  <si>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</si>
  <si>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</si>
  <si>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</si>
  <si>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</si>
  <si>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</si>
  <si>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</si>
  <si>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</si>
  <si>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</si>
  <si>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</si>
  <si>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</si>
  <si>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</si>
  <si>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</si>
  <si>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</si>
  <si>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</si>
  <si>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</si>
  <si>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</si>
  <si>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</si>
  <si>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</si>
  <si>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</si>
  <si>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</si>
  <si>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</si>
  <si>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</si>
  <si>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</si>
  <si>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</si>
  <si>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</si>
  <si>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</si>
  <si>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</si>
  <si>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</si>
  <si>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</si>
  <si>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</si>
  <si>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</si>
  <si>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</si>
  <si>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</si>
  <si>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</si>
  <si>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</si>
  <si>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</si>
  <si>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</si>
  <si>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</si>
  <si>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</si>
  <si>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</si>
  <si>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</si>
  <si>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</si>
  <si>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</si>
  <si>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</si>
  <si>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</si>
  <si>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</si>
  <si>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</si>
  <si>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</si>
  <si>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</si>
  <si>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</si>
  <si>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</si>
  <si>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</si>
  <si>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</si>
  <si>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</si>
  <si>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</si>
  <si>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</si>
  <si>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</si>
  <si>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</si>
  <si>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</si>
  <si>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</si>
  <si>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</si>
  <si>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</si>
  <si>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</si>
  <si>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</si>
  <si>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</si>
  <si>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</si>
  <si>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</si>
  <si>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</si>
  <si>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</si>
  <si>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</si>
  <si>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</si>
  <si>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</si>
  <si>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</si>
  <si>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</si>
  <si>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</si>
  <si>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</si>
  <si>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</si>
  <si>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</si>
  <si>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</si>
  <si>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</si>
  <si>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</si>
  <si>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</si>
  <si>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</si>
  <si>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</si>
  <si>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</si>
  <si>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</si>
  <si>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</si>
  <si>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</si>
  <si>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</si>
  <si>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</si>
  <si>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</si>
  <si>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</si>
  <si>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</si>
  <si>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</si>
  <si>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</si>
  <si>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</si>
  <si>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</si>
  <si>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</si>
  <si>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</si>
  <si>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</si>
  <si>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</si>
  <si>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</si>
  <si>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</si>
  <si>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</si>
  <si>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</si>
  <si>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</si>
  <si>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</si>
  <si>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</si>
  <si>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</si>
  <si>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</si>
  <si>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</si>
  <si>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</si>
  <si>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</si>
  <si>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</si>
  <si>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</si>
  <si>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</si>
  <si>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</si>
  <si>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</si>
  <si>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</si>
  <si>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</si>
  <si>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</si>
  <si>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</si>
  <si>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</si>
  <si>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</si>
  <si>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</si>
  <si>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</si>
  <si>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</si>
  <si>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</si>
  <si>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</si>
  <si>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</si>
  <si>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</si>
  <si>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</si>
  <si>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</si>
  <si>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</si>
  <si>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</si>
  <si>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</si>
  <si>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</si>
  <si>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</si>
  <si>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</si>
  <si>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</si>
  <si>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</si>
  <si>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</si>
  <si>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</si>
  <si>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</si>
  <si>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</si>
  <si>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</si>
  <si>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</si>
  <si>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</si>
  <si>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</si>
  <si>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</si>
  <si>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</si>
  <si>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</si>
  <si>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</si>
  <si>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</si>
  <si>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</si>
  <si>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</si>
  <si>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</si>
  <si>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</si>
  <si>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</si>
  <si>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</si>
  <si>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</si>
  <si>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</si>
  <si>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</si>
  <si>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</si>
  <si>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</si>
  <si>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</si>
  <si>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</si>
  <si>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</si>
  <si>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</si>
  <si>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</si>
  <si>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</si>
  <si>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</si>
  <si>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</si>
  <si>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</si>
  <si>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</si>
  <si>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</si>
  <si>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</si>
  <si>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</si>
  <si>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</si>
  <si>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</si>
  <si>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</si>
  <si>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</si>
  <si>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</si>
  <si>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</si>
  <si>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</si>
  <si>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</si>
  <si>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</si>
  <si>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</si>
  <si>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</si>
  <si>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</si>
  <si>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</si>
  <si>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</si>
  <si>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</si>
  <si>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</si>
  <si>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</si>
  <si>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</si>
  <si>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</si>
  <si>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</si>
  <si>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</si>
  <si>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</si>
  <si>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</si>
  <si>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</si>
  <si>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</si>
  <si>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</si>
  <si>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</si>
  <si>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</si>
  <si>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</si>
  <si>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</si>
  <si>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</si>
  <si>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</si>
  <si>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</si>
  <si>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</si>
  <si>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</si>
  <si>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</si>
  <si>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</si>
  <si>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</si>
  <si>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</si>
  <si>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</si>
  <si>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</si>
  <si>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</si>
  <si>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</si>
  <si>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</si>
  <si>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</si>
  <si>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</si>
  <si>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</si>
  <si>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</si>
  <si>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</si>
  <si>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</si>
  <si>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</si>
  <si>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</si>
  <si>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</si>
  <si>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</si>
  <si>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</si>
  <si>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</si>
  <si>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</si>
  <si>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</si>
  <si>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</si>
  <si>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</si>
  <si>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</si>
  <si>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</si>
  <si>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</si>
  <si>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</si>
  <si>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</si>
  <si>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</si>
  <si>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</si>
  <si>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</si>
  <si>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</si>
  <si>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</si>
  <si>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</si>
  <si>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</si>
  <si>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</si>
  <si>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</si>
  <si>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</si>
  <si>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</si>
  <si>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</si>
  <si>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</si>
  <si>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</si>
  <si>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</si>
  <si>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</si>
  <si>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</si>
  <si>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</si>
  <si>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</si>
  <si>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</si>
  <si>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</si>
  <si>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</si>
  <si>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</si>
  <si>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</si>
  <si>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</si>
  <si>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</si>
  <si>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</si>
  <si>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</si>
  <si>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</si>
  <si>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</si>
  <si>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</si>
  <si>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</si>
  <si>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</si>
  <si>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</si>
  <si>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</si>
  <si>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</si>
  <si>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</si>
  <si>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</si>
  <si>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</si>
  <si>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</si>
  <si>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</si>
  <si>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</si>
  <si>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</si>
  <si>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</si>
  <si>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</si>
  <si>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</si>
  <si>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</si>
  <si>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</si>
  <si>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</si>
  <si>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</si>
  <si>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</si>
  <si>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</si>
  <si>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</si>
  <si>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</si>
  <si>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</si>
  <si>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</si>
  <si>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</si>
  <si>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</si>
  <si>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</si>
  <si>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</si>
  <si>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</si>
  <si>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</si>
  <si>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</si>
  <si>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</si>
  <si>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</si>
  <si>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</si>
  <si>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</si>
  <si>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</si>
  <si>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</si>
  <si>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</si>
  <si>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</si>
  <si>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</si>
  <si>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</si>
  <si>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</si>
  <si>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</si>
  <si>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</si>
  <si>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</si>
  <si>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</si>
  <si>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</si>
  <si>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</si>
  <si>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</si>
  <si>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</si>
  <si>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</si>
  <si>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</si>
  <si>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</si>
  <si>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</si>
  <si>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</si>
  <si>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</si>
  <si>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</si>
  <si>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</si>
  <si>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</si>
  <si>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</si>
  <si>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</si>
  <si>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</si>
  <si>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</si>
  <si>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</si>
  <si>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</si>
  <si>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</si>
  <si>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</si>
  <si>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</si>
  <si>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</si>
  <si>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</si>
  <si>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</si>
  <si>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</si>
  <si>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</si>
  <si>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</si>
  <si>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</si>
  <si>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</si>
  <si>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</si>
  <si>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</si>
  <si>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</si>
  <si>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</si>
  <si>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</si>
  <si>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</si>
  <si>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</si>
  <si>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</si>
  <si>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</si>
  <si>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</si>
  <si>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</si>
  <si>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</si>
  <si>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</si>
  <si>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</si>
  <si>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</si>
  <si>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</si>
  <si>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</si>
  <si>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</si>
  <si>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</si>
  <si>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</si>
  <si>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</si>
  <si>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</si>
  <si>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</si>
  <si>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</si>
  <si>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</si>
  <si>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</si>
  <si>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</si>
  <si>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</si>
  <si>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</si>
  <si>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</si>
  <si>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</si>
  <si>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</si>
  <si>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</si>
  <si>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</si>
  <si>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</si>
  <si>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</si>
  <si>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</si>
  <si>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</si>
  <si>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</si>
  <si>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</si>
  <si>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</si>
  <si>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</si>
  <si>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</si>
  <si>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</si>
  <si>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</si>
  <si>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</si>
  <si>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</si>
  <si>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</si>
  <si>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</si>
  <si>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</si>
  <si>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</si>
  <si>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</si>
  <si>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</si>
  <si>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</si>
  <si>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</si>
  <si>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</si>
  <si>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</si>
  <si>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</si>
  <si>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</si>
  <si>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</si>
  <si>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</si>
  <si>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</si>
  <si>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</si>
  <si>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</si>
  <si>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</si>
  <si>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</si>
  <si>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</si>
  <si>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</si>
  <si>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</si>
  <si>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</si>
  <si>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</si>
  <si>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</si>
  <si>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</si>
  <si>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</si>
  <si>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</si>
  <si>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</si>
  <si>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</si>
  <si>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</si>
  <si>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</si>
  <si>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</si>
  <si>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</si>
  <si>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</si>
  <si>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</si>
  <si>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</si>
  <si>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</si>
  <si>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</si>
  <si>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</si>
  <si>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</si>
  <si>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</si>
  <si>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</si>
  <si>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</si>
  <si>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</si>
  <si>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</si>
  <si>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</si>
  <si>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</si>
  <si>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</si>
  <si>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</si>
  <si>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</si>
  <si>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</si>
  <si>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</si>
  <si>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</si>
  <si>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</si>
  <si>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</si>
  <si>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</si>
  <si>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</si>
  <si>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</si>
  <si>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</si>
  <si>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</si>
  <si>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</si>
  <si>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</si>
  <si>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</si>
  <si>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</si>
  <si>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</si>
  <si>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</si>
  <si>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</si>
  <si>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</si>
  <si>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</si>
  <si>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</si>
  <si>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</si>
  <si>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</si>
  <si>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</si>
  <si>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</si>
  <si>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</si>
  <si>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</si>
  <si>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</si>
  <si>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</si>
  <si>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</si>
  <si>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</si>
  <si>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</si>
  <si>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</si>
  <si>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</si>
  <si>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</si>
  <si>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</si>
  <si>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</si>
  <si>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</si>
  <si>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</si>
  <si>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</si>
  <si>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</si>
  <si>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</si>
  <si>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</si>
  <si>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</si>
  <si>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</si>
  <si>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</si>
  <si>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</si>
  <si>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</si>
  <si>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</si>
  <si>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</si>
  <si>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</si>
  <si>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</si>
  <si>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</si>
  <si>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</si>
  <si>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</si>
  <si>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</si>
  <si>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</si>
  <si>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</si>
  <si>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</si>
  <si>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</si>
  <si>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</si>
  <si>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</si>
  <si>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</si>
  <si>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</si>
  <si>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</si>
  <si>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</si>
  <si>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</si>
  <si>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</si>
  <si>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</si>
  <si>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</si>
  <si>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</si>
  <si>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</si>
  <si>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</si>
  <si>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</si>
  <si>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</si>
  <si>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</si>
  <si>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</si>
  <si>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</si>
  <si>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</si>
  <si>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</si>
  <si>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</si>
  <si>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</si>
  <si>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</si>
  <si>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</si>
  <si>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</si>
  <si>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</si>
  <si>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</si>
  <si>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</si>
  <si>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</si>
  <si>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</si>
  <si>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</si>
  <si>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</si>
  <si>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</si>
  <si>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</si>
  <si>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</si>
  <si>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</si>
  <si>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</si>
  <si>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</si>
  <si>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</si>
  <si>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</si>
  <si>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</si>
  <si>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</si>
  <si>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</si>
  <si>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</si>
  <si>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</si>
  <si>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</si>
  <si>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</si>
  <si>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</si>
  <si>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</si>
  <si>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</si>
  <si>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</si>
  <si>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</si>
  <si>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</si>
  <si>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</si>
  <si>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</si>
  <si>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</si>
  <si>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</si>
  <si>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</si>
  <si>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</si>
  <si>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</si>
  <si>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</si>
  <si>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</si>
  <si>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</si>
  <si>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</si>
  <si>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</si>
  <si>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</si>
  <si>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</si>
  <si>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</si>
  <si>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</si>
  <si>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</si>
  <si>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</si>
  <si>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</si>
  <si>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</si>
  <si>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</si>
  <si>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</si>
  <si>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</si>
  <si>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</si>
  <si>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</si>
  <si>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</si>
  <si>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</si>
  <si>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</si>
  <si>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</si>
  <si>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</si>
  <si>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</si>
  <si>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</si>
  <si>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</si>
  <si>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</si>
  <si>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</si>
  <si>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</si>
  <si>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</si>
  <si>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</si>
  <si>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</si>
  <si>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</si>
  <si>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</si>
  <si>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</si>
  <si>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</si>
  <si>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</si>
  <si>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</si>
  <si>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</si>
  <si>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</si>
  <si>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</si>
  <si>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</si>
  <si>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</si>
  <si>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</si>
  <si>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</si>
  <si>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</si>
  <si>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</si>
  <si>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</si>
  <si>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</si>
  <si>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</si>
  <si>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</si>
  <si>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</si>
  <si>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</si>
  <si>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</si>
  <si>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</si>
  <si>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</si>
  <si>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</si>
  <si>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</si>
  <si>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</si>
  <si>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</si>
  <si>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</si>
  <si>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</si>
  <si>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</si>
  <si>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</si>
  <si>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</si>
  <si>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</si>
  <si>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</si>
  <si>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</si>
  <si>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</si>
  <si>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</si>
  <si>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</si>
  <si>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</si>
  <si>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</si>
  <si>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</si>
  <si>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</si>
  <si>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</si>
  <si>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</si>
  <si>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</si>
  <si>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</si>
  <si>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</si>
  <si>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</si>
  <si>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</si>
  <si>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</si>
  <si>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</si>
  <si>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</si>
  <si>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</si>
  <si>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</si>
  <si>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</si>
  <si>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</si>
  <si>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</si>
  <si>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</si>
  <si>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</si>
  <si>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</si>
  <si>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</si>
  <si>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</si>
  <si>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</si>
  <si>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</si>
  <si>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</si>
  <si>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</si>
  <si>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</si>
  <si>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</si>
  <si>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</si>
  <si>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</si>
  <si>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</si>
  <si>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</si>
  <si>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</si>
  <si>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</si>
  <si>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</si>
  <si>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</si>
  <si>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</si>
  <si>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</si>
  <si>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</si>
  <si>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</si>
  <si>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</si>
  <si>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</si>
  <si>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</si>
  <si>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</si>
  <si>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</si>
  <si>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</si>
  <si>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</si>
  <si>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</si>
  <si>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</si>
  <si>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</si>
  <si>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</si>
  <si>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</si>
  <si>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</si>
  <si>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</si>
  <si>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</si>
  <si>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</si>
  <si>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</si>
  <si>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</si>
  <si>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</si>
  <si>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</si>
  <si>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</si>
  <si>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</si>
  <si>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</si>
  <si>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</si>
  <si>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</si>
  <si>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</si>
  <si>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</si>
  <si>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</si>
  <si>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</si>
  <si>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</si>
  <si>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</si>
  <si>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</si>
  <si>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</si>
  <si>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</si>
  <si>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</si>
  <si>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</si>
  <si>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</si>
  <si>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</si>
  <si>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</si>
  <si>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</si>
  <si>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</si>
  <si>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</si>
  <si>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</si>
  <si>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</si>
  <si>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</si>
  <si>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</si>
  <si>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</si>
  <si>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</si>
  <si>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</si>
  <si>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</si>
  <si>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</si>
  <si>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</si>
  <si>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</si>
  <si>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</si>
  <si>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</si>
  <si>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</si>
  <si>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</si>
  <si>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</si>
  <si>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</si>
  <si>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</si>
  <si>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</si>
  <si>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</si>
  <si>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</si>
  <si>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</si>
  <si>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</si>
  <si>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</si>
  <si>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</si>
  <si>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</si>
  <si>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</si>
  <si>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</si>
  <si>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</si>
  <si>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</si>
  <si>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</si>
  <si>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</si>
  <si>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</si>
  <si>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</si>
  <si>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</si>
  <si>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</si>
  <si>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</si>
  <si>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</si>
  <si>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</si>
  <si>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</si>
  <si>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</si>
  <si>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</si>
  <si>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</si>
  <si>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</si>
  <si>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</si>
  <si>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</si>
  <si>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</si>
  <si>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</si>
  <si>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</si>
  <si>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</si>
  <si>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</si>
  <si>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</si>
  <si>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</si>
  <si>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</si>
  <si>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</si>
  <si>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</si>
  <si>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</si>
  <si>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</si>
  <si>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</si>
  <si>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</si>
  <si>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</si>
  <si>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</si>
  <si>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</si>
  <si>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</si>
  <si>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</si>
  <si>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</si>
  <si>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</si>
  <si>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</si>
  <si>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</si>
  <si>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</si>
  <si>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</si>
  <si>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</si>
  <si>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</si>
  <si>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</si>
  <si>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</si>
  <si>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</si>
  <si>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</si>
  <si>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</si>
  <si>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</si>
  <si>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</si>
  <si>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</si>
  <si>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</si>
  <si>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</si>
  <si>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</si>
  <si>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</si>
  <si>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</si>
  <si>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</si>
  <si>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</si>
  <si>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</si>
  <si>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</si>
  <si>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</si>
  <si>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</si>
  <si>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</si>
  <si>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</si>
  <si>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</si>
  <si>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</si>
  <si>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</si>
  <si>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</si>
  <si>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</si>
  <si>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</si>
  <si>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</si>
  <si>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</si>
  <si>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</si>
  <si>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</si>
  <si>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</si>
  <si>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</si>
  <si>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</si>
  <si>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</si>
  <si>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</si>
  <si>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</si>
  <si>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</si>
  <si>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</si>
  <si>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</si>
  <si>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</si>
  <si>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</si>
  <si>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</si>
  <si>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</si>
  <si>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</si>
  <si>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</si>
  <si>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</si>
  <si>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</si>
  <si>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</si>
  <si>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</si>
  <si>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</si>
  <si>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</si>
  <si>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</si>
  <si>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</si>
  <si>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</si>
  <si>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</si>
  <si>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</si>
  <si>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</si>
  <si>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</si>
  <si>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</si>
  <si>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</si>
  <si>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</si>
  <si>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</si>
  <si>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</si>
  <si>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</si>
  <si>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</si>
  <si>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</si>
  <si>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</si>
  <si>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</si>
  <si>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</si>
  <si>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</si>
  <si>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</si>
  <si>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</si>
  <si>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</si>
  <si>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</si>
  <si>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</si>
  <si>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</si>
  <si>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</si>
  <si>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</si>
  <si>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</si>
  <si>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</si>
  <si>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</si>
  <si>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</si>
  <si>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</si>
  <si>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</si>
  <si>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</si>
  <si>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</si>
  <si>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</si>
  <si>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</si>
  <si>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</si>
  <si>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</si>
  <si>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</si>
  <si>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</si>
  <si>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</si>
  <si>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</si>
  <si>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</si>
  <si>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</si>
  <si>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</si>
  <si>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</si>
  <si>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</si>
  <si>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</si>
  <si>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</si>
  <si>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</si>
  <si>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</si>
  <si>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</si>
  <si>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</si>
  <si>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</si>
  <si>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</si>
  <si>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</si>
  <si>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</si>
  <si>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</si>
  <si>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</si>
  <si>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</si>
  <si>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</si>
  <si>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</si>
  <si>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</si>
  <si>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</si>
  <si>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</si>
  <si>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</si>
  <si>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</si>
  <si>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</si>
  <si>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</si>
  <si>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</si>
  <si>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</si>
  <si>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</si>
  <si>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</si>
  <si>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</si>
  <si>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</si>
  <si>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</si>
  <si>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</si>
  <si>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</si>
  <si>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</si>
  <si>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</si>
  <si>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</si>
  <si>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</si>
  <si>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</si>
  <si>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</si>
  <si>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</si>
  <si>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</si>
  <si>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</si>
  <si>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</si>
  <si>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</si>
  <si>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</si>
  <si>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</si>
  <si>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</si>
  <si>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</si>
  <si>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</si>
  <si>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</si>
  <si>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</si>
  <si>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</si>
  <si>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</si>
  <si>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</si>
  <si>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</si>
  <si>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</si>
  <si>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</si>
  <si>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</si>
  <si>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</si>
  <si>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北京市</t>
  </si>
  <si>
    <t>企业</t>
  </si>
  <si>
    <t>核定资产</t>
  </si>
  <si>
    <t>房地产市场价值</t>
  </si>
  <si>
    <t>是</t>
  </si>
  <si>
    <t>地上</t>
  </si>
  <si>
    <t>工业</t>
    <phoneticPr fontId="7" type="noConversion"/>
  </si>
  <si>
    <t>成新度</t>
  </si>
  <si>
    <t>收益法 (元)</t>
  </si>
  <si>
    <t>钢混</t>
  </si>
  <si>
    <t>非生产用房</t>
  </si>
  <si>
    <r>
      <rPr>
        <sz val="10"/>
        <color theme="9" tint="-0.249977111117893"/>
        <rFont val="宋体"/>
        <family val="3"/>
        <charset val="134"/>
      </rPr>
      <t>北京市密云区云西三街</t>
    </r>
    <r>
      <rPr>
        <sz val="10"/>
        <color theme="9" tint="-0.249977111117893"/>
        <rFont val="Arial"/>
        <family val="2"/>
      </rPr>
      <t>3</t>
    </r>
    <r>
      <rPr>
        <sz val="10"/>
        <color theme="9" tint="-0.249977111117893"/>
        <rFont val="宋体"/>
        <family val="3"/>
        <charset val="134"/>
      </rPr>
      <t>号院</t>
    </r>
    <r>
      <rPr>
        <sz val="10"/>
        <color theme="9" tint="-0.249977111117893"/>
        <rFont val="Arial"/>
        <family val="2"/>
      </rPr>
      <t>2</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6</t>
    </r>
    <r>
      <rPr>
        <sz val="10"/>
        <color theme="9" tint="-0.249977111117893"/>
        <rFont val="宋体"/>
        <family val="3"/>
        <charset val="134"/>
      </rPr>
      <t>层</t>
    </r>
    <r>
      <rPr>
        <sz val="10"/>
        <color theme="9" tint="-0.249977111117893"/>
        <rFont val="Arial"/>
        <family val="2"/>
      </rPr>
      <t>101</t>
    </r>
    <r>
      <rPr>
        <sz val="10"/>
        <color theme="9" tint="-0.249977111117893"/>
        <rFont val="宋体"/>
        <family val="3"/>
        <charset val="134"/>
      </rPr>
      <t>实验检测楼</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</si>
</sst>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17828</xdr:colOff>
      <xdr:row>19</xdr:row>
      <xdr:rowOff>39566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771428" cy="3514286"/>
        </a:xfrm>
        <a:prstGeom prst="rect">
          <a:avLst/>
        </a:prstGeom>
      </xdr:spPr>
    </xdr:pic>
    <xdr:clientData/>
  </xdr:twoCellAnchor>
  <xdr:twoCellAnchor editAs="oneCell">
    <xdr:from>
      <xdr:col>0</xdr:col>
      <xdr:colOff>0</xdr:colOff>
      <xdr:row>19</xdr:row>
      <xdr:rowOff>91440</xdr:rowOff>
    </xdr:from>
    <xdr:to>
      <xdr:col>7</xdr:col>
      <xdr:colOff>399104</xdr:colOff>
      <xdr:row>39</xdr:row>
      <xdr:rowOff>33840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566160"/>
          <a:ext cx="4666304" cy="3600000"/>
        </a:xfrm>
        <a:prstGeom prst="rect">
          <a:avLst/>
        </a:prstGeom>
      </xdr:spPr>
    </xdr:pic>
    <xdr:clientData/>
  </xdr:twoCellAnchor>
  <xdr:twoCellAnchor editAs="oneCell">
    <xdr:from>
      <xdr:col>0</xdr:col>
      <xdr:colOff>0</xdr:colOff>
      <xdr:row>39</xdr:row>
      <xdr:rowOff>144780</xdr:rowOff>
    </xdr:from>
    <xdr:to>
      <xdr:col>15</xdr:col>
      <xdr:colOff>217905</xdr:colOff>
      <xdr:row>49</xdr:row>
      <xdr:rowOff>173123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277100"/>
          <a:ext cx="9361905" cy="18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北京市北京市密云区云西三街3号院2号楼-1至6层101实验检测楼房地产市场价值预评估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受贵公司委托，我公司对北京市北京市密云区云西三街3号院2号楼-1至6层101实验检测楼房地产市场价值进行了预评估。</v>
      </c>
    </row>
    <row r="7" spans="1:2" s="1203" customFormat="1">
      <c r="A7" s="1201" t="s">
        <v>566</v>
      </c>
      <c r="B7" s="1202" t="str">
        <f>'预评函-1'!A7</f>
        <v>估价对象为北京市北京市密云区云西三街3号院2号楼-1至6层101实验检测楼房地产，为所有。根据《国有土地使用证》[]，估价对象（分摊）出让国有建设用地使用权面积为9300平方米，建筑面积为5672.8平方米。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北京市密云区云西三街3号院2号楼-1至6层101实验检测楼房地产,属开发建设的，该项目尚在开发建设中。根据《国有土地使用证》[]，估价对象（分摊）出让国有建设用地使用权面积为9300平方米，规划建筑面积为5672.8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2025年12月31日</v>
      </c>
    </row>
    <row r="13" spans="1:2" s="1203" customFormat="1">
      <c r="A13" s="1201" t="s">
        <v>529</v>
      </c>
      <c r="B13" s="1202" t="str">
        <f>'预评函-1'!A18</f>
        <v>本次估价的“房地产价值”是指在正常市场情况下，在价值时点2025年12月31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本次评估采用的主估价方法为收益法和收益法。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北京市北京市密云区云西三街3号院2号楼-1至6层101实验检测楼房地产</v>
      </c>
    </row>
    <row r="42" spans="1:2" s="1203" customFormat="1" ht="31.2">
      <c r="A42" s="1201" t="s">
        <v>590</v>
      </c>
      <c r="B42" s="1202" t="str">
        <f>'预评函-3'!B2</f>
        <v>建筑面积</v>
      </c>
    </row>
    <row r="43" spans="1:2" s="1203" customFormat="1">
      <c r="A43" s="1201" t="s">
        <v>591</v>
      </c>
      <c r="B43" s="1202">
        <f>'预评函-3'!B4</f>
        <v>5672.8</v>
      </c>
    </row>
    <row r="44" spans="1:2" s="1203" customFormat="1" ht="31.2">
      <c r="A44" s="1201" t="s">
        <v>575</v>
      </c>
      <c r="B44" s="1202" t="str">
        <f>'预评函-3'!C2</f>
        <v>(分摊)土地面积</v>
      </c>
    </row>
    <row r="45" spans="1:2" s="1203" customFormat="1">
      <c r="A45" s="1201" t="s">
        <v>547</v>
      </c>
      <c r="B45" s="1202">
        <f>'预评函-3'!C4</f>
        <v>9300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AB13" sqref="AB13"/>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8" width="15.109375" style="1551" customWidth="1"/>
    <col min="29" max="16384" width="9" style="1507"/>
  </cols>
  <sheetData>
    <row r="1" spans="1:28" s="1545" customFormat="1" ht="43.2">
      <c r="A1" s="1539" t="s">
        <v>44</v>
      </c>
      <c r="B1" s="1540" t="s">
        <v>977</v>
      </c>
      <c r="C1" s="1541" t="s">
        <v>314</v>
      </c>
      <c r="D1" s="1543" t="s">
        <v>3349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c r="X1" s="1542" t="s">
        <v>673</v>
      </c>
      <c r="Y1" s="1542" t="s">
        <v>21</v>
      </c>
      <c r="Z1" s="1542" t="s">
        <v>3403</v>
      </c>
      <c r="AA1" s="1542" t="s">
        <v>3402</v>
      </c>
      <c r="AB1" s="1542" t="s">
        <v>3</v>
      </c>
    </row>
    <row r="2" spans="1:28">
      <c r="A2" s="1546" t="s">
        <v>19</v>
      </c>
      <c r="B2" s="1546" t="s">
        <v>993</v>
      </c>
      <c r="C2" s="1547" t="s">
        <v>315</v>
      </c>
      <c r="D2" s="1548" t="s">
        <v>994</v>
      </c>
      <c r="E2" s="1548" t="s">
        <v>995</v>
      </c>
      <c r="F2" s="1548" t="s">
        <v>996</v>
      </c>
      <c r="G2" s="1548">
        <v>20</v>
      </c>
      <c r="H2" s="1548" t="s">
        <v>996</v>
      </c>
      <c r="I2" s="1548" t="s">
        <v>3335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c r="X2" s="1551" t="s">
        <v>2439</v>
      </c>
      <c r="Y2" s="1551" t="s">
        <v>3409</v>
      </c>
      <c r="Z2" s="1551" t="s">
        <v>2452</v>
      </c>
      <c r="AA2" s="1551" t="s">
        <v>3410</v>
      </c>
      <c r="AB2" s="1551" t="s">
        <v>2479</v>
      </c>
    </row>
    <row r="3" spans="1:28">
      <c r="A3" s="1546" t="s">
        <v>1001</v>
      </c>
      <c r="B3" s="1549" t="s">
        <v>448</v>
      </c>
      <c r="C3" s="1550" t="s">
        <v>316</v>
      </c>
      <c r="D3" s="1548" t="s">
        <v>1002</v>
      </c>
      <c r="E3" s="1548" t="s">
        <v>13</v>
      </c>
      <c r="F3" s="1548" t="s">
        <v>1003</v>
      </c>
      <c r="G3" s="1548">
        <v>40</v>
      </c>
      <c r="H3" s="1548" t="s">
        <v>1003</v>
      </c>
      <c r="I3" s="1548" t="s">
        <v>3336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c r="X3" s="1551" t="s">
        <v>2441</v>
      </c>
      <c r="Z3" s="1551" t="s">
        <v>2454</v>
      </c>
      <c r="AB3" s="1551" t="s">
        <v>2481</v>
      </c>
    </row>
    <row r="4" spans="1:28">
      <c r="A4" s="1546" t="s">
        <v>1008</v>
      </c>
      <c r="B4" s="1546" t="s">
        <v>1009</v>
      </c>
      <c r="C4" s="1547" t="s">
        <v>317</v>
      </c>
      <c r="D4" s="1548" t="s">
        <v>389</v>
      </c>
      <c r="E4" s="1548" t="s">
        <v>1010</v>
      </c>
      <c r="F4" s="1548" t="s">
        <v>1011</v>
      </c>
      <c r="G4" s="1548">
        <v>50</v>
      </c>
      <c r="H4" s="1548" t="s">
        <v>1011</v>
      </c>
      <c r="I4" s="1548" t="s">
        <v>3337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c r="X4" s="1551" t="s">
        <v>2443</v>
      </c>
      <c r="Z4" s="1551" t="s">
        <v>2456</v>
      </c>
      <c r="AB4" s="1551" t="s">
        <v>2483</v>
      </c>
    </row>
    <row r="5" spans="1:28">
      <c r="A5" s="1546" t="s">
        <v>1014</v>
      </c>
      <c r="B5" s="1546" t="s">
        <v>1015</v>
      </c>
      <c r="C5" s="1547" t="s">
        <v>318</v>
      </c>
      <c r="F5" s="1548" t="s">
        <v>1016</v>
      </c>
      <c r="G5" s="1548">
        <v>70</v>
      </c>
      <c r="H5" s="1548" t="s">
        <v>1017</v>
      </c>
      <c r="I5" s="1548" t="s">
        <v>3338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c r="X5" s="1551" t="s">
        <v>2445</v>
      </c>
      <c r="Z5" s="1551" t="s">
        <v>2458</v>
      </c>
      <c r="AB5" s="1551" t="s">
        <v>3411</v>
      </c>
    </row>
    <row r="6" spans="1:28">
      <c r="A6" s="1546" t="s">
        <v>1020</v>
      </c>
      <c r="B6" s="1549" t="s">
        <v>449</v>
      </c>
      <c r="C6" s="1552" t="s">
        <v>24</v>
      </c>
      <c r="F6" s="1548" t="s">
        <v>1017</v>
      </c>
      <c r="H6" s="1548" t="s">
        <v>1021</v>
      </c>
      <c r="I6" s="1548" t="s">
        <v>3339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c r="X6" s="1551" t="s">
        <v>2447</v>
      </c>
      <c r="Z6" s="1551" t="s">
        <v>2460</v>
      </c>
      <c r="AB6" s="1551" t="s">
        <v>2486</v>
      </c>
    </row>
    <row r="7" spans="1:28">
      <c r="A7" s="1546" t="s">
        <v>1023</v>
      </c>
      <c r="B7" s="1549" t="s">
        <v>450</v>
      </c>
      <c r="C7" s="1547" t="s">
        <v>25</v>
      </c>
      <c r="F7" s="1548" t="s">
        <v>1024</v>
      </c>
      <c r="H7" s="1548" t="s">
        <v>1025</v>
      </c>
      <c r="I7" s="1548" t="s">
        <v>3340</v>
      </c>
      <c r="X7" s="1551" t="s">
        <v>2449</v>
      </c>
      <c r="Z7" s="1551" t="s">
        <v>2462</v>
      </c>
      <c r="AB7" s="1551" t="s">
        <v>2488</v>
      </c>
    </row>
    <row r="8" spans="1:28">
      <c r="A8" s="1546" t="s">
        <v>1026</v>
      </c>
      <c r="B8" s="1546" t="s">
        <v>1027</v>
      </c>
      <c r="C8" s="1547" t="s">
        <v>319</v>
      </c>
      <c r="F8" s="1548" t="s">
        <v>1028</v>
      </c>
      <c r="H8" s="1548" t="s">
        <v>2577</v>
      </c>
      <c r="I8" s="1548" t="s">
        <v>3341</v>
      </c>
      <c r="X8" s="1551" t="s">
        <v>3412</v>
      </c>
      <c r="Z8" s="1551" t="s">
        <v>2464</v>
      </c>
      <c r="AB8" s="1551" t="s">
        <v>2490</v>
      </c>
    </row>
    <row r="9" spans="1:28">
      <c r="A9" s="1546" t="s">
        <v>1029</v>
      </c>
      <c r="B9" s="1546" t="s">
        <v>1030</v>
      </c>
      <c r="C9" s="1547" t="s">
        <v>320</v>
      </c>
      <c r="F9" s="1548" t="s">
        <v>1031</v>
      </c>
      <c r="H9" s="1548"/>
      <c r="I9" s="1551" t="s">
        <v>3342</v>
      </c>
      <c r="X9" s="1551" t="s">
        <v>3413</v>
      </c>
      <c r="Z9" s="1551" t="s">
        <v>2466</v>
      </c>
      <c r="AB9" s="1551" t="s">
        <v>2492</v>
      </c>
    </row>
    <row r="10" spans="1:28">
      <c r="A10" s="1546" t="s">
        <v>1032</v>
      </c>
      <c r="B10" s="1546" t="s">
        <v>1033</v>
      </c>
      <c r="C10" s="1547" t="s">
        <v>321</v>
      </c>
      <c r="F10" s="1548" t="s">
        <v>2578</v>
      </c>
      <c r="I10" s="1551" t="s">
        <v>3343</v>
      </c>
      <c r="Z10" s="1551" t="s">
        <v>2468</v>
      </c>
      <c r="AB10" s="1551" t="s">
        <v>2494</v>
      </c>
    </row>
    <row r="11" spans="1:28">
      <c r="A11" s="1546" t="s">
        <v>1034</v>
      </c>
      <c r="B11" s="1546" t="s">
        <v>1035</v>
      </c>
      <c r="C11" s="1547" t="s">
        <v>322</v>
      </c>
      <c r="F11" s="1548" t="s">
        <v>13</v>
      </c>
      <c r="I11" s="1551" t="s">
        <v>3344</v>
      </c>
      <c r="Z11" s="1551" t="s">
        <v>2470</v>
      </c>
      <c r="AB11" s="1551" t="s">
        <v>2496</v>
      </c>
    </row>
    <row r="12" spans="1:28">
      <c r="A12" s="1546" t="s">
        <v>1036</v>
      </c>
      <c r="B12" s="1546" t="s">
        <v>1037</v>
      </c>
      <c r="C12" s="1547" t="s">
        <v>323</v>
      </c>
      <c r="I12" s="1551" t="s">
        <v>3345</v>
      </c>
      <c r="Z12" s="1551" t="s">
        <v>2472</v>
      </c>
      <c r="AB12" s="1551" t="s">
        <v>2498</v>
      </c>
    </row>
    <row r="13" spans="1:28">
      <c r="A13" s="1546" t="s">
        <v>1038</v>
      </c>
      <c r="B13" s="1546" t="s">
        <v>1039</v>
      </c>
      <c r="C13" s="1547" t="s">
        <v>324</v>
      </c>
      <c r="I13" s="1551" t="s">
        <v>3346</v>
      </c>
      <c r="Z13" s="1551" t="s">
        <v>2474</v>
      </c>
    </row>
    <row r="14" spans="1:28">
      <c r="A14" s="1546" t="s">
        <v>1040</v>
      </c>
      <c r="B14" s="1546" t="s">
        <v>1041</v>
      </c>
      <c r="C14" s="1548" t="s">
        <v>13</v>
      </c>
      <c r="I14" s="1551" t="s">
        <v>3347</v>
      </c>
      <c r="Z14" s="1551" t="s">
        <v>2476</v>
      </c>
    </row>
    <row r="15" spans="1:28">
      <c r="A15" s="1546" t="s">
        <v>1042</v>
      </c>
      <c r="B15" s="1546" t="s">
        <v>1043</v>
      </c>
      <c r="C15" s="1547"/>
      <c r="I15" s="1551" t="s">
        <v>3348</v>
      </c>
    </row>
    <row r="16" spans="1:28">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市密云区云西三街3号院2号楼-1至6层101实验检测楼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8"/>
      <c r="B54" s="1554" t="s">
        <v>385</v>
      </c>
      <c r="C54" s="1551" t="s">
        <v>583</v>
      </c>
    </row>
    <row r="55" spans="1:4">
      <c r="A55" s="3518"/>
      <c r="B55" s="1554" t="s">
        <v>386</v>
      </c>
      <c r="C55" s="1551" t="s">
        <v>584</v>
      </c>
    </row>
    <row r="56" spans="1:4">
      <c r="A56" s="3518"/>
      <c r="B56" s="1554" t="s">
        <v>387</v>
      </c>
      <c r="C56" s="1551" t="s">
        <v>588</v>
      </c>
    </row>
    <row r="57" spans="1:4">
      <c r="A57" s="351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F54" sqref="F54"/>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19" t="s">
        <v>2580</v>
      </c>
      <c r="J2" s="3519"/>
      <c r="K2" s="3519"/>
      <c r="L2" s="3519"/>
      <c r="M2" s="3519"/>
      <c r="N2" s="3519"/>
      <c r="O2" s="3519"/>
      <c r="P2" s="3519"/>
      <c r="Q2" s="3519"/>
      <c r="R2" s="3519"/>
    </row>
    <row r="3" spans="1:18">
      <c r="A3" s="3020" t="s">
        <v>2501</v>
      </c>
      <c r="B3" s="3021">
        <f>项目基本情况!D3</f>
        <v>46022</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0.96</v>
      </c>
      <c r="D5" s="3025">
        <f>IF(ISERROR(ROUND(POWER(1+E5,A5-C5)*(POWER(1+E5,C5)-1)/(POWER(1+E5,A5)-1),3)),0,ROUND(POWER(1+E5,A5-C5)*(POWER(1+E5,C5)-1)/(POWER(1+E5,A5)-1),4))</f>
        <v>4.6699999999999998E-2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10.97</v>
      </c>
      <c r="D6" s="3025">
        <f>IF(ISERROR(ROUND(POWER(1+E6,A6-C6)*(POWER(1+E6,C6)-1)/(POWER(1+E6,A6)-1),3)),0,ROUND(POWER(1+E6,A6-C6)*(POWER(1+E6,C6)-1)/(POWER(1+E6,A6)-1),4))</f>
        <v>0.40689999999999998</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30.98</v>
      </c>
      <c r="D7" s="3025">
        <f>IF(ISERROR(ROUND(POWER(1+E7,A7-C7)*(POWER(1+E7,C7)-1)/(POWER(1+E7,A7)-1),3)),0,ROUND(POWER(1+E7,A7-C7)*(POWER(1+E7,C7)-1)/(POWER(1+E7,A7)-1),4))</f>
        <v>0.75160000000000005</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5" thickBot="1">
      <c r="A18" s="3031" t="s">
        <v>2516</v>
      </c>
      <c r="B18" s="3032">
        <f>ROUND(B17*F11/F12,2)</f>
        <v>5541.87</v>
      </c>
      <c r="C18" s="3032">
        <f>ROUND(F11/F12,4)</f>
        <v>1.1521999999999999</v>
      </c>
      <c r="D18" s="3033"/>
      <c r="E18" s="3033"/>
      <c r="F18" s="3034"/>
    </row>
    <row r="19" spans="1:14" ht="15" thickBot="1"/>
    <row r="20" spans="1:14" s="3069" customFormat="1" ht="1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5" thickBot="1"/>
    <row r="49" spans="1:4">
      <c r="A49" s="3013" t="s">
        <v>3385</v>
      </c>
    </row>
    <row r="50" spans="1:4">
      <c r="A50" s="3449" t="s">
        <v>3386</v>
      </c>
      <c r="B50" s="3449" t="s">
        <v>3387</v>
      </c>
      <c r="C50" s="3449" t="s">
        <v>3388</v>
      </c>
      <c r="D50" s="3449" t="s">
        <v>3389</v>
      </c>
    </row>
    <row r="51" spans="1:4">
      <c r="A51" s="3449" t="s">
        <v>3390</v>
      </c>
      <c r="B51" s="3022">
        <f>B52+B53</f>
        <v>15000</v>
      </c>
      <c r="C51" s="3450">
        <f>D51/B51</f>
        <v>2666.6666666666665</v>
      </c>
      <c r="D51" s="3022">
        <f>D52+D53</f>
        <v>40000000</v>
      </c>
    </row>
    <row r="52" spans="1:4">
      <c r="A52" s="3451" t="s">
        <v>3391</v>
      </c>
      <c r="B52" s="3452">
        <v>10000</v>
      </c>
      <c r="C52" s="3452">
        <v>1500</v>
      </c>
      <c r="D52" s="3453">
        <f>C52*B52</f>
        <v>15000000</v>
      </c>
    </row>
    <row r="53" spans="1:4">
      <c r="A53" s="3451" t="s">
        <v>3392</v>
      </c>
      <c r="B53" s="3452">
        <v>5000</v>
      </c>
      <c r="C53" s="3452">
        <v>5000</v>
      </c>
      <c r="D53" s="3453">
        <f>C53*B53</f>
        <v>25000000</v>
      </c>
    </row>
    <row r="54" spans="1:4">
      <c r="A54" s="3449" t="s">
        <v>3393</v>
      </c>
      <c r="B54" s="3022">
        <f>B51</f>
        <v>15000</v>
      </c>
      <c r="C54" s="3029">
        <v>700</v>
      </c>
      <c r="D54" s="3022">
        <f t="shared" ref="D54:D55" si="5">C54*B54</f>
        <v>10500000</v>
      </c>
    </row>
    <row r="55" spans="1:4">
      <c r="A55" s="3449" t="s">
        <v>3394</v>
      </c>
      <c r="B55" s="3022">
        <f>B51</f>
        <v>15000</v>
      </c>
      <c r="C55" s="3029">
        <v>1500</v>
      </c>
      <c r="D55" s="3022">
        <f t="shared" si="5"/>
        <v>22500000</v>
      </c>
    </row>
    <row r="56" spans="1:4">
      <c r="A56" s="3449" t="s">
        <v>3395</v>
      </c>
      <c r="B56" s="3022">
        <f>B51</f>
        <v>15000</v>
      </c>
      <c r="C56" s="3454">
        <f>C51+C54+C55</f>
        <v>4866.6666666666661</v>
      </c>
      <c r="D56" s="3022">
        <f>D51+D54+D55</f>
        <v>73000000</v>
      </c>
    </row>
    <row r="58" spans="1:4">
      <c r="A58" s="3449" t="s">
        <v>3396</v>
      </c>
      <c r="B58" s="3455">
        <v>0.05</v>
      </c>
      <c r="C58" s="3022">
        <f>C56*(1+B58)</f>
        <v>5110</v>
      </c>
      <c r="D58" s="3022">
        <f>D56*B58</f>
        <v>3650000</v>
      </c>
    </row>
    <row r="60" spans="1:4">
      <c r="A60" s="3449" t="s">
        <v>3397</v>
      </c>
      <c r="B60" s="3029">
        <v>3500</v>
      </c>
      <c r="C60" s="3029">
        <f>C53</f>
        <v>5000</v>
      </c>
      <c r="D60" s="3022">
        <f>C60*B60</f>
        <v>17500000</v>
      </c>
    </row>
    <row r="62" spans="1:4">
      <c r="A62" s="3449" t="s">
        <v>3398</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F10" sqref="F10"/>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528" t="str">
        <f>IF(B10="北京市","北京市",C10)&amp;F10&amp;IF(结果表!G1="在建","出让国有建设用地使用权及在建建筑物",IF(结果表!G1="土地","出让国有建设用地使用权",))&amp;B9&amp;"预评估"</f>
        <v>北京市北京市密云区云西三街3号院2号楼-1至6层101实验检测楼房地产市场价值预评估</v>
      </c>
      <c r="C1" s="3529"/>
      <c r="D1" s="3529"/>
      <c r="E1" s="3529"/>
      <c r="F1" s="3529"/>
      <c r="G1" s="3529"/>
      <c r="H1" s="3529"/>
      <c r="I1" s="3530"/>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北京市北京市密云区云西三街3号院2号楼-1至6层101实验检测楼房地产市场价值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北京市北京市密云区云西三街3号院2号楼-1至6层101实验检测楼房地产</v>
      </c>
      <c r="T2" s="1745"/>
      <c r="U2" s="1745"/>
      <c r="V2" s="1745"/>
      <c r="W2" s="1745"/>
      <c r="X2" s="1745"/>
      <c r="Y2" s="1745"/>
      <c r="Z2" s="1745"/>
      <c r="AA2" s="1745"/>
      <c r="AB2" s="1745"/>
    </row>
    <row r="3" spans="1:30">
      <c r="A3" s="302" t="s">
        <v>2170</v>
      </c>
      <c r="B3" s="2373"/>
      <c r="C3" s="2374" t="s">
        <v>2171</v>
      </c>
      <c r="D3" s="2373">
        <v>46022</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3419</v>
      </c>
      <c r="C8" s="2390"/>
      <c r="D8" s="3531" t="s">
        <v>2177</v>
      </c>
      <c r="E8" s="2391"/>
      <c r="F8" s="2392"/>
      <c r="G8" s="2663"/>
      <c r="H8" s="2663"/>
      <c r="I8" s="2663"/>
      <c r="J8" s="2439"/>
      <c r="K8" s="2614"/>
      <c r="L8" s="2613"/>
      <c r="M8" s="2613"/>
      <c r="N8" s="2439"/>
      <c r="O8" s="2450"/>
      <c r="P8" s="2439"/>
      <c r="Q8" s="2439"/>
      <c r="R8" s="2439"/>
    </row>
    <row r="9" spans="1:30" ht="13.8" thickBot="1">
      <c r="A9" s="2393" t="s">
        <v>2178</v>
      </c>
      <c r="B9" s="2394" t="s">
        <v>3420</v>
      </c>
      <c r="C9" s="2395"/>
      <c r="D9" s="3532"/>
      <c r="E9" s="2394"/>
      <c r="F9" s="2396"/>
      <c r="G9" s="2665"/>
      <c r="H9" s="2665"/>
      <c r="I9" s="2665"/>
      <c r="J9" s="2439"/>
      <c r="K9" s="2616"/>
      <c r="L9" s="2613"/>
      <c r="M9" s="2613"/>
      <c r="N9" s="2439"/>
      <c r="O9" s="2450"/>
      <c r="P9" s="2439"/>
      <c r="Q9" s="2439"/>
      <c r="R9" s="2439"/>
    </row>
    <row r="10" spans="1:30" ht="13.8" thickTop="1">
      <c r="A10" s="2397" t="s">
        <v>2179</v>
      </c>
      <c r="B10" s="2398" t="s">
        <v>3417</v>
      </c>
      <c r="C10" s="2399"/>
      <c r="D10" s="2382"/>
      <c r="E10" s="2400" t="s">
        <v>2180</v>
      </c>
      <c r="F10" s="2666" t="s">
        <v>3428</v>
      </c>
      <c r="G10" s="2667"/>
      <c r="H10" s="2668"/>
      <c r="I10" s="2669"/>
      <c r="J10" s="2439"/>
      <c r="K10" s="2616"/>
      <c r="L10" s="2613"/>
      <c r="M10" s="2613"/>
      <c r="N10" s="2439"/>
      <c r="O10" s="2450"/>
      <c r="P10" s="2439"/>
      <c r="Q10" s="2439"/>
      <c r="R10" s="2439"/>
    </row>
    <row r="11" spans="1:30">
      <c r="A11" s="2401" t="s">
        <v>2181</v>
      </c>
      <c r="B11" s="2402" t="s">
        <v>3418</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3330</v>
      </c>
      <c r="B13" s="2407" t="s">
        <v>2190</v>
      </c>
      <c r="C13" s="856"/>
      <c r="D13" s="856"/>
      <c r="E13" s="856"/>
      <c r="F13" s="856"/>
      <c r="G13" s="856"/>
      <c r="H13" s="856">
        <v>59725</v>
      </c>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37.54</v>
      </c>
      <c r="I15" s="2410" t="str">
        <f>IF(A13="出让",IF(I13="","",ROUNDDOWN(MIN((I13-$D$3)/365,I14),2)),I14)</f>
        <v/>
      </c>
      <c r="J15" s="3064"/>
      <c r="K15" s="2451"/>
      <c r="L15" s="2451"/>
      <c r="M15" s="2509"/>
      <c r="N15" s="2451"/>
      <c r="O15" s="2509"/>
      <c r="P15" s="2439"/>
      <c r="Q15" s="2439"/>
      <c r="AD15" s="1745"/>
    </row>
    <row r="16" spans="1:30">
      <c r="A16" s="2400" t="s">
        <v>2193</v>
      </c>
      <c r="B16" s="3538"/>
      <c r="C16" s="3539"/>
      <c r="D16" s="3540"/>
      <c r="E16" s="2413" t="s">
        <v>2194</v>
      </c>
      <c r="F16" s="3541"/>
      <c r="G16" s="3542"/>
      <c r="H16" s="3542"/>
      <c r="I16" s="3543"/>
      <c r="J16" s="2439"/>
      <c r="K16" s="2617"/>
      <c r="L16" s="2451"/>
      <c r="M16" s="2451"/>
      <c r="N16" s="2509"/>
      <c r="O16" s="2451"/>
      <c r="P16" s="2509"/>
      <c r="Q16" s="2439"/>
      <c r="R16" s="2439"/>
    </row>
    <row r="17" spans="1:28">
      <c r="A17" s="313" t="s">
        <v>2195</v>
      </c>
      <c r="B17" s="302" t="s">
        <v>2196</v>
      </c>
      <c r="C17" s="8">
        <f>'数据-汇总表'!E3</f>
        <v>5672.8</v>
      </c>
      <c r="D17" s="2322" t="s">
        <v>2197</v>
      </c>
      <c r="E17" s="3544" t="s">
        <v>2198</v>
      </c>
      <c r="F17" s="3545"/>
      <c r="G17" s="3545"/>
      <c r="H17" s="3545"/>
      <c r="I17" s="3546"/>
      <c r="J17" s="2439"/>
      <c r="K17" s="2618"/>
      <c r="L17" s="2451"/>
      <c r="M17" s="2451"/>
      <c r="N17" s="2509"/>
      <c r="O17" s="2451"/>
      <c r="P17" s="2509"/>
      <c r="Q17" s="2439"/>
      <c r="R17" s="2439"/>
      <c r="S17" s="2439"/>
      <c r="T17" s="2439"/>
      <c r="U17" s="2439"/>
      <c r="V17" s="2439"/>
    </row>
    <row r="18" spans="1:28" ht="24.6" thickBot="1">
      <c r="A18" s="2414" t="s">
        <v>2199</v>
      </c>
      <c r="B18" s="1090" t="s">
        <v>2200</v>
      </c>
      <c r="C18" s="2415">
        <f>'数据-汇总表'!D3</f>
        <v>9300</v>
      </c>
      <c r="D18" s="1092" t="s">
        <v>2201</v>
      </c>
      <c r="E18" s="3547" t="s">
        <v>2202</v>
      </c>
      <c r="F18" s="3548"/>
      <c r="G18" s="3548"/>
      <c r="H18" s="3548"/>
      <c r="I18" s="3549"/>
      <c r="J18" s="2439"/>
      <c r="K18" s="2618"/>
      <c r="L18" s="2451"/>
      <c r="M18" s="2451"/>
      <c r="N18" s="2509"/>
      <c r="O18" s="2451"/>
      <c r="P18" s="2509"/>
      <c r="Q18" s="2439"/>
      <c r="R18" s="2439"/>
      <c r="S18" s="2439"/>
      <c r="T18" s="2439"/>
      <c r="U18" s="2439"/>
      <c r="V18" s="2439"/>
    </row>
    <row r="19" spans="1:28" ht="37.200000000000003"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34" t="s">
        <v>2206</v>
      </c>
      <c r="C20" s="3535"/>
      <c r="D20" s="3536" t="s">
        <v>2207</v>
      </c>
      <c r="E20" s="3537"/>
      <c r="F20" s="2647" t="s">
        <v>1056</v>
      </c>
      <c r="G20" s="2664"/>
      <c r="H20" s="2664"/>
      <c r="I20" s="2664"/>
      <c r="J20" s="2439"/>
      <c r="K20" s="3533"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2209</v>
      </c>
      <c r="C21" s="2634" t="s">
        <v>1057</v>
      </c>
      <c r="D21" s="1568" t="s">
        <v>2210</v>
      </c>
      <c r="E21" s="2635" t="s">
        <v>1057</v>
      </c>
      <c r="F21" s="2648"/>
      <c r="G21" s="2664"/>
      <c r="H21" s="2664"/>
      <c r="I21" s="2664"/>
      <c r="J21" s="2439"/>
      <c r="K21" s="353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2211</v>
      </c>
      <c r="C22" s="2634" t="s">
        <v>1058</v>
      </c>
      <c r="D22" s="2663"/>
      <c r="E22" s="2663"/>
      <c r="F22" s="2663"/>
      <c r="G22" s="2664"/>
      <c r="H22" s="2664"/>
      <c r="I22" s="2664"/>
      <c r="J22" s="2439"/>
      <c r="K22" s="353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21"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1"/>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1"/>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2"/>
      <c r="B30" s="302" t="s">
        <v>2218</v>
      </c>
      <c r="C30" s="3523"/>
      <c r="D30" s="3524"/>
      <c r="E30" s="2664"/>
      <c r="F30" s="2664"/>
      <c r="G30" s="2664"/>
      <c r="H30" s="2664"/>
      <c r="I30" s="2664"/>
      <c r="J30" s="2439"/>
      <c r="K30" s="2616"/>
      <c r="L30" s="2613"/>
      <c r="M30" s="2613"/>
      <c r="N30" s="2439"/>
      <c r="O30" s="2450"/>
      <c r="P30" s="2439"/>
      <c r="Q30" s="2439"/>
      <c r="R30" s="2439"/>
      <c r="S30" s="2439"/>
      <c r="T30" s="2439"/>
      <c r="U30" s="2439"/>
      <c r="V30" s="2439"/>
    </row>
    <row r="31" spans="1:28">
      <c r="A31" s="3525"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6"/>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6"/>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0" t="s">
        <v>2228</v>
      </c>
      <c r="T34" s="2428" t="str">
        <f>NUMBERSTRING(7-K34,1)&amp;"通"</f>
        <v>七通</v>
      </c>
      <c r="U34" s="2439"/>
      <c r="V34" s="2439"/>
    </row>
    <row r="35" spans="1:30">
      <c r="A35" s="2429"/>
      <c r="B35" s="3527" t="s">
        <v>2229</v>
      </c>
      <c r="C35" s="3527"/>
      <c r="D35" s="3527"/>
      <c r="E35" s="3527"/>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0"/>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election activeCell="K29" sqref="K29"/>
    </sheetView>
  </sheetViews>
  <sheetFormatPr defaultRowHeight="14.4"/>
  <sheetData/>
  <phoneticPr fontId="13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G22" sqref="G22"/>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v>9300</v>
      </c>
      <c r="B3" s="11">
        <f>IF(C3="否",G5-AT5,G5)</f>
        <v>5672.8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5672.8</v>
      </c>
      <c r="H5" s="13">
        <f t="shared" ref="H5:AT5" si="0">SUM(H13:H656)</f>
        <v>5672.8</v>
      </c>
      <c r="I5" s="13">
        <f t="shared" si="0"/>
        <v>5672.8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5672.8</v>
      </c>
      <c r="BA5" s="15">
        <f t="shared" si="1"/>
        <v>5672.8</v>
      </c>
      <c r="BB5" s="15">
        <f t="shared" si="1"/>
        <v>5672.8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9300</v>
      </c>
      <c r="F6" s="13" t="s">
        <v>0</v>
      </c>
      <c r="G6" s="13" t="s">
        <v>1</v>
      </c>
      <c r="H6" s="17">
        <f>SUMIF(I$12:AB$12,"总值",I6:AB6)</f>
        <v>9300</v>
      </c>
      <c r="I6" s="13">
        <f t="shared" ref="I6:AB6" si="2">ROUND($A$3*I5/$B$3,2)</f>
        <v>9300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9300</v>
      </c>
      <c r="AZ6" s="13" t="s">
        <v>2</v>
      </c>
      <c r="BA6" s="13">
        <f>ROUND($AY$6*BA5/$AZ$5,2)</f>
        <v>9300</v>
      </c>
      <c r="BB6" s="13">
        <f>ROUND($AY$6*BB5/$AZ$5,2)</f>
        <v>9300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3422</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3421</v>
      </c>
      <c r="E13" s="13">
        <f>IF($C$3="是",ROUND($A$3*G13/$B$3,2),ROUND($A$3*(G13-AT13)/$B$3,2))</f>
        <v>9300</v>
      </c>
      <c r="F13" s="29"/>
      <c r="G13" s="30">
        <f>H13+AC13+AT13</f>
        <v>5672.8</v>
      </c>
      <c r="H13" s="17">
        <f>SUMIF(I$12:AB$12,"总值",I13:AB13)</f>
        <v>5672.8</v>
      </c>
      <c r="I13" s="1626">
        <v>5672.8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9300</v>
      </c>
      <c r="AZ13" s="13">
        <f>BA13+BL13</f>
        <v>5672.8</v>
      </c>
      <c r="BA13" s="13">
        <f>SUM(BB13:BK13)</f>
        <v>5672.8</v>
      </c>
      <c r="BB13" s="13">
        <f>IF($D13="是",I13-J13,0)</f>
        <v>5672.8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59" t="s">
        <v>1131</v>
      </c>
      <c r="B2" s="3559"/>
      <c r="C2" s="3559"/>
      <c r="D2" s="796" t="s">
        <v>1107</v>
      </c>
      <c r="E2" s="1639" t="s">
        <v>1108</v>
      </c>
      <c r="F2" s="2659"/>
      <c r="G2" s="2650"/>
      <c r="H2" s="2651"/>
      <c r="I2" s="2325" t="s">
        <v>1132</v>
      </c>
      <c r="J2" s="2659"/>
      <c r="K2" s="2659"/>
      <c r="L2" s="2659"/>
      <c r="M2" s="2659"/>
      <c r="N2" s="2661"/>
      <c r="O2" s="2659"/>
      <c r="P2" s="2659"/>
    </row>
    <row r="3" spans="1:16" ht="15" thickBot="1">
      <c r="A3" s="3560" t="s">
        <v>1105</v>
      </c>
      <c r="B3" s="3560"/>
      <c r="C3" s="3560"/>
      <c r="D3" s="43">
        <f>'数据-基础表'!AY6</f>
        <v>9300</v>
      </c>
      <c r="E3" s="43">
        <f>'数据-基础表'!AZ5</f>
        <v>5672.8</v>
      </c>
      <c r="F3" s="2659"/>
      <c r="G3" s="1145"/>
      <c r="H3" s="1026" t="s">
        <v>1106</v>
      </c>
      <c r="I3" s="855">
        <f>ROUND('数据-基础表'!B3/'数据-基础表'!A3,2)</f>
        <v>0.61</v>
      </c>
      <c r="J3" s="2659"/>
      <c r="K3" s="2659"/>
      <c r="L3" s="2659"/>
      <c r="M3" s="2659"/>
      <c r="N3" s="2661"/>
      <c r="O3" s="2659"/>
      <c r="P3" s="2659"/>
    </row>
    <row r="4" spans="1:16" ht="14.4">
      <c r="A4" s="3561"/>
      <c r="B4" s="3562"/>
      <c r="C4" s="3563"/>
      <c r="D4" s="1641" t="s">
        <v>1107</v>
      </c>
      <c r="E4" s="1642" t="s">
        <v>1108</v>
      </c>
      <c r="F4" s="2659"/>
      <c r="G4" s="2652" t="s">
        <v>1133</v>
      </c>
      <c r="H4" s="1026" t="s">
        <v>1113</v>
      </c>
      <c r="I4" s="855">
        <f>ROUND(SUMIF('数据-基础表'!I9:AS9,"地上",'数据-基础表'!I5:AS5)/'数据-基础表'!A3,2)</f>
        <v>0.61</v>
      </c>
      <c r="J4" s="2659"/>
      <c r="K4" s="2659"/>
      <c r="L4" s="2659"/>
      <c r="M4" s="2659"/>
      <c r="N4" s="2661"/>
      <c r="O4" s="2659"/>
      <c r="P4" s="2659"/>
    </row>
    <row r="5" spans="1:16" ht="14.4">
      <c r="A5" s="44" t="s">
        <v>1109</v>
      </c>
      <c r="B5" s="3564" t="s">
        <v>1110</v>
      </c>
      <c r="C5" s="3564"/>
      <c r="D5" s="45">
        <f>ROUND($D$3*E5/$E$3,2)</f>
        <v>0</v>
      </c>
      <c r="E5" s="46">
        <f>SUMIF('数据-基础表'!$11:$11,"住宅",'数据-基础表'!$5:$5)</f>
        <v>0</v>
      </c>
      <c r="F5" s="2659"/>
      <c r="G5" s="1145"/>
      <c r="H5" s="1026" t="s">
        <v>1106</v>
      </c>
      <c r="I5" s="855">
        <f>ROUND(E31/D31,2)</f>
        <v>0.61</v>
      </c>
      <c r="J5" s="2659"/>
      <c r="K5" s="2659"/>
      <c r="L5" s="2659"/>
      <c r="M5" s="2659"/>
      <c r="N5" s="2659"/>
      <c r="O5" s="2659"/>
      <c r="P5" s="2659"/>
    </row>
    <row r="6" spans="1:16" ht="15" thickBot="1">
      <c r="A6" s="1644"/>
      <c r="B6" s="3564" t="s">
        <v>1111</v>
      </c>
      <c r="C6" s="3564"/>
      <c r="D6" s="45">
        <f>ROUND($D$3*E6/$E$3,2)</f>
        <v>9300</v>
      </c>
      <c r="E6" s="46">
        <f>E3-E5</f>
        <v>5672.8</v>
      </c>
      <c r="F6" s="2659"/>
      <c r="G6" s="2653" t="s">
        <v>1112</v>
      </c>
      <c r="H6" s="1146" t="s">
        <v>1113</v>
      </c>
      <c r="I6" s="2654">
        <f>ROUND(F31/D31,2)</f>
        <v>0.61</v>
      </c>
      <c r="J6" s="2659"/>
      <c r="K6" s="2659"/>
      <c r="L6" s="2659"/>
      <c r="M6" s="2659"/>
      <c r="N6" s="2659"/>
      <c r="O6" s="2659"/>
      <c r="P6" s="2659"/>
    </row>
    <row r="7" spans="1:16" ht="15" thickBot="1">
      <c r="A7" s="3556"/>
      <c r="B7" s="3557"/>
      <c r="C7" s="3558"/>
      <c r="D7" s="1641" t="s">
        <v>1107</v>
      </c>
      <c r="E7" s="1645" t="s">
        <v>1114</v>
      </c>
      <c r="F7" s="2659"/>
      <c r="G7" s="2655" t="s">
        <v>1115</v>
      </c>
      <c r="H7" s="2656"/>
      <c r="I7" s="2657"/>
      <c r="J7" s="2659"/>
      <c r="K7" s="2659"/>
      <c r="L7" s="2659"/>
      <c r="M7" s="2659"/>
      <c r="N7" s="2659"/>
      <c r="O7" s="2659"/>
      <c r="P7" s="2659"/>
    </row>
    <row r="8" spans="1:16" ht="14.4">
      <c r="A8" s="44" t="s">
        <v>1116</v>
      </c>
      <c r="B8" s="47" t="s">
        <v>1117</v>
      </c>
      <c r="C8" s="45" t="s">
        <v>1118</v>
      </c>
      <c r="D8" s="45">
        <f t="shared" ref="D8:D15" si="0">ROUND($D$3*E8/$E$3,2)</f>
        <v>9300</v>
      </c>
      <c r="E8" s="48">
        <f>SUMIF('数据-基础表'!BB10:BK10,"地上",'数据-基础表'!BB5:BK5)</f>
        <v>5672.8</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9300</v>
      </c>
      <c r="E16" s="50">
        <f>SUM(E8:E15)</f>
        <v>5672.8</v>
      </c>
      <c r="F16" s="2659"/>
      <c r="G16" s="2660"/>
      <c r="H16" s="1648" t="s">
        <v>1135</v>
      </c>
      <c r="I16" s="1649"/>
      <c r="J16" s="1139"/>
      <c r="K16" s="3553" t="s">
        <v>1135</v>
      </c>
      <c r="L16" s="3554"/>
      <c r="M16" s="3554"/>
      <c r="N16" s="3554"/>
      <c r="O16" s="3554"/>
      <c r="P16" s="3555"/>
    </row>
    <row r="17" spans="1:19" ht="14.4">
      <c r="A17" s="1650" t="s">
        <v>1136</v>
      </c>
      <c r="B17" s="1651" t="s">
        <v>1137</v>
      </c>
      <c r="C17" s="1652" t="s">
        <v>1138</v>
      </c>
      <c r="D17" s="1653" t="s">
        <v>1126</v>
      </c>
      <c r="E17" s="1654" t="s">
        <v>1127</v>
      </c>
      <c r="F17" s="1655"/>
      <c r="G17" s="1656"/>
      <c r="H17" s="1657" t="s">
        <v>1139</v>
      </c>
      <c r="I17" s="1658" t="s">
        <v>1124</v>
      </c>
      <c r="J17" s="1139"/>
      <c r="K17" s="3550" t="s">
        <v>1140</v>
      </c>
      <c r="L17" s="3551"/>
      <c r="M17" s="3552"/>
      <c r="N17" s="3550" t="s">
        <v>1141</v>
      </c>
      <c r="O17" s="3551"/>
      <c r="P17" s="3552"/>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3423</v>
      </c>
      <c r="D19" s="45">
        <f>ROUND($D$3*E19/$E$3,2)</f>
        <v>9300</v>
      </c>
      <c r="E19" s="53">
        <f t="shared" ref="E19:E26" si="1">SUM(F19:G19)</f>
        <v>5672.8</v>
      </c>
      <c r="F19" s="2795">
        <f>'数据-基础表'!I13</f>
        <v>5672.8</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9300</v>
      </c>
      <c r="S19" s="1027">
        <f t="shared" si="5"/>
        <v>5672.8</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9300</v>
      </c>
      <c r="E27" s="1141">
        <f>IF(SUM(E19:E26)='数据-基础表'!BA5,SUM(E19:E26),IF(F27="地上面积有误","面积有误","地下面积有误"))</f>
        <v>5672.8</v>
      </c>
      <c r="F27" s="1140">
        <f>IF(SUM(F19:F26)=E8,SUM(F19:F26),"地上面积有误")</f>
        <v>5672.8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9300</v>
      </c>
      <c r="S27" s="1026">
        <f>IF(SUM(S19:S26)=$E$3,SUM(S19:S26),SUM(S19:S26)&amp;"误差"&amp;ROUND(SUM(S19:S26)-E3,2))</f>
        <v>5672.8</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9300</v>
      </c>
      <c r="E31" s="676">
        <f>E27+E30</f>
        <v>5672.8</v>
      </c>
      <c r="F31" s="677">
        <f>F27+F30</f>
        <v>5672.8</v>
      </c>
      <c r="G31" s="678">
        <f>G27+G30</f>
        <v>0</v>
      </c>
      <c r="H31" s="2659"/>
      <c r="I31" s="2659"/>
      <c r="J31" s="2659"/>
      <c r="K31" s="2659"/>
      <c r="L31" s="2659"/>
      <c r="M31" s="2659"/>
      <c r="N31" s="2659"/>
      <c r="O31" s="2659"/>
      <c r="P31" s="2659"/>
    </row>
    <row r="32" spans="1:19" ht="14.4">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O6" activePane="bottomRight" state="frozen"/>
      <selection activeCell="C50" sqref="C50"/>
      <selection pane="topRight" activeCell="C50" sqref="C50"/>
      <selection pane="bottomLeft" activeCell="C50" sqref="C50"/>
      <selection pane="bottomRight" activeCell="B28" sqref="B28"/>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46022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3424</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工业</v>
      </c>
      <c r="B6" s="1713" t="str">
        <f>IF(A6=0,"","经营性")</f>
        <v>经营性</v>
      </c>
      <c r="C6" s="1714" t="s">
        <v>3</v>
      </c>
      <c r="D6" s="858">
        <f>SUMIF(项目基本情况!C$12:I$12,C6,项目基本情况!C$14:I$14)</f>
        <v>50</v>
      </c>
      <c r="E6" s="857">
        <f>IF(B6="","",SUMIF(项目基本情况!C$12:I$12,C6,项目基本情况!C$13:I$13))</f>
        <v>59725</v>
      </c>
      <c r="F6" s="64">
        <f>SUMIF(项目基本情况!C$12:I$12,C6,项目基本情况!C$15:I$15)</f>
        <v>37.54</v>
      </c>
      <c r="G6" s="65">
        <f>IF(ISERROR(ROUND(POWER(1+H6,D6-F6)*(POWER(1+H6,F6)-1)/(POWER(1+H6,D6)-1),3)),0,ROUND(POWER(1+H6,D6-F6)*(POWER(1+H6,F6)-1)/(POWER(1+H6,D6)-1),3))</f>
        <v>0.89700000000000002</v>
      </c>
      <c r="H6" s="732">
        <v>0.04</v>
      </c>
      <c r="I6" s="732">
        <v>0.05</v>
      </c>
      <c r="J6" s="66"/>
      <c r="K6" s="1030">
        <f>SUMIF('数据-汇总表'!C$19:C$33,A6,'数据-汇总表'!E$19:E$33)</f>
        <v>5672.8</v>
      </c>
      <c r="L6" s="733">
        <v>5000</v>
      </c>
      <c r="M6" s="67">
        <f t="shared" ref="M6:M14" si="0">ROUND(K6*L6/10000,0)</f>
        <v>2836</v>
      </c>
      <c r="N6" s="731">
        <v>0.85</v>
      </c>
      <c r="O6" s="67" t="str">
        <f>IF($N$5="成新度","——",ROUND(M6*N6,0))</f>
        <v>——</v>
      </c>
      <c r="P6" s="68" t="str">
        <f>IF($N$5="成新度","——",M6-O6)</f>
        <v>——</v>
      </c>
      <c r="Q6" s="734">
        <v>0.1</v>
      </c>
      <c r="R6" s="69">
        <f ca="1">SUMIF('数据-汇总表'!C$19:C$33,A6,'数据-汇总表'!R$19:R$27)</f>
        <v>9300</v>
      </c>
      <c r="S6" s="51">
        <f>IF('数据-汇总表'!$I$17="按面积比例",SUMIF('数据-汇总表'!C$19:C$33,A6,'数据-汇总表'!K$19:K$33),SUMIF('数据-汇总表'!C$19:C$33,A6,'数据-汇总表'!N$19:N$33))</f>
        <v>0</v>
      </c>
      <c r="T6" s="1172">
        <f>ROUND($L$14*S6/10000,0)</f>
        <v>0</v>
      </c>
      <c r="U6" s="3428">
        <v>1.5</v>
      </c>
      <c r="V6" s="70">
        <v>1.4999999999999999E-2</v>
      </c>
      <c r="W6" s="70">
        <v>0.4</v>
      </c>
      <c r="X6" s="1040"/>
      <c r="Y6" s="71">
        <f>N6</f>
        <v>0.85</v>
      </c>
      <c r="Z6" s="72"/>
      <c r="AA6" s="66"/>
      <c r="AB6" s="66"/>
      <c r="AC6" s="1040"/>
      <c r="AD6" s="73"/>
      <c r="AE6" s="1041">
        <f ca="1">IF(AN6="",0,SUMIF(INDIRECT("'"&amp;AN6&amp;"'"&amp;"!E:E"),$AE$5,INDIRECT("'"&amp;AN6&amp;"'"&amp;"!F:F")))</f>
        <v>37.54</v>
      </c>
      <c r="AF6" s="1348"/>
      <c r="AG6" s="138">
        <f>IF(AF6="",0,AE6-AF6)</f>
        <v>0</v>
      </c>
      <c r="AH6" s="74">
        <f>'数据-汇总表'!F19</f>
        <v>5672.8</v>
      </c>
      <c r="AI6" s="76">
        <v>365</v>
      </c>
      <c r="AJ6" s="77"/>
      <c r="AK6" s="78">
        <v>2E-3</v>
      </c>
      <c r="AL6" s="79">
        <v>1.5E-3</v>
      </c>
      <c r="AM6" s="80">
        <v>0.01</v>
      </c>
      <c r="AN6" s="1715" t="s">
        <v>3425</v>
      </c>
      <c r="AO6" s="52">
        <f ca="1">SUMIF(INDIRECT("'"&amp;AN6&amp;"'"&amp;"!A:A"),"总价",INDIRECT("'"&amp;AN6&amp;"'"&amp;"!B:B"))</f>
        <v>3066.9998999999998</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f>ROUND(SUMPRODUCT(G6:G13,K6:K13)/SUMPRODUCT((G6:G13&gt;0)*(K6:K13)),3)</f>
        <v>0.89700000000000002</v>
      </c>
      <c r="H16" s="90">
        <f>ROUND(SUMPRODUCT(H6:H13,K6:K13)/SUMPRODUCT((H6:H13&gt;0)*(K6:K13)),3)</f>
        <v>0.04</v>
      </c>
      <c r="I16" s="91"/>
      <c r="J16" s="91"/>
      <c r="K16" s="92">
        <f>SUM(K6:K15)</f>
        <v>5672.8</v>
      </c>
      <c r="L16" s="93">
        <f>ROUND(M16*10000/SUM(K6:K14),0)</f>
        <v>4999</v>
      </c>
      <c r="M16" s="93">
        <f>SUM(M6:M14)</f>
        <v>2836</v>
      </c>
      <c r="N16" s="94">
        <f>ROUND(SUMPRODUCT(M6:M14,N6:N14)/M16,3)</f>
        <v>0.85</v>
      </c>
      <c r="O16" s="93">
        <f>SUM(O6:O14)</f>
        <v>0</v>
      </c>
      <c r="P16" s="93">
        <f>SUM(P6:P14)</f>
        <v>0</v>
      </c>
      <c r="Q16" s="95">
        <f>ROUND(SUMPRODUCT(Q6:Q13,K6:K13)/SUMPRODUCT((Q6:Q13&gt;0)*(K6:K13)),2)</f>
        <v>0.1</v>
      </c>
      <c r="R16" s="1034">
        <f ca="1">SUM(R6:R13)</f>
        <v>9300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v>0</v>
      </c>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2</v>
      </c>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0.1</v>
      </c>
      <c r="C33" s="2803" t="s">
        <v>3381</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v>
      </c>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3399</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0.02</v>
      </c>
      <c r="C37" s="2803" t="s">
        <v>3382</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0.02</v>
      </c>
      <c r="C38" s="2803" t="s">
        <v>3383</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4.4" thickBot="1">
      <c r="A40" s="2815" t="s">
        <v>2310</v>
      </c>
      <c r="B40" s="1078">
        <f ca="1">IF(A40="利息：取LPR",存贷款利率!G1,存贷款利率!G1+C40)</f>
        <v>3.1300000000000001E-2</v>
      </c>
      <c r="C40" s="2814"/>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7.0000000000000007E-2</v>
      </c>
      <c r="C44" s="2803" t="s">
        <v>3384</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t="s">
        <v>29</v>
      </c>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32" sqref="F32:F3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65" t="s">
        <v>2286</v>
      </c>
      <c r="B1" s="3566"/>
      <c r="C1" s="3566"/>
      <c r="D1" s="3566"/>
      <c r="E1" s="3566"/>
      <c r="F1" s="3566"/>
      <c r="G1" s="3566"/>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7.200000000000003">
      <c r="A4" s="2442"/>
      <c r="B4" s="323" t="s">
        <v>2254</v>
      </c>
      <c r="C4" s="2468" t="s">
        <v>2255</v>
      </c>
      <c r="D4" s="2465"/>
      <c r="E4" s="2469"/>
      <c r="F4" s="1373" t="s">
        <v>2256</v>
      </c>
      <c r="G4" s="2470" t="s">
        <v>2257</v>
      </c>
      <c r="H4" s="799"/>
      <c r="I4" s="799"/>
      <c r="J4" s="799"/>
      <c r="K4" s="799"/>
      <c r="L4" s="799"/>
      <c r="M4" s="799"/>
      <c r="N4" s="799"/>
      <c r="O4" s="799"/>
      <c r="P4" s="799"/>
      <c r="Q4" s="799"/>
      <c r="R4" s="799"/>
    </row>
    <row r="5" spans="1:29" ht="37.200000000000003">
      <c r="A5" s="2442"/>
      <c r="B5" s="323" t="s">
        <v>2258</v>
      </c>
      <c r="C5" s="2468" t="s">
        <v>2259</v>
      </c>
      <c r="D5" s="2465"/>
      <c r="E5" s="2469"/>
      <c r="F5" s="323" t="s">
        <v>2260</v>
      </c>
      <c r="G5" s="2470" t="s">
        <v>2261</v>
      </c>
      <c r="H5" s="799"/>
      <c r="I5" s="799"/>
      <c r="J5" s="799"/>
      <c r="K5" s="799"/>
      <c r="L5" s="799"/>
      <c r="M5" s="799"/>
      <c r="N5" s="799"/>
      <c r="O5" s="799"/>
      <c r="P5" s="799"/>
      <c r="Q5" s="799"/>
      <c r="R5" s="799"/>
    </row>
    <row r="6" spans="1:29" ht="48">
      <c r="A6" s="2442"/>
      <c r="B6" s="323" t="s">
        <v>2262</v>
      </c>
      <c r="C6" s="2470" t="s">
        <v>2257</v>
      </c>
      <c r="D6" s="2465"/>
      <c r="E6" s="2469"/>
      <c r="F6" s="323" t="s">
        <v>2263</v>
      </c>
      <c r="G6" s="2470" t="s">
        <v>2264</v>
      </c>
      <c r="H6" s="799"/>
      <c r="I6" s="799"/>
      <c r="J6" s="799"/>
      <c r="K6" s="799"/>
      <c r="L6" s="799"/>
      <c r="M6" s="799"/>
      <c r="N6" s="799"/>
      <c r="O6" s="799"/>
      <c r="P6" s="799"/>
      <c r="Q6" s="799"/>
      <c r="R6" s="799"/>
    </row>
    <row r="7" spans="1:29" ht="36.6"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ht="24">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4.4"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2287</v>
      </c>
      <c r="B13" s="2484"/>
      <c r="C13" s="2484"/>
      <c r="D13" s="2482"/>
      <c r="E13" s="2484"/>
      <c r="F13" s="2484"/>
      <c r="G13" s="2484"/>
    </row>
    <row r="14" spans="1:29" ht="14.4" thickBot="1">
      <c r="A14" s="2494"/>
      <c r="B14" s="2494"/>
      <c r="C14" s="2495" t="s">
        <v>2270</v>
      </c>
      <c r="D14" s="2465"/>
      <c r="E14" s="2496"/>
      <c r="F14" s="2496"/>
      <c r="G14" s="2460" t="s">
        <v>2271</v>
      </c>
    </row>
    <row r="15" spans="1:29" ht="52.8">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9.6">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9.6">
      <c r="A17" s="2446"/>
      <c r="B17" s="2500" t="s">
        <v>2258</v>
      </c>
      <c r="C17" s="2501" t="str">
        <f>C5</f>
        <v>估价对象位于XX商圈，周边办公楼项目较多，入驻率高，办公集聚程度较好</v>
      </c>
      <c r="D17" s="2471"/>
      <c r="E17" s="2447"/>
      <c r="F17" s="2502" t="s">
        <v>2275</v>
      </c>
      <c r="G17" s="2504"/>
    </row>
    <row r="18" spans="1:18" ht="52.8">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6.4">
      <c r="A19" s="2446"/>
      <c r="B19" s="2502" t="s">
        <v>2276</v>
      </c>
      <c r="C19" s="2504"/>
      <c r="D19" s="2465"/>
      <c r="E19" s="2447"/>
      <c r="F19" s="323" t="s">
        <v>2260</v>
      </c>
      <c r="G19" s="2503" t="str">
        <f>G5</f>
        <v>估价对象所在区域公共配套设施齐备情况</v>
      </c>
    </row>
    <row r="20" spans="1:18" ht="26.4">
      <c r="A20" s="2446"/>
      <c r="B20" s="2502" t="s">
        <v>2277</v>
      </c>
      <c r="C20" s="2501" t="str">
        <f>C9</f>
        <v>区域自然环境：；人文环境；综合评价环境状况一般</v>
      </c>
      <c r="D20" s="2471"/>
      <c r="E20" s="2447"/>
      <c r="F20" s="323" t="s">
        <v>2263</v>
      </c>
      <c r="G20" s="2503" t="str">
        <f>G6</f>
        <v>估价对象所在区域基础设施水平</v>
      </c>
    </row>
    <row r="21" spans="1:18" ht="26.4">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4.4"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4.4"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0</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46022</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SUM(D14:D23)</f>
        <v>0</v>
      </c>
      <c r="C5" s="2512">
        <f ca="1">IF(B5=D14,结果表!H102,ROUND(B5*10000/$B$1,0))</f>
        <v>0</v>
      </c>
      <c r="D5" s="2512" t="e">
        <f>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3354</v>
      </c>
      <c r="D10" s="2512" t="s">
        <v>3355</v>
      </c>
      <c r="E10" s="3441"/>
      <c r="F10" s="3445" t="s">
        <v>3356</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c r="C14" s="2518"/>
      <c r="D14" s="2518"/>
      <c r="E14" s="2518" t="e">
        <f>ROUND(D14*10000/B14,0)</f>
        <v>#DIV/0!</v>
      </c>
      <c r="F14" s="2518" t="e">
        <f>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D4" sqref="D4"/>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1" t="str">
        <f>项目基本情况!S2</f>
        <v>北京市北京市密云区云西三街3号院2号楼-1至6层101实验检测楼房地产</v>
      </c>
      <c r="B2" s="3602"/>
      <c r="C2" s="3602"/>
      <c r="D2" s="3602"/>
      <c r="E2" s="3602"/>
      <c r="F2" s="3602"/>
      <c r="G2" s="3602"/>
      <c r="H2" s="3602"/>
      <c r="I2" s="3603"/>
    </row>
    <row r="3" spans="1:12" ht="13.2">
      <c r="A3" s="3605" t="s">
        <v>1264</v>
      </c>
      <c r="B3" s="3606"/>
      <c r="C3" s="3606"/>
      <c r="D3" s="3606"/>
      <c r="E3" s="3606"/>
      <c r="F3" s="3606"/>
      <c r="G3" s="3606"/>
      <c r="H3" s="3606"/>
      <c r="I3" s="3606"/>
    </row>
    <row r="4" spans="1:12" ht="14.4">
      <c r="A4" s="1754" t="s">
        <v>1265</v>
      </c>
      <c r="B4" s="1755" t="s">
        <v>1266</v>
      </c>
      <c r="C4" s="1756" t="s">
        <v>3425</v>
      </c>
      <c r="D4" s="1756" t="s">
        <v>3425</v>
      </c>
      <c r="E4" s="3607" t="s">
        <v>1267</v>
      </c>
      <c r="F4" s="3608"/>
      <c r="G4" s="3608"/>
      <c r="H4" s="3608"/>
      <c r="I4" s="3609"/>
      <c r="K4" s="146" t="str">
        <f>IF(ISNUMBER(FIND("比较法",结果表!C4)),"比较法",IF(ISNUMBER(FIND("成本法",结果表!C4)),"成本法",IF(ISNUMBER(FIND("假设开发法",结果表!C4)),"假设开发法",IF(ISNUMBER(FIND("收益法",结果表!C4)),"收益法","基准地价系数修正法"))))</f>
        <v>收益法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581" t="s">
        <v>1268</v>
      </c>
      <c r="B5" s="3568">
        <v>25</v>
      </c>
      <c r="C5" s="3584">
        <v>10</v>
      </c>
      <c r="D5" s="3604">
        <v>0</v>
      </c>
      <c r="E5" s="131" t="s">
        <v>1269</v>
      </c>
      <c r="F5" s="1757"/>
      <c r="G5" s="1757"/>
      <c r="H5" s="1757"/>
      <c r="I5" s="1373"/>
    </row>
    <row r="6" spans="1:12" ht="13.2">
      <c r="A6" s="3581"/>
      <c r="B6" s="3568"/>
      <c r="C6" s="3585"/>
      <c r="D6" s="3604"/>
      <c r="E6" s="131" t="s">
        <v>1270</v>
      </c>
      <c r="F6" s="1757"/>
      <c r="G6" s="1757"/>
      <c r="H6" s="1757"/>
      <c r="I6" s="1373"/>
    </row>
    <row r="7" spans="1:12" ht="13.2">
      <c r="A7" s="3581"/>
      <c r="B7" s="3568"/>
      <c r="C7" s="3586"/>
      <c r="D7" s="3604"/>
      <c r="E7" s="131" t="s">
        <v>1271</v>
      </c>
      <c r="F7" s="1757"/>
      <c r="G7" s="1757"/>
      <c r="H7" s="1757"/>
      <c r="I7" s="1373"/>
    </row>
    <row r="8" spans="1:12" ht="13.2">
      <c r="A8" s="3581" t="s">
        <v>1272</v>
      </c>
      <c r="B8" s="3568">
        <v>15</v>
      </c>
      <c r="C8" s="3584"/>
      <c r="D8" s="3604"/>
      <c r="E8" s="131" t="s">
        <v>1273</v>
      </c>
      <c r="F8" s="1757"/>
      <c r="G8" s="1757"/>
      <c r="H8" s="1757"/>
      <c r="I8" s="1373"/>
    </row>
    <row r="9" spans="1:12" ht="13.2">
      <c r="A9" s="3581"/>
      <c r="B9" s="3568"/>
      <c r="C9" s="3586"/>
      <c r="D9" s="3604"/>
      <c r="E9" s="131" t="s">
        <v>1274</v>
      </c>
      <c r="F9" s="1757"/>
      <c r="G9" s="1757"/>
      <c r="H9" s="1757"/>
      <c r="I9" s="1373"/>
    </row>
    <row r="10" spans="1:12" ht="13.2">
      <c r="A10" s="3581" t="s">
        <v>1275</v>
      </c>
      <c r="B10" s="3568">
        <v>15</v>
      </c>
      <c r="C10" s="3584"/>
      <c r="D10" s="3604"/>
      <c r="E10" s="131" t="s">
        <v>1276</v>
      </c>
      <c r="F10" s="1757"/>
      <c r="G10" s="1757"/>
      <c r="H10" s="1757"/>
      <c r="I10" s="1373"/>
    </row>
    <row r="11" spans="1:12" ht="13.2">
      <c r="A11" s="3581"/>
      <c r="B11" s="3568"/>
      <c r="C11" s="3586"/>
      <c r="D11" s="3604"/>
      <c r="E11" s="131" t="s">
        <v>1277</v>
      </c>
      <c r="F11" s="1757"/>
      <c r="G11" s="1757"/>
      <c r="H11" s="1757"/>
      <c r="I11" s="1373"/>
    </row>
    <row r="12" spans="1:12" ht="13.2">
      <c r="A12" s="3581" t="s">
        <v>1278</v>
      </c>
      <c r="B12" s="3568">
        <v>15</v>
      </c>
      <c r="C12" s="3584"/>
      <c r="D12" s="3604"/>
      <c r="E12" s="131" t="s">
        <v>1279</v>
      </c>
      <c r="F12" s="1757"/>
      <c r="G12" s="1757"/>
      <c r="H12" s="1757"/>
      <c r="I12" s="1373"/>
    </row>
    <row r="13" spans="1:12" ht="13.2">
      <c r="A13" s="3581"/>
      <c r="B13" s="3568"/>
      <c r="C13" s="3586"/>
      <c r="D13" s="3604"/>
      <c r="E13" s="131" t="s">
        <v>1280</v>
      </c>
      <c r="F13" s="1757"/>
      <c r="G13" s="1757"/>
      <c r="H13" s="1757"/>
      <c r="I13" s="1373"/>
    </row>
    <row r="14" spans="1:12" ht="13.2">
      <c r="A14" s="3581" t="s">
        <v>1281</v>
      </c>
      <c r="B14" s="3568">
        <v>30</v>
      </c>
      <c r="C14" s="3584"/>
      <c r="D14" s="3604"/>
      <c r="E14" s="131" t="s">
        <v>1282</v>
      </c>
      <c r="F14" s="1757"/>
      <c r="G14" s="1757"/>
      <c r="H14" s="1757"/>
      <c r="I14" s="1373"/>
    </row>
    <row r="15" spans="1:12" ht="13.2">
      <c r="A15" s="3581"/>
      <c r="B15" s="3568"/>
      <c r="C15" s="3585"/>
      <c r="D15" s="3604"/>
      <c r="E15" s="131" t="s">
        <v>1283</v>
      </c>
      <c r="F15" s="1757"/>
      <c r="G15" s="1757"/>
      <c r="H15" s="1757"/>
      <c r="I15" s="1373"/>
    </row>
    <row r="16" spans="1:12" ht="13.2">
      <c r="A16" s="3581"/>
      <c r="B16" s="3568"/>
      <c r="C16" s="3586"/>
      <c r="D16" s="3604"/>
      <c r="E16" s="131" t="s">
        <v>1284</v>
      </c>
      <c r="F16" s="1757"/>
      <c r="G16" s="1757"/>
      <c r="H16" s="1757"/>
      <c r="I16" s="1373"/>
    </row>
    <row r="17" spans="1:36" ht="14.4">
      <c r="A17" s="1758" t="s">
        <v>1285</v>
      </c>
      <c r="B17" s="56"/>
      <c r="C17" s="132">
        <f>SUM(C5:C16)</f>
        <v>10</v>
      </c>
      <c r="D17" s="132">
        <f>SUM(D5:D16)</f>
        <v>0</v>
      </c>
      <c r="E17" s="129"/>
      <c r="F17" s="129"/>
      <c r="G17" s="129"/>
      <c r="H17" s="129"/>
      <c r="I17" s="129"/>
      <c r="K17" s="302"/>
      <c r="L17" s="302" t="s">
        <v>1286</v>
      </c>
      <c r="M17" s="302" t="s">
        <v>1287</v>
      </c>
    </row>
    <row r="18" spans="1:36" ht="31.95" customHeight="1" thickBot="1">
      <c r="A18" s="1759" t="s">
        <v>1288</v>
      </c>
      <c r="B18" s="1760"/>
      <c r="C18" s="133">
        <f>ROUND(C17/SUM(C17:D17),2)</f>
        <v>1</v>
      </c>
      <c r="D18" s="133">
        <f>1-C18</f>
        <v>0</v>
      </c>
      <c r="E18" s="3591" t="s">
        <v>2131</v>
      </c>
      <c r="F18" s="3592"/>
      <c r="G18" s="3592"/>
      <c r="H18" s="3592"/>
      <c r="I18" s="3592"/>
      <c r="K18" s="302" t="s">
        <v>1289</v>
      </c>
      <c r="L18" s="302">
        <f>IF(C1="",'数据-汇总表'!E3,SUMIF(项目类型,C1,'数据-汇总表'!E17:E26)+SUMIF(项目类型,C1,'数据-汇总表'!I17:I26))</f>
        <v>5672.8</v>
      </c>
      <c r="M18" s="302">
        <f>IF(C1="",'数据-汇总表'!E3,SUMIF(项目类型,C1,'数据-汇总表'!E17:E26))</f>
        <v>5672.8</v>
      </c>
    </row>
    <row r="19" spans="1:36" ht="14.4">
      <c r="A19" s="1761" t="s">
        <v>1290</v>
      </c>
      <c r="B19" s="1762" t="s">
        <v>1291</v>
      </c>
      <c r="C19" s="134">
        <f ca="1">SUMIF(INDIRECT("'"&amp;C4&amp;"'"&amp;"!A:A"),结果表!B19,INDIRECT("'"&amp;C4&amp;"'"&amp;"!B:B"))</f>
        <v>3066.9998999999998</v>
      </c>
      <c r="D19" s="135">
        <f ca="1">SUMIF(INDIRECT("'"&amp;D4&amp;"'"&amp;"!A:A"),结果表!B19,INDIRECT("'"&amp;D4&amp;"'"&amp;"!B:B"))</f>
        <v>3066.9998999999998</v>
      </c>
      <c r="E19" s="1761" t="s">
        <v>1292</v>
      </c>
      <c r="F19" s="1762" t="s">
        <v>1291</v>
      </c>
      <c r="G19" s="136">
        <f ca="1">ROUND(C19*$C$18+D19*$D$18,0)</f>
        <v>3067</v>
      </c>
      <c r="H19" s="1763" t="s">
        <v>1293</v>
      </c>
      <c r="I19" s="129"/>
      <c r="K19" s="302" t="s">
        <v>1294</v>
      </c>
      <c r="L19" s="302">
        <f>IF(C1="",'数据-汇总表'!D3,SUMIF(项目类型,C1,'数据-汇总表'!D17:D26)+SUMIF(项目类型,C1,'数据-汇总表'!H17:H27))</f>
        <v>9300</v>
      </c>
      <c r="M19" s="302">
        <f>IF(C1="",'数据-汇总表'!D3,SUMIF(项目类型,C1,'数据-汇总表'!D17:D26))</f>
        <v>9300</v>
      </c>
    </row>
    <row r="20" spans="1:36" ht="14.4">
      <c r="A20" s="1764"/>
      <c r="B20" s="1026" t="s">
        <v>1295</v>
      </c>
      <c r="C20" s="137">
        <f ca="1">SUMIF(INDIRECT("'"&amp;C4&amp;"'"&amp;"!A:A"),结果表!B20,INDIRECT("'"&amp;C4&amp;"'"&amp;"!B:B"))</f>
        <v>5407</v>
      </c>
      <c r="D20" s="138">
        <f ca="1">SUMIF(INDIRECT("'"&amp;D4&amp;"'"&amp;"!A:A"),结果表!B20,INDIRECT("'"&amp;D4&amp;"'"&amp;"!B:B"))</f>
        <v>5407</v>
      </c>
      <c r="E20" s="1764"/>
      <c r="F20" s="1026" t="s">
        <v>1295</v>
      </c>
      <c r="G20" s="139">
        <f ca="1">ROUND(C20*$C$18+D20*$D$18,0)</f>
        <v>5407</v>
      </c>
      <c r="H20" s="808" t="s">
        <v>1296</v>
      </c>
      <c r="I20" s="129"/>
    </row>
    <row r="21" spans="1:36" ht="15" customHeight="1" thickBot="1">
      <c r="A21" s="828"/>
      <c r="B21" s="1765" t="s">
        <v>1297</v>
      </c>
      <c r="C21" s="719">
        <f ca="1">ROUND(C19*10000/L19,0)</f>
        <v>3298</v>
      </c>
      <c r="D21" s="720">
        <f ca="1">ROUND(D19*10000/L19,0)</f>
        <v>3298</v>
      </c>
      <c r="E21" s="828"/>
      <c r="F21" s="1765" t="s">
        <v>1297</v>
      </c>
      <c r="G21" s="140">
        <f ca="1">ROUND(G19*10000/L19,0)</f>
        <v>3298</v>
      </c>
      <c r="H21" s="1766" t="s">
        <v>1296</v>
      </c>
      <c r="I21" s="129"/>
    </row>
    <row r="22" spans="1:36" ht="15" thickBot="1">
      <c r="A22" s="1688" t="s">
        <v>1298</v>
      </c>
      <c r="B22" s="1767"/>
      <c r="C22" s="1768"/>
      <c r="D22" s="721">
        <f ca="1">IF(C19&lt;D19,D19/C19-1,C19/D19-1)</f>
        <v>0</v>
      </c>
      <c r="E22" s="129"/>
      <c r="F22" s="129"/>
      <c r="G22" s="129"/>
      <c r="H22" s="129"/>
      <c r="I22" s="129"/>
    </row>
    <row r="23" spans="1:36" ht="13.8" thickBot="1">
      <c r="A23" s="1747"/>
      <c r="B23" s="1747"/>
      <c r="C23" s="1747"/>
      <c r="D23" s="1747"/>
      <c r="E23" s="129"/>
      <c r="F23" s="129"/>
      <c r="G23" s="129"/>
      <c r="H23" s="129"/>
      <c r="I23" s="129"/>
    </row>
    <row r="24" spans="1:36" ht="14.4">
      <c r="A24" s="3575" t="s">
        <v>1299</v>
      </c>
      <c r="B24" s="1762" t="s">
        <v>1291</v>
      </c>
      <c r="C24" s="136">
        <f>IF(B30=0,0,D30)</f>
        <v>0</v>
      </c>
      <c r="D24" s="1769"/>
      <c r="E24" s="129"/>
      <c r="F24" s="129"/>
      <c r="G24" s="129"/>
      <c r="H24" s="129"/>
      <c r="I24" s="129"/>
    </row>
    <row r="25" spans="1:36" ht="14.4">
      <c r="A25" s="357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5407</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595" t="s">
        <v>1312</v>
      </c>
      <c r="B36" s="1787" t="s">
        <v>1313</v>
      </c>
      <c r="C36" s="145"/>
      <c r="D36" s="1788"/>
      <c r="E36" s="1789"/>
      <c r="F36" s="1790"/>
      <c r="G36" s="129"/>
      <c r="H36" s="129"/>
      <c r="I36" s="129"/>
    </row>
    <row r="37" spans="1:15" ht="15" thickBot="1">
      <c r="A37" s="3596"/>
      <c r="B37" s="1674" t="s">
        <v>1314</v>
      </c>
      <c r="C37" s="147"/>
      <c r="D37" s="1139"/>
      <c r="E37" s="1139"/>
      <c r="F37" s="1790"/>
      <c r="G37" s="129"/>
      <c r="H37" s="129"/>
      <c r="I37" s="129"/>
    </row>
    <row r="38" spans="1:15" ht="15" thickBot="1">
      <c r="A38" s="3597"/>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72" t="s">
        <v>1326</v>
      </c>
      <c r="B45" s="3573"/>
      <c r="C45" s="3574"/>
      <c r="D45" s="155" t="e">
        <f ca="1">ROUND(H101*F45,0)</f>
        <v>#REF!</v>
      </c>
      <c r="E45" s="156" t="s">
        <v>1327</v>
      </c>
      <c r="F45" s="157">
        <v>1</v>
      </c>
      <c r="G45" s="158" t="s">
        <v>1328</v>
      </c>
      <c r="H45" s="129"/>
      <c r="I45" s="129"/>
      <c r="J45" s="3650" t="s">
        <v>1329</v>
      </c>
      <c r="K45" s="3650"/>
      <c r="L45" s="3650"/>
      <c r="M45" s="3650"/>
      <c r="N45" s="3650"/>
      <c r="O45" s="3650"/>
    </row>
    <row r="46" spans="1:15" ht="14.25" customHeight="1">
      <c r="A46" s="3569" t="s">
        <v>1330</v>
      </c>
      <c r="B46" s="3570"/>
      <c r="C46" s="3570"/>
      <c r="D46" s="3570"/>
      <c r="E46" s="3570"/>
      <c r="F46" s="3570"/>
      <c r="G46" s="3571"/>
      <c r="H46" s="1806"/>
      <c r="I46" s="159"/>
      <c r="J46" s="2523">
        <v>1</v>
      </c>
      <c r="K46" s="3631" t="s">
        <v>1331</v>
      </c>
      <c r="L46" s="3631"/>
      <c r="M46" s="3651"/>
      <c r="N46" s="3651"/>
      <c r="O46" s="3651"/>
    </row>
    <row r="47" spans="1:15" ht="12" customHeight="1">
      <c r="A47" s="160" t="s">
        <v>1332</v>
      </c>
      <c r="B47" s="161"/>
      <c r="C47" s="162"/>
      <c r="D47" s="1087" t="s">
        <v>1333</v>
      </c>
      <c r="E47" s="302" t="s">
        <v>1334</v>
      </c>
      <c r="F47" s="163" t="s">
        <v>1335</v>
      </c>
      <c r="G47" s="2546" t="s">
        <v>1336</v>
      </c>
      <c r="H47" s="2547"/>
      <c r="I47" s="159"/>
      <c r="J47" s="2523">
        <v>2</v>
      </c>
      <c r="K47" s="3631" t="s">
        <v>1337</v>
      </c>
      <c r="L47" s="3631"/>
      <c r="M47" s="3652">
        <f>'数据-取费表'!B2</f>
        <v>46022</v>
      </c>
      <c r="N47" s="3652"/>
      <c r="O47" s="3652"/>
    </row>
    <row r="48" spans="1:15" ht="26.4">
      <c r="A48" s="3600" t="s">
        <v>1338</v>
      </c>
      <c r="B48" s="3583"/>
      <c r="C48" s="3583"/>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31" t="s">
        <v>1340</v>
      </c>
      <c r="L48" s="3631"/>
      <c r="M48" s="3653" t="e">
        <f ca="1">H101</f>
        <v>#REF!</v>
      </c>
      <c r="N48" s="3653"/>
      <c r="O48" s="3653"/>
    </row>
    <row r="49" spans="1:35" ht="25.5" customHeight="1">
      <c r="A49" s="2333" t="s">
        <v>1341</v>
      </c>
      <c r="B49" s="3567" t="s">
        <v>1342</v>
      </c>
      <c r="C49" s="3567"/>
      <c r="D49" s="1590">
        <v>0</v>
      </c>
      <c r="E49" s="324" t="s">
        <v>1343</v>
      </c>
      <c r="F49" s="2424" t="s">
        <v>28</v>
      </c>
      <c r="G49" s="3637"/>
      <c r="H49" s="2310" t="s">
        <v>2134</v>
      </c>
      <c r="I49" s="2311"/>
      <c r="J49" s="2523">
        <v>4</v>
      </c>
      <c r="K49" s="3631" t="str">
        <f>IF(项目基本情况!E8="房地产抵押价值","房地产抵押价值","抵押担保权已注销时的房地产抵押价值")</f>
        <v>抵押担保权已注销时的房地产抵押价值</v>
      </c>
      <c r="L49" s="3631"/>
      <c r="M49" s="3653" t="str">
        <f>IF(项目基本情况!E8="房地产抵押价值",H107,H109)</f>
        <v>——</v>
      </c>
      <c r="N49" s="3653"/>
      <c r="O49" s="3653"/>
    </row>
    <row r="50" spans="1:35" ht="25.5" customHeight="1">
      <c r="A50" s="2551"/>
      <c r="B50" s="3567" t="s">
        <v>1344</v>
      </c>
      <c r="C50" s="3567"/>
      <c r="D50" s="2552"/>
      <c r="E50" s="332"/>
      <c r="F50" s="2424"/>
      <c r="G50" s="3638"/>
      <c r="H50" s="2312" t="s">
        <v>2135</v>
      </c>
      <c r="I50" s="2311"/>
      <c r="J50" s="3650" t="s">
        <v>1345</v>
      </c>
      <c r="K50" s="3650"/>
      <c r="L50" s="3650"/>
      <c r="M50" s="3650"/>
      <c r="N50" s="3650"/>
      <c r="O50" s="3650"/>
    </row>
    <row r="51" spans="1:35" ht="20.399999999999999" customHeight="1">
      <c r="A51" s="2553"/>
      <c r="B51" s="3567" t="s">
        <v>1346</v>
      </c>
      <c r="C51" s="3567"/>
      <c r="D51" s="1087"/>
      <c r="E51" s="327"/>
      <c r="F51" s="2424"/>
      <c r="G51" s="3639"/>
      <c r="H51" s="2312" t="s">
        <v>2136</v>
      </c>
      <c r="I51" s="2311"/>
      <c r="J51" s="2524" t="s">
        <v>1347</v>
      </c>
      <c r="K51" s="3631" t="s">
        <v>1348</v>
      </c>
      <c r="L51" s="3631"/>
      <c r="M51" s="2524" t="s">
        <v>1349</v>
      </c>
      <c r="N51" s="2524" t="s">
        <v>1350</v>
      </c>
      <c r="O51" s="2524" t="s">
        <v>1351</v>
      </c>
    </row>
    <row r="52" spans="1:35" ht="24" customHeight="1">
      <c r="A52" s="2335" t="s">
        <v>1352</v>
      </c>
      <c r="B52" s="3567" t="s">
        <v>1353</v>
      </c>
      <c r="C52" s="3567"/>
      <c r="D52" s="1087" t="e">
        <f ca="1">ROUND(D45*'数据-取费表'!B41/(1+'数据-取费表'!C42),0)</f>
        <v>#REF!</v>
      </c>
      <c r="E52" s="2334" t="s">
        <v>1354</v>
      </c>
      <c r="F52" s="2554">
        <f>'数据-取费表'!B41</f>
        <v>5.6000000000000001E-2</v>
      </c>
      <c r="G52" s="2555"/>
      <c r="H52" s="2544"/>
      <c r="I52" s="1807"/>
      <c r="J52" s="2523">
        <v>1</v>
      </c>
      <c r="K52" s="3632" t="s">
        <v>1355</v>
      </c>
      <c r="L52" s="3632"/>
      <c r="M52" s="2525" t="b">
        <f>D48</f>
        <v>0</v>
      </c>
      <c r="N52" s="2523" t="str">
        <f>E48</f>
        <v>销售额×税（费）率</v>
      </c>
      <c r="O52" s="2526">
        <f>F48</f>
        <v>5.6000000000000001E-2</v>
      </c>
    </row>
    <row r="53" spans="1:35" ht="12" customHeight="1">
      <c r="A53" s="2335" t="s">
        <v>1356</v>
      </c>
      <c r="B53" s="3593" t="s">
        <v>2291</v>
      </c>
      <c r="C53" s="3594"/>
      <c r="D53" s="1087" t="e">
        <f ca="1">ROUND(D45*'数据-取费表'!B41/(1+'数据-取费表'!C42),0)</f>
        <v>#REF!</v>
      </c>
      <c r="E53" s="2334" t="s">
        <v>1354</v>
      </c>
      <c r="F53" s="2554">
        <f>'数据-取费表'!B41</f>
        <v>5.6000000000000001E-2</v>
      </c>
      <c r="G53" s="2555"/>
      <c r="H53" s="2544"/>
      <c r="I53" s="1807"/>
      <c r="J53" s="2523">
        <v>2</v>
      </c>
      <c r="K53" s="3632" t="s">
        <v>1357</v>
      </c>
      <c r="L53" s="3632"/>
      <c r="M53" s="2525" t="e">
        <f t="shared" ref="M53:O54" ca="1" si="0">D55</f>
        <v>#REF!</v>
      </c>
      <c r="N53" s="2523" t="str">
        <f t="shared" si="0"/>
        <v>销售额×税（费）率</v>
      </c>
      <c r="O53" s="2526" t="str">
        <f t="shared" si="0"/>
        <v>免征</v>
      </c>
    </row>
    <row r="54" spans="1:35" ht="12" customHeight="1">
      <c r="A54" s="2335" t="s">
        <v>1358</v>
      </c>
      <c r="B54" s="3593" t="s">
        <v>2292</v>
      </c>
      <c r="C54" s="3594"/>
      <c r="D54" s="1087" t="e">
        <f ca="1">C68</f>
        <v>#REF!</v>
      </c>
      <c r="E54" s="327" t="s">
        <v>1359</v>
      </c>
      <c r="F54" s="2554">
        <f>'数据-取费表'!B41</f>
        <v>5.6000000000000001E-2</v>
      </c>
      <c r="G54" s="2555"/>
      <c r="H54" s="2556"/>
      <c r="I54" s="1807"/>
      <c r="J54" s="2523">
        <v>3</v>
      </c>
      <c r="K54" s="3632" t="s">
        <v>1360</v>
      </c>
      <c r="L54" s="3632"/>
      <c r="M54" s="2525" t="e">
        <f t="shared" ca="1" si="0"/>
        <v>#REF!</v>
      </c>
      <c r="N54" s="2523" t="str">
        <f t="shared" si="0"/>
        <v>增值额×税（费）率</v>
      </c>
      <c r="O54" s="2527" t="str">
        <f t="shared" si="0"/>
        <v>免征</v>
      </c>
    </row>
    <row r="55" spans="1:35" ht="24" customHeight="1">
      <c r="A55" s="3582" t="s">
        <v>1361</v>
      </c>
      <c r="B55" s="3583"/>
      <c r="C55" s="3583"/>
      <c r="D55" s="2324" t="e">
        <f ca="1">IF(H55="个人住宅",0,ROUND(D45*I55,0))</f>
        <v>#REF!</v>
      </c>
      <c r="E55" s="2334" t="s">
        <v>1362</v>
      </c>
      <c r="F55" s="2554" t="str">
        <f>IF(H55="正常",I55,"免征")</f>
        <v>免征</v>
      </c>
      <c r="G55" s="2555"/>
      <c r="H55" s="2550"/>
      <c r="I55" s="165">
        <f>'数据-取费表'!B49</f>
        <v>5.0000000000000001E-4</v>
      </c>
      <c r="J55" s="2523">
        <f>IF(H59="非个人房产","",4)</f>
        <v>4</v>
      </c>
      <c r="K55" s="3632" t="str">
        <f>IF(H59="非个人房产","——","个人所得税")</f>
        <v>个人所得税</v>
      </c>
      <c r="L55" s="3632"/>
      <c r="M55" s="2528" t="e">
        <f ca="1">D59</f>
        <v>#REF!</v>
      </c>
      <c r="N55" s="2040" t="str">
        <f>E59</f>
        <v>差额计税</v>
      </c>
      <c r="O55" s="2529">
        <f>F59</f>
        <v>0.01</v>
      </c>
    </row>
    <row r="56" spans="1:35" ht="25.2">
      <c r="A56" s="3582" t="s">
        <v>1363</v>
      </c>
      <c r="B56" s="3583"/>
      <c r="C56" s="3583"/>
      <c r="D56" s="2324" t="e">
        <f ca="1">IF(H56="个人住宅",D57,D58)</f>
        <v>#REF!</v>
      </c>
      <c r="E56" s="2334" t="s">
        <v>1364</v>
      </c>
      <c r="F56" s="2554" t="str">
        <f>IF(H56="正常",F58,"免征")</f>
        <v>免征</v>
      </c>
      <c r="G56" s="2557" t="s">
        <v>1365</v>
      </c>
      <c r="H56" s="2558"/>
      <c r="I56" s="1808"/>
      <c r="J56" s="2523" t="str">
        <f>IF(项目基本情况!K6="上海银行",IF(J55="",4,J55+1),"")</f>
        <v/>
      </c>
      <c r="K56" s="3655" t="str">
        <f>IF(项目基本情况!K6="上海银行","其他处置费用","")</f>
        <v/>
      </c>
      <c r="L56" s="3656"/>
      <c r="M56" s="2525" t="str">
        <f>IF(项目基本情况!K6="上海银行",M69,"")</f>
        <v/>
      </c>
      <c r="N56" s="3655" t="str">
        <f>IF(项目基本情况!K6="上海银行","包含处置中涉及的律师、诉讼、拍卖、评估等费用","")</f>
        <v/>
      </c>
      <c r="O56" s="3658"/>
    </row>
    <row r="57" spans="1:35" ht="13.2">
      <c r="A57" s="2335" t="s">
        <v>1341</v>
      </c>
      <c r="B57" s="3593" t="s">
        <v>1366</v>
      </c>
      <c r="C57" s="3594"/>
      <c r="D57" s="1590">
        <v>0</v>
      </c>
      <c r="E57" s="324" t="s">
        <v>1343</v>
      </c>
      <c r="F57" s="302"/>
      <c r="G57" s="2555"/>
      <c r="H57" s="2559"/>
      <c r="I57" s="1808"/>
      <c r="J57" s="3632">
        <f>IF(AND(J55="",J56=""),4,IF(项目基本情况!K6="上海银行",结果表!J56+1,结果表!J55+1))</f>
        <v>5</v>
      </c>
      <c r="K57" s="3632" t="s">
        <v>1367</v>
      </c>
      <c r="L57" s="2530" t="s">
        <v>1368</v>
      </c>
      <c r="M57" s="2531"/>
      <c r="N57" s="2532">
        <f ca="1">SUMIF(M52:M56,"&lt;9e307")</f>
        <v>0</v>
      </c>
      <c r="O57" s="2533"/>
      <c r="P57" s="2690" t="e">
        <f ca="1">N57/M49</f>
        <v>#VALUE!</v>
      </c>
    </row>
    <row r="58" spans="1:35" ht="25.2">
      <c r="A58" s="2335" t="s">
        <v>1352</v>
      </c>
      <c r="B58" s="3593" t="s">
        <v>1369</v>
      </c>
      <c r="C58" s="3567"/>
      <c r="D58" s="2324" t="e">
        <f ca="1">IF(H58="转让取得",C81,C97)</f>
        <v>#REF!</v>
      </c>
      <c r="E58" s="2334" t="s">
        <v>1364</v>
      </c>
      <c r="F58" s="302" t="s">
        <v>28</v>
      </c>
      <c r="G58" s="2555"/>
      <c r="H58" s="2558"/>
      <c r="I58" s="1808"/>
      <c r="J58" s="3632"/>
      <c r="K58" s="3632"/>
      <c r="L58" s="2530" t="s">
        <v>1370</v>
      </c>
      <c r="M58" s="2534"/>
      <c r="N58" s="2535" t="str">
        <f ca="1">NUMBERSTRING(INT(N57*10000),2)&amp;"元整"</f>
        <v>零元整</v>
      </c>
      <c r="O58" s="2536"/>
    </row>
    <row r="59" spans="1:35" ht="24.6" thickBot="1">
      <c r="A59" s="3635" t="s">
        <v>1371</v>
      </c>
      <c r="B59" s="3636"/>
      <c r="C59" s="3636"/>
      <c r="D59" s="2560">
        <f ca="1">IF(H59="非个人房产","——",IF(H59="个人住宅（满五唯一有凭证）",0,IF(H59="个人其他（无凭证）",ROUND(D45/(1+'数据-取费表'!C42)*F59,0),ROUND(C67*F59,0))))</f>
        <v>0</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33">
        <f>J57+1</f>
        <v>6</v>
      </c>
      <c r="K59" s="3632" t="s">
        <v>1372</v>
      </c>
      <c r="L59" s="2523" t="s">
        <v>1368</v>
      </c>
      <c r="M59" s="2537"/>
      <c r="N59" s="2538" t="e">
        <f ca="1">M49-N57</f>
        <v>#VALUE!</v>
      </c>
      <c r="O59" s="2539"/>
    </row>
    <row r="60" spans="1:35" ht="12" customHeight="1">
      <c r="A60" s="1809"/>
      <c r="B60" s="1747"/>
      <c r="C60" s="1747"/>
      <c r="D60" s="1747"/>
      <c r="E60" s="1578"/>
      <c r="F60" s="1808"/>
      <c r="G60" s="1808"/>
      <c r="H60" s="1810"/>
      <c r="I60" s="129"/>
      <c r="J60" s="3634"/>
      <c r="K60" s="3632"/>
      <c r="L60" s="2530" t="s">
        <v>1370</v>
      </c>
      <c r="M60" s="2534"/>
      <c r="N60" s="2535" t="e">
        <f ca="1">NUMBERSTRING(INT(N59*10000),2)&amp;"元整"</f>
        <v>#VALUE!</v>
      </c>
      <c r="O60" s="2536"/>
    </row>
    <row r="61" spans="1:35" ht="13.8" thickBot="1">
      <c r="A61" s="3580" t="s">
        <v>1373</v>
      </c>
      <c r="B61" s="3580"/>
      <c r="C61" s="3580"/>
      <c r="D61" s="3580"/>
      <c r="E61" s="3580"/>
      <c r="F61" s="1808"/>
      <c r="G61" s="1808"/>
      <c r="H61" s="1810"/>
      <c r="I61" s="129"/>
      <c r="J61" s="2523">
        <f>J59+1</f>
        <v>7</v>
      </c>
      <c r="K61" s="3632" t="s">
        <v>1374</v>
      </c>
      <c r="L61" s="3632"/>
      <c r="M61" s="2540"/>
      <c r="N61" s="2541" t="e">
        <f ca="1">ROUND(N59*10000/'数据-汇总表'!E3,0)</f>
        <v>#VALUE!</v>
      </c>
      <c r="O61" s="2542"/>
    </row>
    <row r="62" spans="1:35" ht="13.2">
      <c r="A62" s="3598" t="s">
        <v>1375</v>
      </c>
      <c r="B62" s="3599"/>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657"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57"/>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57"/>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57"/>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57"/>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657"/>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57"/>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19" t="s">
        <v>1394</v>
      </c>
      <c r="B70" s="3620"/>
      <c r="C70" s="3620"/>
      <c r="D70" s="3620"/>
      <c r="E70" s="3620"/>
      <c r="F70" s="3620"/>
      <c r="G70" s="3620"/>
      <c r="H70" s="3620"/>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598" t="s">
        <v>1375</v>
      </c>
      <c r="B71" s="3599"/>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3" t="s">
        <v>1402</v>
      </c>
      <c r="F76" s="3567"/>
      <c r="G76" s="3567"/>
      <c r="H76" s="361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577" t="s">
        <v>1406</v>
      </c>
      <c r="F78" s="3578"/>
      <c r="G78" s="3578"/>
      <c r="H78" s="358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19" t="s">
        <v>1410</v>
      </c>
      <c r="B83" s="3620"/>
      <c r="C83" s="3620"/>
      <c r="D83" s="3620"/>
      <c r="E83" s="3620"/>
      <c r="F83" s="3620"/>
      <c r="G83" s="3620"/>
      <c r="H83" s="362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598" t="s">
        <v>1375</v>
      </c>
      <c r="B84" s="359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659" t="s">
        <v>2129</v>
      </c>
      <c r="H90" s="3660"/>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77" t="s">
        <v>1419</v>
      </c>
      <c r="F91" s="3578"/>
      <c r="G91" s="357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77" t="s">
        <v>1422</v>
      </c>
      <c r="F92" s="3578"/>
      <c r="G92" s="3578"/>
      <c r="H92" s="3587"/>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577" t="s">
        <v>1406</v>
      </c>
      <c r="F93" s="3578"/>
      <c r="G93" s="3578"/>
      <c r="H93" s="358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88" t="s">
        <v>1426</v>
      </c>
      <c r="F94" s="3589"/>
      <c r="G94" s="3589"/>
      <c r="H94" s="359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1" t="s">
        <v>1428</v>
      </c>
      <c r="B100" s="3562"/>
      <c r="C100" s="3562"/>
      <c r="D100" s="3579"/>
      <c r="E100" s="3562" t="s">
        <v>1429</v>
      </c>
      <c r="F100" s="3562"/>
      <c r="G100" s="3562"/>
      <c r="H100" s="3579"/>
      <c r="I100" s="129"/>
    </row>
    <row r="101" spans="1:35" ht="18.75" customHeight="1">
      <c r="A101" s="3640" t="s">
        <v>1430</v>
      </c>
      <c r="B101" s="3641"/>
      <c r="C101" s="2585" t="str">
        <f>C4</f>
        <v>收益法 (元)</v>
      </c>
      <c r="D101" s="2586" t="str">
        <f>D4</f>
        <v>收益法 (元)</v>
      </c>
      <c r="E101" s="3654" t="s">
        <v>1431</v>
      </c>
      <c r="F101" s="3611"/>
      <c r="G101" s="1827" t="s">
        <v>1432</v>
      </c>
      <c r="H101" s="2595" t="e">
        <f ca="1">H118</f>
        <v>#REF!</v>
      </c>
      <c r="I101" s="129"/>
    </row>
    <row r="102" spans="1:35" ht="18.75" customHeight="1">
      <c r="A102" s="3613" t="s">
        <v>1433</v>
      </c>
      <c r="B102" s="2584" t="s">
        <v>1432</v>
      </c>
      <c r="C102" s="2585">
        <f ca="1">IF(D32="楼面单价",ROUND(C19,0),C19)</f>
        <v>3066.9998999999998</v>
      </c>
      <c r="D102" s="2586">
        <f ca="1">IF(D32="楼面单价",ROUND(D19,0),D19)</f>
        <v>3066.9998999999998</v>
      </c>
      <c r="E102" s="3654"/>
      <c r="F102" s="3611"/>
      <c r="G102" s="1827" t="s">
        <v>1434</v>
      </c>
      <c r="H102" s="2555" t="e">
        <f ca="1">I118</f>
        <v>#REF!</v>
      </c>
      <c r="I102" s="129"/>
    </row>
    <row r="103" spans="1:35" ht="42.75" customHeight="1">
      <c r="A103" s="3613"/>
      <c r="B103" s="2584" t="s">
        <v>1434</v>
      </c>
      <c r="C103" s="2587">
        <f ca="1">C20</f>
        <v>5407</v>
      </c>
      <c r="D103" s="2588">
        <f ca="1">D20</f>
        <v>5407</v>
      </c>
      <c r="E103" s="3648" t="s">
        <v>1435</v>
      </c>
      <c r="F103" s="3649"/>
      <c r="G103" s="1828" t="s">
        <v>1436</v>
      </c>
      <c r="H103" s="2595">
        <f>IF(D36="正常操作",H104+H105+H106,H105+H106)</f>
        <v>0</v>
      </c>
      <c r="I103" s="129"/>
    </row>
    <row r="104" spans="1:35" ht="18.75" customHeight="1">
      <c r="A104" s="3613"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14"/>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0" t="str">
        <f>IF(项目基本情况!E8="已注销","——","3.房地产抵押价值")</f>
        <v>3.房地产抵押价值</v>
      </c>
      <c r="F107" s="3611"/>
      <c r="G107" s="1827" t="s">
        <v>1432</v>
      </c>
      <c r="H107" s="2595" t="e">
        <f ca="1">IF(E107="——","——",H101-H103)</f>
        <v>#REF!</v>
      </c>
      <c r="I107" s="129"/>
    </row>
    <row r="108" spans="1:35" ht="18.75" customHeight="1">
      <c r="A108" s="129"/>
      <c r="B108" s="129"/>
      <c r="C108" s="129"/>
      <c r="D108" s="129"/>
      <c r="E108" s="3610"/>
      <c r="F108" s="3611"/>
      <c r="G108" s="1827" t="s">
        <v>1434</v>
      </c>
      <c r="H108" s="2555">
        <f ca="1">IF(H107=H101,H102,ROUND(H107*10000/'数据-汇总表'!E3,0))</f>
        <v>0</v>
      </c>
      <c r="I108" s="129"/>
    </row>
    <row r="109" spans="1:35" ht="18.75" customHeight="1">
      <c r="A109" s="129"/>
      <c r="B109" s="129"/>
      <c r="C109" s="129"/>
      <c r="D109" s="129"/>
      <c r="E109" s="3610" t="str">
        <f>IF(项目基本情况!E8="已注销及未注销","4.抵押担保权已注销时的房地产抵押价值",IF(项目基本情况!E8="已注销","3.抵押担保权已注销时的房地产抵押价值","——"))</f>
        <v>——</v>
      </c>
      <c r="F109" s="3611"/>
      <c r="G109" s="1827" t="s">
        <v>1432</v>
      </c>
      <c r="H109" s="2598" t="str">
        <f>IF(E109="——","——",H101-H105-H106)</f>
        <v>——</v>
      </c>
      <c r="I109" s="129"/>
    </row>
    <row r="110" spans="1:35" ht="18.75" customHeight="1">
      <c r="A110" s="129"/>
      <c r="B110" s="129"/>
      <c r="C110" s="129"/>
      <c r="D110" s="129"/>
      <c r="E110" s="3610"/>
      <c r="F110" s="3611"/>
      <c r="G110" s="1827" t="s">
        <v>1434</v>
      </c>
      <c r="H110" s="2555" t="str">
        <f>IF(H109="——","——",ROUND(H109*10000/'数据-汇总表'!E3,0))</f>
        <v>——</v>
      </c>
      <c r="I110" s="129"/>
    </row>
    <row r="111" spans="1:35" ht="18.75" customHeight="1">
      <c r="A111" s="129"/>
      <c r="B111" s="129"/>
      <c r="C111" s="129"/>
      <c r="D111" s="129"/>
      <c r="E111" s="3642" t="str">
        <f>IF(项目基本情况!E9="抵押净值",IF(OR(项目基本情况!E8="已注销",项目基本情况!E8="房地产抵押价值"),"4.抵押净值","5.抵押净值"),"——")</f>
        <v>——</v>
      </c>
      <c r="F111" s="3612"/>
      <c r="G111" s="1827" t="s">
        <v>1432</v>
      </c>
      <c r="H111" s="2595" t="str">
        <f>IF(E111="——","——",N59)</f>
        <v>——</v>
      </c>
      <c r="I111" s="129"/>
    </row>
    <row r="112" spans="1:35" ht="18.75" customHeight="1" thickBot="1">
      <c r="A112" s="129"/>
      <c r="B112" s="129"/>
      <c r="C112" s="129"/>
      <c r="D112" s="129"/>
      <c r="E112" s="3643"/>
      <c r="F112" s="3644"/>
      <c r="G112" s="1830" t="s">
        <v>1434</v>
      </c>
      <c r="H112" s="2599" t="str">
        <f>IF(E111="——","——",N61)</f>
        <v>——</v>
      </c>
      <c r="I112" s="129"/>
    </row>
    <row r="113" spans="1:27" ht="18.75" customHeight="1">
      <c r="A113" s="129"/>
      <c r="B113" s="129"/>
      <c r="C113" s="129"/>
      <c r="D113" s="129"/>
      <c r="E113" s="3615" t="s">
        <v>1440</v>
      </c>
      <c r="F113" s="3615"/>
      <c r="G113" s="3615"/>
      <c r="H113" s="3615"/>
      <c r="I113" s="129"/>
    </row>
    <row r="114" spans="1:27" ht="3.75" customHeight="1">
      <c r="A114" s="1747"/>
      <c r="B114" s="1747"/>
      <c r="C114" s="1747"/>
      <c r="D114" s="1747"/>
      <c r="E114" s="1809"/>
      <c r="F114" s="1809"/>
      <c r="G114" s="1809"/>
      <c r="H114" s="1809"/>
      <c r="I114" s="1747"/>
    </row>
    <row r="115" spans="1:27" ht="18.75" customHeight="1">
      <c r="A115" s="3625" t="s">
        <v>1442</v>
      </c>
      <c r="B115" s="3626"/>
      <c r="C115" s="3626"/>
      <c r="D115" s="3626"/>
      <c r="E115" s="3626"/>
      <c r="F115" s="3626"/>
      <c r="G115" s="3626"/>
      <c r="H115" s="3626"/>
      <c r="I115" s="3627"/>
    </row>
    <row r="116" spans="1:27" ht="27" customHeight="1">
      <c r="A116" s="3581" t="s">
        <v>1443</v>
      </c>
      <c r="B116" s="3616" t="s">
        <v>1444</v>
      </c>
      <c r="C116" s="3616" t="s">
        <v>1445</v>
      </c>
      <c r="D116" s="3629" t="s">
        <v>1446</v>
      </c>
      <c r="E116" s="3630"/>
      <c r="F116" s="3624" t="s">
        <v>1447</v>
      </c>
      <c r="G116" s="3624"/>
      <c r="H116" s="3581" t="s">
        <v>1448</v>
      </c>
      <c r="I116" s="3581"/>
    </row>
    <row r="117" spans="1:27" ht="18.75" customHeight="1">
      <c r="A117" s="3581"/>
      <c r="B117" s="3617"/>
      <c r="C117" s="3617"/>
      <c r="D117" s="2329" t="s">
        <v>1449</v>
      </c>
      <c r="E117" s="2329" t="s">
        <v>1450</v>
      </c>
      <c r="F117" s="2329" t="s">
        <v>1449</v>
      </c>
      <c r="G117" s="2329" t="s">
        <v>1451</v>
      </c>
      <c r="H117" s="2329" t="s">
        <v>1449</v>
      </c>
      <c r="I117" s="2329" t="s">
        <v>1451</v>
      </c>
    </row>
    <row r="118" spans="1:27" ht="24.75" customHeight="1">
      <c r="A118" s="2600" t="str">
        <f>项目基本情况!S2</f>
        <v>北京市北京市密云区云西三街3号院2号楼-1至6层101实验检测楼房地产</v>
      </c>
      <c r="B118" s="2329">
        <f>M18</f>
        <v>5672.8</v>
      </c>
      <c r="C118" s="2329">
        <f>M19</f>
        <v>9300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81" t="s">
        <v>1452</v>
      </c>
      <c r="B119" s="3581"/>
      <c r="C119" s="3581"/>
      <c r="D119" s="3621" t="e">
        <f ca="1">NUMBERSTRING(INT(D118*10000),2)&amp;"元整"</f>
        <v>#REF!</v>
      </c>
      <c r="E119" s="3623"/>
      <c r="F119" s="3621" t="e">
        <f ca="1">NUMBERSTRING(INT(F118*10000),2)&amp;"元整"</f>
        <v>#REF!</v>
      </c>
      <c r="G119" s="3623"/>
      <c r="H119" s="3621" t="e">
        <f ca="1">NUMBERSTRING(INT(H118*10000),2)&amp;"元整"</f>
        <v>#REF!</v>
      </c>
      <c r="I119" s="3623"/>
    </row>
    <row r="120" spans="1:27" ht="18.75" customHeight="1">
      <c r="A120" s="3645" t="str">
        <f>IF(项目基本情况!B9="房地产市场价值","",MID(E103,3,LEN(E103)-2))</f>
        <v/>
      </c>
      <c r="B120" s="3646"/>
      <c r="C120" s="3647"/>
      <c r="D120" s="3645">
        <f>H103</f>
        <v>0</v>
      </c>
      <c r="E120" s="3646"/>
      <c r="F120" s="3646"/>
      <c r="G120" s="3646"/>
      <c r="H120" s="3646"/>
      <c r="I120" s="3647"/>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21" t="s">
        <v>1452</v>
      </c>
      <c r="B121" s="3622"/>
      <c r="C121" s="3623"/>
      <c r="D121" s="3621" t="str">
        <f>IF(D120=0,"零元整",NUMBERSTRING(INT(D120*10000),2)&amp;"元整")</f>
        <v>零元整</v>
      </c>
      <c r="E121" s="3622"/>
      <c r="F121" s="3622"/>
      <c r="G121" s="3622"/>
      <c r="H121" s="3622"/>
      <c r="I121" s="3623"/>
      <c r="AA121" s="725"/>
    </row>
    <row r="122" spans="1:27" ht="18.75" customHeight="1">
      <c r="A122" s="3612" t="str">
        <f>IF(项目基本情况!B9="房地产市场价值","",MID(E107,3,LEN(E107)-2))</f>
        <v/>
      </c>
      <c r="B122" s="3612"/>
      <c r="C122" s="3612"/>
      <c r="D122" s="3645" t="e">
        <f ca="1">H107</f>
        <v>#REF!</v>
      </c>
      <c r="E122" s="3646"/>
      <c r="F122" s="3646"/>
      <c r="G122" s="3646"/>
      <c r="H122" s="3646"/>
      <c r="I122" s="3647"/>
      <c r="AA122" s="725"/>
    </row>
    <row r="123" spans="1:27" ht="18.75" customHeight="1">
      <c r="A123" s="3581" t="s">
        <v>1452</v>
      </c>
      <c r="B123" s="3581"/>
      <c r="C123" s="3581"/>
      <c r="D123" s="3621" t="e">
        <f ca="1">NUMBERSTRING(INT(D122*10000),2)&amp;"元整"</f>
        <v>#REF!</v>
      </c>
      <c r="E123" s="3622"/>
      <c r="F123" s="3622"/>
      <c r="G123" s="3622"/>
      <c r="H123" s="3622"/>
      <c r="I123" s="3623"/>
      <c r="AA123" s="725"/>
    </row>
    <row r="124" spans="1:27" ht="18.75" customHeight="1">
      <c r="A124" s="3612" t="str">
        <f>IF(项目基本情况!B9="房地产市场价值","",MID(E109,3,LEN(E109)-2))</f>
        <v/>
      </c>
      <c r="B124" s="3612"/>
      <c r="C124" s="3612"/>
      <c r="D124" s="3645" t="str">
        <f>H109</f>
        <v>——</v>
      </c>
      <c r="E124" s="3646"/>
      <c r="F124" s="3646"/>
      <c r="G124" s="3646"/>
      <c r="H124" s="3646"/>
      <c r="I124" s="3647"/>
      <c r="AA124" s="725"/>
    </row>
    <row r="125" spans="1:27" ht="18.75" customHeight="1">
      <c r="A125" s="3581" t="s">
        <v>1452</v>
      </c>
      <c r="B125" s="3581"/>
      <c r="C125" s="3581"/>
      <c r="D125" s="3621" t="e">
        <f>NUMBERSTRING(INT(D124*10000),2)&amp;"元整"</f>
        <v>#VALUE!</v>
      </c>
      <c r="E125" s="3622"/>
      <c r="F125" s="3622"/>
      <c r="G125" s="3622"/>
      <c r="H125" s="3622"/>
      <c r="I125" s="3623"/>
      <c r="AA125" s="725"/>
    </row>
    <row r="126" spans="1:27" ht="18.75" customHeight="1">
      <c r="A126" s="3612" t="str">
        <f>IF(项目基本情况!B9="房地产市场价值","",MID(E111,3,LEN(E111)-2))</f>
        <v/>
      </c>
      <c r="B126" s="3612"/>
      <c r="C126" s="3612"/>
      <c r="D126" s="3645" t="str">
        <f>H111</f>
        <v>——</v>
      </c>
      <c r="E126" s="3646"/>
      <c r="F126" s="3646"/>
      <c r="G126" s="3646"/>
      <c r="H126" s="3646"/>
      <c r="I126" s="3647"/>
      <c r="AA126" s="725"/>
    </row>
    <row r="127" spans="1:27" ht="18.75" customHeight="1">
      <c r="A127" s="3581" t="s">
        <v>1452</v>
      </c>
      <c r="B127" s="3581"/>
      <c r="C127" s="3581"/>
      <c r="D127" s="3621" t="e">
        <f>NUMBERSTRING(INT(D126*10000),2)&amp;"元整"</f>
        <v>#VALUE!</v>
      </c>
      <c r="E127" s="3622"/>
      <c r="F127" s="3622"/>
      <c r="G127" s="3622"/>
      <c r="H127" s="3622"/>
      <c r="I127" s="3623"/>
      <c r="AA127" s="725"/>
    </row>
    <row r="128" spans="1:27" ht="21.75" customHeight="1">
      <c r="A128" s="3628" t="s">
        <v>1453</v>
      </c>
      <c r="B128" s="3628"/>
      <c r="C128" s="3628"/>
      <c r="D128" s="3628"/>
      <c r="E128" s="3628"/>
      <c r="F128" s="3628"/>
      <c r="G128" s="3628"/>
      <c r="H128" s="3628"/>
      <c r="I128" s="362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78" t="str">
        <f>项目基本情况!B1</f>
        <v>北京市北京市密云区云西三街3号院2号楼-1至6层101实验检测楼房地产市场价值预评估</v>
      </c>
      <c r="C37" s="3478"/>
      <c r="D37" s="3478"/>
      <c r="E37" s="3478"/>
      <c r="F37" s="3478"/>
      <c r="G37" s="3478"/>
      <c r="H37" s="3478"/>
      <c r="I37" s="347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3638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6413</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113</v>
      </c>
      <c r="D10" s="845">
        <f ca="1">IF(B1="",'数据-汇总表'!E6,IF(INDIRECT("'数据-取费表'!c"&amp;$G$1)="住宅",INDIRECT("'数据-取费表'!s"&amp;$G$1),INDIRECT("'数据-取费表'!k"&amp;$G$1)+INDIRECT("'数据-取费表'!s"&amp;$G$1)))</f>
        <v>5672.8</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113</v>
      </c>
      <c r="D19" s="849">
        <f ca="1">D9+D10</f>
        <v>5672.8</v>
      </c>
      <c r="E19" s="211">
        <f>'数据-取费表'!B31</f>
        <v>200</v>
      </c>
      <c r="F19" s="231"/>
      <c r="G19" s="1856"/>
    </row>
    <row r="20" spans="1:7" s="214" customFormat="1" ht="13.5" customHeight="1">
      <c r="A20" s="255" t="s">
        <v>1493</v>
      </c>
      <c r="B20" s="210" t="s">
        <v>1494</v>
      </c>
      <c r="C20" s="232">
        <f ca="1">ROUND((C5+C19)*F20,0)</f>
        <v>2</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7</v>
      </c>
      <c r="D22" s="235">
        <f ca="1">C26</f>
        <v>5.9999999999999995E-4</v>
      </c>
      <c r="E22" s="236" t="s">
        <v>1498</v>
      </c>
      <c r="F22" s="237">
        <f ca="1">'数据-取费表'!B40</f>
        <v>3.1300000000000001E-2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7</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6.4">
      <c r="A27" s="255" t="s">
        <v>1512</v>
      </c>
      <c r="B27" s="244" t="s">
        <v>1513</v>
      </c>
      <c r="C27" s="245">
        <f ca="1">C28</f>
        <v>12</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12</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145</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3290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2836</v>
      </c>
      <c r="D34" s="217"/>
      <c r="E34" s="220"/>
      <c r="F34" s="257">
        <f ca="1">IF('数据-取费表'!B24=0,1,IF(B1="",'数据-取费表'!N16,INDIRECT("'数据-取费表'!n"&amp;$G$1)))</f>
        <v>1</v>
      </c>
      <c r="G34" s="219" t="s">
        <v>1526</v>
      </c>
    </row>
    <row r="35" spans="1:7" ht="13.5" customHeight="1">
      <c r="A35" s="780" t="s">
        <v>351</v>
      </c>
      <c r="B35" s="215" t="s">
        <v>1527</v>
      </c>
      <c r="C35" s="220">
        <f ca="1">ROUND(C34*F35,0)</f>
        <v>284</v>
      </c>
      <c r="D35" s="220"/>
      <c r="E35" s="220"/>
      <c r="F35" s="259">
        <f>'数据-取费表'!B33</f>
        <v>0.1</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113</v>
      </c>
      <c r="D37" s="217">
        <f ca="1">D19</f>
        <v>5672.8</v>
      </c>
      <c r="E37" s="249">
        <f>'数据-取费表'!B35</f>
        <v>200</v>
      </c>
      <c r="F37" s="259"/>
      <c r="G37" s="261" t="s">
        <v>1532</v>
      </c>
    </row>
    <row r="38" spans="1:7" ht="13.5" customHeight="1">
      <c r="A38" s="780" t="s">
        <v>354</v>
      </c>
      <c r="B38" s="215" t="s">
        <v>1533</v>
      </c>
      <c r="C38" s="220">
        <f ca="1">ROUND(C34*F38,0)</f>
        <v>57</v>
      </c>
      <c r="D38" s="220"/>
      <c r="E38" s="220"/>
      <c r="F38" s="259">
        <f>'数据-取费表'!B36</f>
        <v>0.02</v>
      </c>
      <c r="G38" s="219" t="s">
        <v>1528</v>
      </c>
    </row>
    <row r="39" spans="1:7" s="214" customFormat="1" ht="13.5" customHeight="1">
      <c r="A39" s="255" t="s">
        <v>1534</v>
      </c>
      <c r="B39" s="210" t="s">
        <v>1535</v>
      </c>
      <c r="C39" s="232">
        <f ca="1">ROUND(C33*F20,0)</f>
        <v>66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105</v>
      </c>
      <c r="D41" s="235">
        <f ca="1">C44</f>
        <v>5.9999999999999995E-4</v>
      </c>
      <c r="E41" s="236" t="s">
        <v>1539</v>
      </c>
      <c r="F41" s="237">
        <f ca="1">F22</f>
        <v>3.1300000000000001E-2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103</v>
      </c>
      <c r="D42" s="238"/>
      <c r="E42" s="238"/>
      <c r="F42" s="239"/>
      <c r="G42" s="3661" t="s">
        <v>1544</v>
      </c>
    </row>
    <row r="43" spans="1:7" ht="13.5" customHeight="1">
      <c r="A43" s="780" t="s">
        <v>347</v>
      </c>
      <c r="B43" s="215" t="s">
        <v>1545</v>
      </c>
      <c r="C43" s="238">
        <f ca="1">ROUND(IF('数据-取费表'!B22&lt;=1,C39*F22*'数据-取费表'!B21/2,C39*(POWER((1+F22),'数据-取费表'!B21/2)-1)),0)</f>
        <v>2</v>
      </c>
      <c r="D43" s="238"/>
      <c r="E43" s="238"/>
      <c r="F43" s="239"/>
      <c r="G43" s="3662"/>
    </row>
    <row r="44" spans="1:7" ht="13.5" customHeight="1">
      <c r="A44" s="780" t="s">
        <v>348</v>
      </c>
      <c r="B44" s="215" t="s">
        <v>1546</v>
      </c>
      <c r="C44" s="238">
        <f ca="1">ROUND(IF('数据-取费表'!B22&lt;=1,C40*F22*'数据-取费表'!B21/2,C40*(POWER((1+F22),'数据-取费表'!B21/2)-1)),4)</f>
        <v>5.9999999999999995E-4</v>
      </c>
      <c r="D44" s="238"/>
      <c r="E44" s="238"/>
      <c r="F44" s="239"/>
      <c r="G44" s="3663"/>
    </row>
    <row r="45" spans="1:7" s="214" customFormat="1" ht="13.5" customHeight="1">
      <c r="A45" s="255" t="s">
        <v>1547</v>
      </c>
      <c r="B45" s="244" t="s">
        <v>1513</v>
      </c>
      <c r="C45" s="245">
        <f ca="1">C46</f>
        <v>336</v>
      </c>
      <c r="D45" s="235">
        <f ca="1">C47</f>
        <v>2E-3</v>
      </c>
      <c r="E45" s="236" t="s">
        <v>1539</v>
      </c>
      <c r="F45" s="246">
        <f ca="1">F27</f>
        <v>0.1</v>
      </c>
      <c r="G45" s="247" t="s">
        <v>1548</v>
      </c>
    </row>
    <row r="46" spans="1:7" s="214" customFormat="1" ht="13.5" customHeight="1">
      <c r="A46" s="780" t="s">
        <v>346</v>
      </c>
      <c r="B46" s="248" t="s">
        <v>1549</v>
      </c>
      <c r="C46" s="249">
        <f ca="1">ROUND((C33+C39)*F27,0)</f>
        <v>336</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4109</v>
      </c>
      <c r="D49" s="232"/>
      <c r="E49" s="232"/>
      <c r="F49" s="264"/>
      <c r="G49" s="234" t="s">
        <v>1554</v>
      </c>
    </row>
    <row r="50" spans="1:7" s="258" customFormat="1" ht="24">
      <c r="A50" s="255" t="s">
        <v>1555</v>
      </c>
      <c r="B50" s="210" t="s">
        <v>1556</v>
      </c>
      <c r="C50" s="232"/>
      <c r="D50" s="232"/>
      <c r="E50" s="232"/>
      <c r="F50" s="264">
        <f>IF('数据-取费表'!B24=0,'数据-取费表'!N16,1)</f>
        <v>0.85</v>
      </c>
      <c r="G50" s="247" t="s">
        <v>1557</v>
      </c>
    </row>
    <row r="51" spans="1:7" ht="16.5" customHeight="1">
      <c r="A51" s="255" t="s">
        <v>1558</v>
      </c>
      <c r="B51" s="210" t="s">
        <v>1559</v>
      </c>
      <c r="C51" s="232">
        <f ca="1">ROUND(C49*F50,0)</f>
        <v>3493</v>
      </c>
      <c r="D51" s="232"/>
      <c r="E51" s="232"/>
      <c r="F51" s="264"/>
      <c r="G51" s="234" t="s">
        <v>1560</v>
      </c>
    </row>
    <row r="52" spans="1:7" s="208" customFormat="1" ht="16.8" thickBot="1">
      <c r="A52" s="265" t="s">
        <v>1561</v>
      </c>
      <c r="B52" s="266"/>
      <c r="C52" s="267">
        <f ca="1">C31+C51</f>
        <v>3638</v>
      </c>
      <c r="D52" s="266"/>
      <c r="E52" s="266"/>
      <c r="F52" s="266"/>
      <c r="G52" s="268"/>
    </row>
    <row r="55" spans="1:7" ht="15">
      <c r="B55" s="270" t="s">
        <v>1562</v>
      </c>
      <c r="C55" s="271"/>
    </row>
    <row r="56" spans="1:7">
      <c r="B56" s="273" t="s">
        <v>802</v>
      </c>
      <c r="C56" s="275">
        <f ca="1">1-C57</f>
        <v>4.0000000000000036E-2</v>
      </c>
    </row>
    <row r="57" spans="1:7">
      <c r="B57" s="273" t="s">
        <v>803</v>
      </c>
      <c r="C57" s="274">
        <f ca="1">ROUND(C51/C52,3)</f>
        <v>0.96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3783.5061000000001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6670</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1134560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1134560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1134560</v>
      </c>
      <c r="D10" s="845">
        <f ca="1">IF(B1="",'数据-汇总表'!E6,IF(INDIRECT("'数据-取费表'!c"&amp;$G$1)="住宅",INDIRECT("'数据-取费表'!s"&amp;$G$1),INDIRECT("'数据-取费表'!k"&amp;$G$1)+INDIRECT("'数据-取费表'!s"&amp;$G$1)))</f>
        <v>5672.8</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1134560</v>
      </c>
      <c r="D19" s="849">
        <f ca="1">D9+D10</f>
        <v>5672.8</v>
      </c>
      <c r="E19" s="211">
        <f>'数据-取费表'!B31</f>
        <v>200</v>
      </c>
      <c r="F19" s="231"/>
      <c r="G19" s="1856"/>
    </row>
    <row r="20" spans="1:7" s="214" customFormat="1" ht="13.5" customHeight="1">
      <c r="A20" s="255" t="s">
        <v>1574</v>
      </c>
      <c r="B20" s="210" t="s">
        <v>1575</v>
      </c>
      <c r="C20" s="232">
        <f ca="1">ROUND((C5+C19)*F20,0)</f>
        <v>45382</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145690</v>
      </c>
      <c r="D22" s="235">
        <f ca="1">C26</f>
        <v>5.9999999999999995E-4</v>
      </c>
      <c r="E22" s="236" t="s">
        <v>1579</v>
      </c>
      <c r="F22" s="237">
        <f ca="1">'数据-取费表'!B40</f>
        <v>3.1300000000000001E-2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72135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72135</v>
      </c>
      <c r="D24" s="238"/>
      <c r="E24" s="238"/>
      <c r="F24" s="239"/>
      <c r="G24" s="240" t="s">
        <v>1586</v>
      </c>
    </row>
    <row r="25" spans="1:7" s="214" customFormat="1" ht="24">
      <c r="A25" s="780" t="s">
        <v>1476</v>
      </c>
      <c r="B25" s="215" t="s">
        <v>1587</v>
      </c>
      <c r="C25" s="1128">
        <f ca="1">ROUND(IF('数据-取费表'!B22&lt;=1,C20*F22*'数据-取费表'!B22/2,C20*(POWER((1+F22),'数据-取费表'!B22/2)-1)),0)</f>
        <v>1420</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6.4">
      <c r="A27" s="255" t="s">
        <v>1512</v>
      </c>
      <c r="B27" s="244" t="s">
        <v>1513</v>
      </c>
      <c r="C27" s="245">
        <f ca="1">C28</f>
        <v>231450</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231450</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2912717</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32902240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28364000</v>
      </c>
      <c r="D34" s="217"/>
      <c r="E34" s="220"/>
      <c r="F34" s="257"/>
      <c r="G34" s="219"/>
    </row>
    <row r="35" spans="1:7" ht="13.5" customHeight="1">
      <c r="A35" s="780" t="s">
        <v>351</v>
      </c>
      <c r="B35" s="215" t="s">
        <v>1527</v>
      </c>
      <c r="C35" s="220">
        <f ca="1">ROUND(C34*F35,0)</f>
        <v>2836400</v>
      </c>
      <c r="D35" s="220"/>
      <c r="E35" s="220"/>
      <c r="F35" s="259">
        <f>'数据-取费表'!B33</f>
        <v>0.1</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1134560</v>
      </c>
      <c r="D37" s="217">
        <f ca="1">D19</f>
        <v>5672.8</v>
      </c>
      <c r="E37" s="249">
        <f>'数据-取费表'!B35</f>
        <v>200</v>
      </c>
      <c r="F37" s="259"/>
      <c r="G37" s="261"/>
    </row>
    <row r="38" spans="1:7" ht="13.5" customHeight="1">
      <c r="A38" s="780" t="s">
        <v>354</v>
      </c>
      <c r="B38" s="215" t="s">
        <v>1533</v>
      </c>
      <c r="C38" s="220">
        <f ca="1">ROUND(C34*F38,0)</f>
        <v>567280</v>
      </c>
      <c r="D38" s="220"/>
      <c r="E38" s="220"/>
      <c r="F38" s="259">
        <f>'数据-取费表'!B36</f>
        <v>0.02</v>
      </c>
      <c r="G38" s="219" t="s">
        <v>1528</v>
      </c>
    </row>
    <row r="39" spans="1:7" s="214" customFormat="1" ht="13.5" customHeight="1">
      <c r="A39" s="255" t="s">
        <v>1534</v>
      </c>
      <c r="B39" s="210" t="s">
        <v>1535</v>
      </c>
      <c r="C39" s="232">
        <f ca="1">ROUND(C33*F20,0)</f>
        <v>658045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1050437</v>
      </c>
      <c r="D41" s="235">
        <f ca="1">C44</f>
        <v>5.9999999999999995E-4</v>
      </c>
      <c r="E41" s="236" t="s">
        <v>1539</v>
      </c>
      <c r="F41" s="237">
        <f ca="1">F22</f>
        <v>3.1300000000000001E-2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1029840</v>
      </c>
      <c r="D42" s="238"/>
      <c r="E42" s="238"/>
      <c r="F42" s="239"/>
      <c r="G42" s="3661" t="s">
        <v>1591</v>
      </c>
    </row>
    <row r="43" spans="1:7" ht="13.5" customHeight="1">
      <c r="A43" s="780" t="s">
        <v>347</v>
      </c>
      <c r="B43" s="215" t="s">
        <v>1545</v>
      </c>
      <c r="C43" s="238">
        <f ca="1">ROUND(IF('数据-取费表'!B22&lt;=1,C39*F22*'数据-取费表'!B20/2,C39*(POWER((1+F22),'数据-取费表'!B20/2)-1)),0)</f>
        <v>20597</v>
      </c>
      <c r="D43" s="238"/>
      <c r="E43" s="238"/>
      <c r="F43" s="239"/>
      <c r="G43" s="3662"/>
    </row>
    <row r="44" spans="1:7" ht="13.5" customHeight="1">
      <c r="A44" s="780" t="s">
        <v>348</v>
      </c>
      <c r="B44" s="215" t="s">
        <v>1546</v>
      </c>
      <c r="C44" s="238">
        <f ca="1">ROUND(IF('数据-取费表'!B22&lt;=1,C40*F22*'数据-取费表'!B20/2,C40*(POWER((1+F22),'数据-取费表'!B20/2)-1)),4)</f>
        <v>5.9999999999999995E-4</v>
      </c>
      <c r="D44" s="238"/>
      <c r="E44" s="238"/>
      <c r="F44" s="239"/>
      <c r="G44" s="3663"/>
    </row>
    <row r="45" spans="1:7" s="214" customFormat="1" ht="13.5" customHeight="1">
      <c r="A45" s="255" t="s">
        <v>1547</v>
      </c>
      <c r="B45" s="244" t="s">
        <v>1513</v>
      </c>
      <c r="C45" s="245">
        <f ca="1">C46</f>
        <v>3356029</v>
      </c>
      <c r="D45" s="235">
        <f ca="1">C47</f>
        <v>2E-3</v>
      </c>
      <c r="E45" s="236" t="s">
        <v>1539</v>
      </c>
      <c r="F45" s="246">
        <f ca="1">F27</f>
        <v>0.1</v>
      </c>
      <c r="G45" s="247" t="s">
        <v>1548</v>
      </c>
    </row>
    <row r="46" spans="1:7" s="214" customFormat="1" ht="13.5" customHeight="1">
      <c r="A46" s="780" t="s">
        <v>346</v>
      </c>
      <c r="B46" s="248" t="s">
        <v>1549</v>
      </c>
      <c r="C46" s="249">
        <f ca="1">ROUND((C33+C39)*F27,0)</f>
        <v>3356029</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41085111</v>
      </c>
      <c r="D49" s="232"/>
      <c r="E49" s="232"/>
      <c r="F49" s="264"/>
      <c r="G49" s="234" t="s">
        <v>1554</v>
      </c>
    </row>
    <row r="50" spans="1:7" s="258" customFormat="1">
      <c r="A50" s="255" t="s">
        <v>1555</v>
      </c>
      <c r="B50" s="210" t="s">
        <v>1556</v>
      </c>
      <c r="C50" s="232"/>
      <c r="D50" s="232"/>
      <c r="E50" s="232"/>
      <c r="F50" s="264">
        <f>IF('数据-取费表'!B24=0,'数据-取费表'!N16,1)</f>
        <v>0.85</v>
      </c>
      <c r="G50" s="247"/>
    </row>
    <row r="51" spans="1:7" ht="16.5" customHeight="1">
      <c r="A51" s="255" t="s">
        <v>1558</v>
      </c>
      <c r="B51" s="210" t="s">
        <v>1593</v>
      </c>
      <c r="C51" s="232">
        <f ca="1">ROUND(C49*F50,0)</f>
        <v>34922344</v>
      </c>
      <c r="D51" s="232"/>
      <c r="E51" s="232"/>
      <c r="F51" s="264"/>
      <c r="G51" s="234" t="s">
        <v>1560</v>
      </c>
    </row>
    <row r="52" spans="1:7" s="208" customFormat="1" ht="16.8" thickBot="1">
      <c r="A52" s="265" t="s">
        <v>1561</v>
      </c>
      <c r="B52" s="266"/>
      <c r="C52" s="267">
        <f ca="1">C31+C51</f>
        <v>37835061</v>
      </c>
      <c r="D52" s="266"/>
      <c r="E52" s="266"/>
      <c r="F52" s="266"/>
      <c r="G52" s="268"/>
    </row>
    <row r="55" spans="1:7" ht="15">
      <c r="B55" s="270" t="s">
        <v>1562</v>
      </c>
      <c r="C55" s="271"/>
    </row>
    <row r="56" spans="1:7">
      <c r="B56" s="273" t="s">
        <v>802</v>
      </c>
      <c r="C56" s="275">
        <f ca="1">1-C57</f>
        <v>7.6999999999999957E-2</v>
      </c>
    </row>
    <row r="57" spans="1:7">
      <c r="B57" s="273" t="s">
        <v>803</v>
      </c>
      <c r="C57" s="274">
        <f ca="1">ROUND(C51/C52,3)</f>
        <v>0.92300000000000004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-123</v>
      </c>
      <c r="C2" s="276" t="s">
        <v>1595</v>
      </c>
      <c r="D2" s="276"/>
      <c r="E2" s="2806"/>
      <c r="F2" s="2806"/>
      <c r="G2" s="2806"/>
      <c r="H2" s="2806"/>
      <c r="I2" s="2806"/>
      <c r="J2" s="2806"/>
      <c r="K2" s="2806"/>
    </row>
    <row r="3" spans="1:33" ht="18" customHeight="1" thickBot="1">
      <c r="A3" s="203" t="s">
        <v>1464</v>
      </c>
      <c r="B3" s="204">
        <f ca="1">ROUND(B2*10000/IF(C1="",'数据-汇总表'!E3,INDIRECT("'数据-取费表'!K"&amp;$K$1)),0)</f>
        <v>-217</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0.1</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5672.8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5672.8</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113</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113</v>
      </c>
      <c r="D20" s="846">
        <f ca="1">IF(C1="",'数据-汇总表'!E6,IF(INDIRECT("'数据-取费表'!c"&amp;$K$1)="住宅",INDIRECT("'数据-取费表'!s"&amp;$K$1),INDIRECT("'数据-取费表'!k"&amp;$K$1)+INDIRECT("'数据-取费表'!s"&amp;$K$1)))</f>
        <v>5672.8</v>
      </c>
      <c r="E20" s="21">
        <f>'数据-取费表'!B28</f>
        <v>200</v>
      </c>
      <c r="F20" s="804"/>
      <c r="G20" s="12"/>
      <c r="H20" s="809"/>
      <c r="I20" s="809"/>
      <c r="J20" s="809"/>
      <c r="K20" s="810"/>
    </row>
    <row r="21" spans="1:33" s="803" customFormat="1" ht="13.5" customHeight="1">
      <c r="A21" s="790" t="s">
        <v>357</v>
      </c>
      <c r="B21" s="813" t="s">
        <v>1628</v>
      </c>
      <c r="C21" s="814">
        <f ca="1">C16+C17+C18</f>
        <v>113</v>
      </c>
      <c r="D21" s="815"/>
      <c r="E21" s="281"/>
      <c r="F21" s="281"/>
      <c r="G21" s="131" t="s">
        <v>1629</v>
      </c>
      <c r="H21" s="807"/>
      <c r="I21" s="807"/>
      <c r="J21" s="807"/>
      <c r="K21" s="808"/>
    </row>
    <row r="22" spans="1:33" s="803" customFormat="1" ht="13.5" customHeight="1">
      <c r="A22" s="790" t="s">
        <v>1601</v>
      </c>
      <c r="B22" s="813" t="s">
        <v>1630</v>
      </c>
      <c r="C22" s="814">
        <f ca="1">ROUND(C21*F22,0)</f>
        <v>2</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3.1300000000000001E-2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12</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12</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-123</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66" t="s">
        <v>694</v>
      </c>
      <c r="C6" s="1074">
        <f ca="1">ROUND(F6*F8*F7*(1-F9)/10000,0)</f>
        <v>0</v>
      </c>
      <c r="D6" s="155" t="s">
        <v>2109</v>
      </c>
      <c r="E6" s="302" t="s">
        <v>696</v>
      </c>
      <c r="F6" s="303">
        <f ca="1">INDIRECT("'数据-取费表'!u"&amp;$G$1)</f>
        <v>0</v>
      </c>
      <c r="G6" s="1384"/>
      <c r="H6" s="1069" t="s">
        <v>398</v>
      </c>
      <c r="I6" s="3666" t="s">
        <v>694</v>
      </c>
      <c r="J6" s="301">
        <f ca="1">ROUND(M6*M8*M7*(1-M9)/10000,0)</f>
        <v>0</v>
      </c>
      <c r="K6" s="155" t="s">
        <v>2108</v>
      </c>
      <c r="L6" s="302" t="s">
        <v>696</v>
      </c>
      <c r="M6" s="303">
        <f ca="1">INDIRECT("'数据-取费表'!z"&amp;$G$1)</f>
        <v>0</v>
      </c>
    </row>
    <row r="7" spans="1:37" ht="18" customHeight="1">
      <c r="A7" s="1073"/>
      <c r="B7" s="3667"/>
      <c r="C7" s="1075"/>
      <c r="D7" s="307"/>
      <c r="E7" s="1076" t="s">
        <v>697</v>
      </c>
      <c r="F7" s="303">
        <f ca="1">IF(INDIRECT("'数据-取费表'!ah"&amp;$G$1)="",INDIRECT("'数据-取费表'!k"&amp;$G$1),INDIRECT("'数据-取费表'!ah"&amp;$G$1))</f>
        <v>0</v>
      </c>
      <c r="G7" s="1384"/>
      <c r="H7" s="304"/>
      <c r="I7" s="3667"/>
      <c r="J7" s="306"/>
      <c r="K7" s="307"/>
      <c r="L7" s="302" t="s">
        <v>697</v>
      </c>
      <c r="M7" s="303">
        <f ca="1">F7</f>
        <v>0</v>
      </c>
    </row>
    <row r="8" spans="1:37" ht="18" customHeight="1">
      <c r="A8" s="304"/>
      <c r="B8" s="3667"/>
      <c r="C8" s="306"/>
      <c r="D8" s="307"/>
      <c r="E8" s="302" t="s">
        <v>698</v>
      </c>
      <c r="F8" s="303">
        <f ca="1">INDIRECT("'数据-取费表'!ai"&amp;$G$1)</f>
        <v>0</v>
      </c>
      <c r="G8" s="1384"/>
      <c r="H8" s="304"/>
      <c r="I8" s="3667"/>
      <c r="J8" s="306"/>
      <c r="K8" s="307"/>
      <c r="L8" s="302" t="s">
        <v>698</v>
      </c>
      <c r="M8" s="303">
        <f ca="1">INDIRECT("'数据-取费表'!ai"&amp;$G$1)</f>
        <v>0</v>
      </c>
    </row>
    <row r="9" spans="1:37" ht="18" customHeight="1">
      <c r="A9" s="304"/>
      <c r="B9" s="3668"/>
      <c r="C9" s="306"/>
      <c r="D9" s="307"/>
      <c r="E9" s="302" t="s">
        <v>699</v>
      </c>
      <c r="F9" s="312">
        <f ca="1">INDIRECT("'数据-取费表'!w"&amp;$G$1)</f>
        <v>0</v>
      </c>
      <c r="G9" s="1384"/>
      <c r="H9" s="304"/>
      <c r="I9" s="366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3.1300000000000001E-2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64" t="s">
        <v>837</v>
      </c>
      <c r="L53" s="3665"/>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IF(项目基本情况!B11="自然人","——",IF(D61="按租金收入计税",ROUND(C49*F61/(1+'数据-取费表'!C42),2),IF(D61="按房产原值计税",ROUND(C57*F61*0.7,2),INDIRECT("'数据-取费表'!Aj"&amp;$G$1))))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L28" sqref="L28"/>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v>
      </c>
      <c r="D1" s="1362" t="s">
        <v>43</v>
      </c>
      <c r="E1" s="1363" t="s">
        <v>678</v>
      </c>
      <c r="F1" s="1062">
        <f ca="1">J53</f>
        <v>37.54</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3066.9998999999998</v>
      </c>
      <c r="C2" s="1387" t="s">
        <v>879</v>
      </c>
      <c r="D2" s="1471">
        <f ca="1">C40+J29+L46</f>
        <v>30669999</v>
      </c>
      <c r="E2" s="1388" t="s">
        <v>880</v>
      </c>
      <c r="F2" s="1389"/>
      <c r="G2" s="2706"/>
      <c r="H2" s="2695"/>
      <c r="I2" s="2695"/>
      <c r="J2" s="2695"/>
      <c r="K2" s="2696"/>
      <c r="L2" s="2695"/>
      <c r="M2" s="2695"/>
    </row>
    <row r="3" spans="1:37" ht="18" customHeight="1" thickBot="1">
      <c r="A3" s="1390" t="s">
        <v>881</v>
      </c>
      <c r="B3" s="1391">
        <f ca="1">IF(ISERROR(D2/F43),0,ROUND(D2/F43,0))</f>
        <v>5407</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1863515</v>
      </c>
      <c r="D5" s="1364" t="s">
        <v>889</v>
      </c>
      <c r="E5" s="1071"/>
      <c r="F5" s="1072"/>
      <c r="G5" s="1384"/>
      <c r="H5" s="299">
        <v>1</v>
      </c>
      <c r="I5" s="300" t="s">
        <v>888</v>
      </c>
      <c r="J5" s="1070">
        <f ca="1">J6+J10+J12</f>
        <v>0</v>
      </c>
      <c r="K5" s="1364" t="s">
        <v>889</v>
      </c>
      <c r="L5" s="1071"/>
      <c r="M5" s="1072"/>
    </row>
    <row r="6" spans="1:37" ht="18" customHeight="1">
      <c r="A6" s="1069" t="s">
        <v>398</v>
      </c>
      <c r="B6" s="3666" t="s">
        <v>694</v>
      </c>
      <c r="C6" s="1074">
        <f ca="1">ROUND(F6*F8*F7*(1-F9),0)</f>
        <v>1863515</v>
      </c>
      <c r="D6" s="155" t="s">
        <v>2106</v>
      </c>
      <c r="E6" s="302" t="s">
        <v>696</v>
      </c>
      <c r="F6" s="303">
        <f ca="1">INDIRECT("'数据-取费表'!u"&amp;$G$1)</f>
        <v>1.5</v>
      </c>
      <c r="G6" s="1384"/>
      <c r="H6" s="1069" t="s">
        <v>398</v>
      </c>
      <c r="I6" s="3666" t="s">
        <v>694</v>
      </c>
      <c r="J6" s="301">
        <f ca="1">ROUND(M6*M8*M7*(1-M9),0)</f>
        <v>0</v>
      </c>
      <c r="K6" s="1376" t="s">
        <v>2107</v>
      </c>
      <c r="L6" s="302" t="s">
        <v>696</v>
      </c>
      <c r="M6" s="303">
        <f ca="1">INDIRECT("'数据-取费表'!z"&amp;$G$1)</f>
        <v>0</v>
      </c>
    </row>
    <row r="7" spans="1:37" ht="18" customHeight="1">
      <c r="A7" s="1073"/>
      <c r="B7" s="3667"/>
      <c r="C7" s="1075"/>
      <c r="D7" s="307"/>
      <c r="E7" s="1076" t="s">
        <v>697</v>
      </c>
      <c r="F7" s="303">
        <f ca="1">IF(INDIRECT("'数据-取费表'!ah"&amp;$G$1)="",INDIRECT("'数据-取费表'!k"&amp;$G$1),INDIRECT("'数据-取费表'!ah"&amp;$G$1))</f>
        <v>5672.8</v>
      </c>
      <c r="G7" s="1384"/>
      <c r="H7" s="304"/>
      <c r="I7" s="3667"/>
      <c r="J7" s="306"/>
      <c r="K7" s="307"/>
      <c r="L7" s="302" t="s">
        <v>697</v>
      </c>
      <c r="M7" s="303">
        <f ca="1">F7</f>
        <v>5672.8</v>
      </c>
    </row>
    <row r="8" spans="1:37" ht="18" customHeight="1">
      <c r="A8" s="304"/>
      <c r="B8" s="3667"/>
      <c r="C8" s="306"/>
      <c r="D8" s="307"/>
      <c r="E8" s="302" t="s">
        <v>698</v>
      </c>
      <c r="F8" s="303">
        <f ca="1">INDIRECT("'数据-取费表'!ai"&amp;$G$1)</f>
        <v>365</v>
      </c>
      <c r="G8" s="1384"/>
      <c r="H8" s="304"/>
      <c r="I8" s="3667"/>
      <c r="J8" s="306"/>
      <c r="K8" s="307"/>
      <c r="L8" s="302" t="s">
        <v>698</v>
      </c>
      <c r="M8" s="303">
        <f ca="1">INDIRECT("'数据-取费表'!ai"&amp;$G$1)</f>
        <v>365</v>
      </c>
    </row>
    <row r="9" spans="1:37" ht="18" customHeight="1">
      <c r="A9" s="304"/>
      <c r="B9" s="3668"/>
      <c r="C9" s="306"/>
      <c r="D9" s="307"/>
      <c r="E9" s="302" t="s">
        <v>699</v>
      </c>
      <c r="F9" s="312">
        <f ca="1">INDIRECT("'数据-取费表'!w"&amp;$G$1)</f>
        <v>0.4</v>
      </c>
      <c r="G9" s="1384"/>
      <c r="H9" s="304"/>
      <c r="I9" s="366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34922344</v>
      </c>
      <c r="D13" s="1081" t="s">
        <v>705</v>
      </c>
      <c r="E13" s="1081" t="s">
        <v>706</v>
      </c>
      <c r="F13" s="1082">
        <f ca="1">INDIRECT("'数据-取费表'!y"&amp;$G$1)</f>
        <v>0.85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28364000</v>
      </c>
      <c r="D14" s="1345" t="s">
        <v>708</v>
      </c>
      <c r="E14" s="1342"/>
      <c r="F14" s="319"/>
      <c r="G14" s="1384"/>
      <c r="H14" s="982" t="s">
        <v>398</v>
      </c>
      <c r="I14" s="302" t="s">
        <v>709</v>
      </c>
      <c r="J14" s="21">
        <f ca="1">C29</f>
        <v>41085111</v>
      </c>
      <c r="K14" s="12"/>
      <c r="L14" s="807"/>
      <c r="M14" s="808"/>
    </row>
    <row r="15" spans="1:37" s="1397" customFormat="1" ht="18" customHeight="1" thickBot="1">
      <c r="A15" s="982" t="s">
        <v>399</v>
      </c>
      <c r="B15" s="302" t="s">
        <v>710</v>
      </c>
      <c r="C15" s="21">
        <f ca="1">ROUND(C14*F15,0)</f>
        <v>2836400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96120</v>
      </c>
      <c r="K16" s="1087" t="s">
        <v>715</v>
      </c>
      <c r="L16" s="1088"/>
      <c r="M16" s="1072"/>
    </row>
    <row r="17" spans="1:37" s="1397" customFormat="1" ht="18" customHeight="1">
      <c r="A17" s="982" t="s">
        <v>681</v>
      </c>
      <c r="B17" s="302" t="s">
        <v>716</v>
      </c>
      <c r="C17" s="21">
        <f ca="1">ROUND(F17*(F43+INDIRECT("'数据-取费表'!S"&amp;$G$1)),0)</f>
        <v>1134560</v>
      </c>
      <c r="D17" s="302" t="s">
        <v>717</v>
      </c>
      <c r="E17" s="302" t="s">
        <v>718</v>
      </c>
      <c r="F17" s="23">
        <f>'数据-取费表'!B35</f>
        <v>200</v>
      </c>
      <c r="G17" s="1396"/>
      <c r="H17" s="982" t="s">
        <v>398</v>
      </c>
      <c r="I17" s="302" t="s">
        <v>719</v>
      </c>
      <c r="J17" s="2316">
        <f ca="1">ROUND(IF(AND(项目基本情况!B11="自然人",项目基本情况!B10="北京市"),J6*M17/(1+'数据-取费表'!C42),J18+J19+J20),0)</f>
        <v>13950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567280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32902240</v>
      </c>
      <c r="D19" s="131" t="s">
        <v>726</v>
      </c>
      <c r="E19" s="1360"/>
      <c r="F19" s="23"/>
      <c r="G19" s="1384"/>
      <c r="H19" s="982" t="s">
        <v>399</v>
      </c>
      <c r="I19" s="302" t="s">
        <v>727</v>
      </c>
      <c r="J19" s="21">
        <f ca="1">IF(K19="按租金收入计税",ROUND(J6*M19/(1+'数据-取费表'!C42),0),ROUND(C29*M19*0.7,0))</f>
        <v>0</v>
      </c>
      <c r="K19" s="1370" t="s">
        <v>3334</v>
      </c>
      <c r="L19" s="302" t="s">
        <v>712</v>
      </c>
      <c r="M19" s="322">
        <f>IF(K19="按租金收入计税",'数据-取费表'!B51,'数据-取费表'!B50)</f>
        <v>0.12</v>
      </c>
    </row>
    <row r="20" spans="1:37" s="1397" customFormat="1" ht="18" customHeight="1">
      <c r="A20" s="982" t="s">
        <v>402</v>
      </c>
      <c r="B20" s="302" t="s">
        <v>728</v>
      </c>
      <c r="C20" s="21">
        <f ca="1">ROUND(C19*F20,0)</f>
        <v>658045</v>
      </c>
      <c r="D20" s="323" t="s">
        <v>729</v>
      </c>
      <c r="E20" s="302" t="s">
        <v>712</v>
      </c>
      <c r="F20" s="322">
        <f>'数据-取费表'!B37</f>
        <v>0.02</v>
      </c>
      <c r="G20" s="1396"/>
      <c r="H20" s="982" t="s">
        <v>680</v>
      </c>
      <c r="I20" s="155" t="s">
        <v>730</v>
      </c>
      <c r="J20" s="22">
        <f ca="1">ROUND(M20*M21,0)</f>
        <v>13950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9300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82170</v>
      </c>
      <c r="K22" s="1344" t="s">
        <v>739</v>
      </c>
      <c r="L22" s="302" t="s">
        <v>712</v>
      </c>
      <c r="M22" s="328">
        <f ca="1">INDIRECT("'数据-取费表'!Ak"&amp;$G$1)</f>
        <v>2E-3</v>
      </c>
    </row>
    <row r="23" spans="1:37" s="1397" customFormat="1" ht="18" customHeight="1">
      <c r="A23" s="982" t="s">
        <v>397</v>
      </c>
      <c r="B23" s="302" t="s">
        <v>740</v>
      </c>
      <c r="C23" s="21">
        <f ca="1">IF('数据-取费表'!B22&lt;=1,ROUND(C19*F24*F23/2,0)+ROUND(C20*F24*F23/2,0),ROUND(C19*(POWER((1+F24),F23/2)-1),0)+ROUND(C20*(POWER((1+F24),F23/2)-1),0))</f>
        <v>1050437</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3.1300000000000001E-2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-96120</v>
      </c>
      <c r="K25" s="1095" t="s">
        <v>753</v>
      </c>
      <c r="L25" s="1096"/>
      <c r="M25" s="1097"/>
    </row>
    <row r="26" spans="1:37" ht="18" customHeight="1">
      <c r="A26" s="982" t="s">
        <v>397</v>
      </c>
      <c r="B26" s="302" t="s">
        <v>754</v>
      </c>
      <c r="C26" s="21">
        <f ca="1">ROUND((C19+C20)*F26,0)</f>
        <v>3356029</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41085111</v>
      </c>
      <c r="D29" s="1092"/>
      <c r="E29" s="1090"/>
      <c r="F29" s="1093"/>
      <c r="G29" s="1396"/>
      <c r="H29" s="334" t="s">
        <v>396</v>
      </c>
      <c r="I29" s="335" t="s">
        <v>768</v>
      </c>
      <c r="J29" s="336">
        <f ca="1">ROUND(J26/(1+F40)^F41,0)</f>
        <v>0</v>
      </c>
      <c r="K29" s="337" t="s">
        <v>769</v>
      </c>
      <c r="L29" s="338"/>
      <c r="M29" s="339">
        <f ca="1">INDIRECT("'数据-取费表'!k"&amp;$G$1)</f>
        <v>5672.8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479499</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326310</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IF(项目基本情况!B11="自然人","——",ROUND(C6*F32/(1+'数据-取费表'!C42),0))</f>
        <v>99387</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212973</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13950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9300</v>
      </c>
      <c r="G35" s="1384"/>
      <c r="H35" s="2697"/>
      <c r="I35" s="1398"/>
      <c r="J35" s="1399"/>
      <c r="K35" s="2701"/>
      <c r="L35" s="2700"/>
      <c r="M35" s="2700"/>
    </row>
    <row r="36" spans="1:18" ht="18" customHeight="1">
      <c r="A36" s="1102" t="s">
        <v>402</v>
      </c>
      <c r="B36" s="302" t="s">
        <v>738</v>
      </c>
      <c r="C36" s="21">
        <f ca="1">ROUND(C29*F36,0)</f>
        <v>82170</v>
      </c>
      <c r="D36" s="1344" t="s">
        <v>771</v>
      </c>
      <c r="E36" s="302" t="s">
        <v>712</v>
      </c>
      <c r="F36" s="328">
        <f ca="1">INDIRECT("'数据-取费表'!Ak"&amp;$G$1)</f>
        <v>2E-3</v>
      </c>
      <c r="G36" s="1384"/>
      <c r="H36" s="2700"/>
      <c r="I36" s="1398"/>
      <c r="J36" s="1399"/>
      <c r="K36" s="2544"/>
      <c r="L36" s="2700"/>
      <c r="M36" s="2700"/>
    </row>
    <row r="37" spans="1:18" ht="18" customHeight="1">
      <c r="A37" s="982" t="s">
        <v>437</v>
      </c>
      <c r="B37" s="302" t="s">
        <v>742</v>
      </c>
      <c r="C37" s="21">
        <f ca="1">ROUND(C13*F37,0)</f>
        <v>52384</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18635</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1384016</v>
      </c>
      <c r="D39" s="1095" t="s">
        <v>773</v>
      </c>
      <c r="E39" s="1096"/>
      <c r="F39" s="1097"/>
      <c r="G39" s="1384"/>
      <c r="H39" s="2700"/>
      <c r="I39" s="1398"/>
      <c r="J39" s="1399"/>
      <c r="K39" s="2704"/>
      <c r="L39" s="2700"/>
      <c r="M39" s="2700"/>
    </row>
    <row r="40" spans="1:18" ht="18" customHeight="1">
      <c r="A40" s="299" t="s">
        <v>395</v>
      </c>
      <c r="B40" s="300" t="s">
        <v>774</v>
      </c>
      <c r="C40" s="301">
        <f ca="1">ROUND(C39*(1-((1+F42)/(1+F40))^F41)/(F40-F42),0)</f>
        <v>28467848</v>
      </c>
      <c r="D40" s="324" t="s">
        <v>758</v>
      </c>
      <c r="E40" s="302" t="s">
        <v>759</v>
      </c>
      <c r="F40" s="312">
        <f ca="1">INDIRECT("'数据-取费表'!I"&amp;$G$1)</f>
        <v>0.05</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37.54</v>
      </c>
      <c r="G41" s="1384"/>
      <c r="H41" s="1191"/>
      <c r="I41" s="1398"/>
      <c r="J41" s="1399"/>
      <c r="K41" s="2544"/>
      <c r="L41" s="1191"/>
      <c r="M41" s="1191"/>
    </row>
    <row r="42" spans="1:18" ht="18" customHeight="1">
      <c r="A42" s="308"/>
      <c r="B42" s="309"/>
      <c r="C42" s="310"/>
      <c r="D42" s="327"/>
      <c r="E42" s="302" t="s">
        <v>766</v>
      </c>
      <c r="F42" s="312">
        <f ca="1">INDIRECT("'数据-取费表'!v"&amp;$G$1)</f>
        <v>1.4999999999999999E-2</v>
      </c>
      <c r="G42" s="1384"/>
      <c r="H42" s="1191"/>
      <c r="I42" s="1398"/>
      <c r="J42" s="1399"/>
      <c r="K42" s="2544"/>
      <c r="L42" s="1191"/>
      <c r="M42" s="1191"/>
    </row>
    <row r="43" spans="1:18" ht="18" customHeight="1" thickBot="1">
      <c r="A43" s="334" t="s">
        <v>396</v>
      </c>
      <c r="B43" s="335" t="s">
        <v>776</v>
      </c>
      <c r="C43" s="336">
        <f ca="1">ROUND(C40/F43,0)</f>
        <v>5018</v>
      </c>
      <c r="D43" s="337" t="s">
        <v>777</v>
      </c>
      <c r="E43" s="338" t="s">
        <v>778</v>
      </c>
      <c r="F43" s="339">
        <f ca="1">INDIRECT("'数据-取费表'!k"&amp;$G$1)</f>
        <v>5672.8</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3350</v>
      </c>
      <c r="B45" s="1400"/>
      <c r="C45" s="1472">
        <f ca="1">ROUND((C68-C40)/10000,4)</f>
        <v>-3096.2240000000002</v>
      </c>
      <c r="D45" s="3432" t="s">
        <v>3351</v>
      </c>
      <c r="E45" s="1400"/>
      <c r="F45" s="1400"/>
      <c r="O45" s="1403" t="s">
        <v>808</v>
      </c>
      <c r="P45" s="1461"/>
      <c r="Q45" s="1461"/>
      <c r="R45" s="1461"/>
    </row>
    <row r="46" spans="1:18" s="1384" customFormat="1" ht="13.8" thickBot="1">
      <c r="A46" s="1404" t="s">
        <v>809</v>
      </c>
      <c r="C46" s="1405">
        <f ca="1">ROUND(C45,0)</f>
        <v>-3096</v>
      </c>
      <c r="D46" s="1406" t="str">
        <f>C2</f>
        <v>万元</v>
      </c>
      <c r="I46" s="1407" t="s">
        <v>810</v>
      </c>
      <c r="J46" s="1408"/>
      <c r="K46" s="1409"/>
      <c r="L46" s="1410">
        <f ca="1">IF(M47="住宅",0,IF(L48&gt;J51,L60,J60))</f>
        <v>2202151</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t="s">
        <v>3426</v>
      </c>
      <c r="K47" s="1416" t="s">
        <v>816</v>
      </c>
      <c r="L47" s="1417">
        <f ca="1">INDIRECT("'数据-取费表'!d"&amp;$G$1)</f>
        <v>50</v>
      </c>
      <c r="M47" s="1380" t="str">
        <f>IF(ISNUMBER(FIND("住宅",C1)),"住宅","非住宅")</f>
        <v>非住宅</v>
      </c>
      <c r="O47" s="1418" t="s">
        <v>403</v>
      </c>
      <c r="P47" s="1419" t="s">
        <v>817</v>
      </c>
      <c r="Q47" s="1420">
        <f ca="1">C40+J29</f>
        <v>28467848</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3427</v>
      </c>
      <c r="K48" s="1423" t="s">
        <v>820</v>
      </c>
      <c r="L48" s="1424">
        <f ca="1">INDIRECT("'数据-取费表'!f"&amp;$G$1)</f>
        <v>37.54</v>
      </c>
      <c r="O48" s="1418" t="s">
        <v>404</v>
      </c>
      <c r="P48" s="1419" t="s">
        <v>821</v>
      </c>
      <c r="Q48" s="1420">
        <f ca="1">J60</f>
        <v>2202151</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v>2021</v>
      </c>
      <c r="K49" s="1423" t="s">
        <v>824</v>
      </c>
      <c r="L49" s="1427"/>
      <c r="O49" s="1428" t="s">
        <v>405</v>
      </c>
      <c r="P49" s="1419" t="s">
        <v>825</v>
      </c>
      <c r="Q49" s="1420">
        <f ca="1">C29</f>
        <v>41085111</v>
      </c>
      <c r="R49" s="1420" t="s">
        <v>818</v>
      </c>
    </row>
    <row r="50" spans="1:18" s="1384" customFormat="1" ht="13.8" thickBot="1">
      <c r="A50" s="976"/>
      <c r="B50" s="979"/>
      <c r="C50" s="980"/>
      <c r="D50" s="953"/>
      <c r="E50" s="1056" t="s">
        <v>697</v>
      </c>
      <c r="F50" s="1057">
        <f ca="1">F7</f>
        <v>5672.8</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8" thickBot="1">
      <c r="A51" s="977"/>
      <c r="B51" s="979"/>
      <c r="C51" s="980"/>
      <c r="D51" s="953"/>
      <c r="E51" s="981" t="s">
        <v>698</v>
      </c>
      <c r="F51" s="303">
        <f ca="1">F8</f>
        <v>365</v>
      </c>
      <c r="I51" s="1432" t="s">
        <v>829</v>
      </c>
      <c r="J51" s="1433">
        <f>IF(J49="",J50,J49+J50-YEAR('数据-取费表'!B2))</f>
        <v>56</v>
      </c>
      <c r="K51" s="1434" t="s">
        <v>830</v>
      </c>
      <c r="L51" s="1435">
        <f ca="1">ROUND(-PV(INDIRECT("'数据-取费表'!h"&amp;$G$1),J51,(C39-C13*C76),0),0)</f>
        <v>30752586</v>
      </c>
      <c r="M51" s="1436"/>
      <c r="O51" s="1428" t="s">
        <v>407</v>
      </c>
      <c r="P51" s="1419" t="s">
        <v>831</v>
      </c>
      <c r="Q51" s="1431">
        <f>J52</f>
        <v>5.5E-2</v>
      </c>
      <c r="R51" s="1420"/>
    </row>
    <row r="52" spans="1:18" s="1384" customFormat="1" ht="13.8" thickBot="1">
      <c r="A52" s="977"/>
      <c r="B52" s="979"/>
      <c r="C52" s="980"/>
      <c r="D52" s="953"/>
      <c r="E52" s="981" t="s">
        <v>699</v>
      </c>
      <c r="F52" s="1054"/>
      <c r="I52" s="1437" t="s">
        <v>832</v>
      </c>
      <c r="J52" s="1438">
        <v>5.5E-2</v>
      </c>
      <c r="K52" s="1437" t="s">
        <v>833</v>
      </c>
      <c r="L52" s="1438"/>
      <c r="O52" s="1428" t="s">
        <v>408</v>
      </c>
      <c r="P52" s="1419" t="s">
        <v>834</v>
      </c>
      <c r="Q52" s="1420">
        <f ca="1">J53</f>
        <v>37.54</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37.54</v>
      </c>
      <c r="K53" s="3664" t="s">
        <v>837</v>
      </c>
      <c r="L53" s="3665"/>
      <c r="O53" s="1418" t="s">
        <v>409</v>
      </c>
      <c r="P53" s="1419" t="s">
        <v>838</v>
      </c>
      <c r="Q53" s="1420">
        <f ca="1">Q47+Q48</f>
        <v>30669999</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f ca="1">ROUND(IF(J47="钢混",J57/J50,1-(1-2%)*(J50-J57)/J50),3)</f>
        <v>0.308</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34922344</v>
      </c>
      <c r="D56" s="1447"/>
      <c r="E56" s="1448"/>
      <c r="F56" s="1440"/>
      <c r="I56" s="1449" t="s">
        <v>842</v>
      </c>
      <c r="J56" s="1450"/>
      <c r="K56" s="1421" t="s">
        <v>843</v>
      </c>
      <c r="L56" s="1424" t="str">
        <f ca="1">IF(L48&lt;J51,"——",L48-J51)</f>
        <v>——</v>
      </c>
      <c r="O56" s="1418" t="s">
        <v>403</v>
      </c>
      <c r="P56" s="1419" t="s">
        <v>817</v>
      </c>
      <c r="Q56" s="1420">
        <f ca="1">C40+J29</f>
        <v>28467848</v>
      </c>
      <c r="R56" s="1420" t="s">
        <v>818</v>
      </c>
    </row>
    <row r="57" spans="1:18" s="1384" customFormat="1" ht="24.6" thickBot="1">
      <c r="A57" s="1451"/>
      <c r="B57" s="950" t="s">
        <v>767</v>
      </c>
      <c r="C57" s="238">
        <f ca="1">C29</f>
        <v>41085111</v>
      </c>
      <c r="D57" s="1452"/>
      <c r="E57" s="1453"/>
      <c r="F57" s="1454"/>
      <c r="I57" s="1455" t="s">
        <v>844</v>
      </c>
      <c r="J57" s="1456">
        <f ca="1">IF(OR(M47="住宅",J51&lt;L48,J56="是"),"——",J51-L48)</f>
        <v>18.46</v>
      </c>
      <c r="K57" s="1421" t="s">
        <v>892</v>
      </c>
      <c r="L57" s="1424" t="str">
        <f ca="1">IF(L48&lt;J51,"——",IF(L55="比较法",L49,IF(L55="基准地价",L50,L51)))</f>
        <v>——</v>
      </c>
      <c r="O57" s="1418" t="s">
        <v>404</v>
      </c>
      <c r="P57" s="1419" t="s">
        <v>893</v>
      </c>
      <c r="Q57" s="1420">
        <f ca="1">L60</f>
        <v>0</v>
      </c>
      <c r="R57" s="1420" t="s">
        <v>894</v>
      </c>
    </row>
    <row r="58" spans="1:18" s="1384" customFormat="1" ht="24.6" thickBot="1">
      <c r="A58" s="315" t="s">
        <v>393</v>
      </c>
      <c r="B58" s="958" t="s">
        <v>714</v>
      </c>
      <c r="C58" s="316">
        <f ca="1">ROUND(C59+C64+C65+C66,0)</f>
        <v>148504</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13950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16434044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2202151</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IF(项目基本情况!B11="自然人","——",IF(D61="按租金收入计税",ROUND(C49*F61/(1+'数据-取费表'!C42),0),IF(D61="按房产原值计税",ROUND(C57*F61*0.7,0),INDIRECT("'数据-取费表'!Aj"&amp;$G$1))))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IF(项目基本情况!B11="自然人","——",ROUND(F62*F63,0))</f>
        <v>13950</v>
      </c>
      <c r="D62" s="965" t="s">
        <v>786</v>
      </c>
      <c r="E62" s="950" t="s">
        <v>787</v>
      </c>
      <c r="F62" s="325">
        <f t="shared" si="0"/>
        <v>1.5</v>
      </c>
      <c r="I62" s="1462" t="s">
        <v>858</v>
      </c>
      <c r="J62" s="1463" t="s">
        <v>859</v>
      </c>
      <c r="K62" s="1463" t="s">
        <v>860</v>
      </c>
      <c r="L62" s="1463" t="s">
        <v>861</v>
      </c>
      <c r="M62" s="1464" t="s">
        <v>862</v>
      </c>
      <c r="O62" s="1418" t="s">
        <v>409</v>
      </c>
      <c r="P62" s="1419" t="s">
        <v>863</v>
      </c>
      <c r="Q62" s="1420">
        <f ca="1">Q56+Q57</f>
        <v>28467848</v>
      </c>
      <c r="R62" s="1420" t="s">
        <v>410</v>
      </c>
    </row>
    <row r="63" spans="1:18" s="1384" customFormat="1" ht="13.8" thickBot="1">
      <c r="A63" s="326"/>
      <c r="B63" s="956"/>
      <c r="C63" s="26"/>
      <c r="D63" s="966"/>
      <c r="E63" s="950" t="s">
        <v>788</v>
      </c>
      <c r="F63" s="303">
        <f t="shared" ca="1" si="0"/>
        <v>9300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82170</v>
      </c>
      <c r="D64" s="964" t="s">
        <v>791</v>
      </c>
      <c r="E64" s="950" t="s">
        <v>783</v>
      </c>
      <c r="F64" s="328">
        <f t="shared" ca="1" si="0"/>
        <v>2E-3</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52384</v>
      </c>
      <c r="D65" s="964" t="s">
        <v>743</v>
      </c>
      <c r="E65" s="950" t="s">
        <v>744</v>
      </c>
      <c r="F65" s="330">
        <f t="shared" ca="1" si="0"/>
        <v>1.5E-3</v>
      </c>
      <c r="I65" s="1462" t="s">
        <v>867</v>
      </c>
      <c r="J65" s="1463">
        <v>40</v>
      </c>
      <c r="K65" s="1463">
        <v>30</v>
      </c>
      <c r="L65" s="1463">
        <v>50</v>
      </c>
      <c r="M65" s="1465">
        <v>0.02</v>
      </c>
      <c r="O65" s="1418" t="s">
        <v>403</v>
      </c>
      <c r="P65" s="1419" t="s">
        <v>868</v>
      </c>
      <c r="Q65" s="1420">
        <f ca="1">C40+J29</f>
        <v>28467848</v>
      </c>
      <c r="R65" s="1420" t="s">
        <v>818</v>
      </c>
    </row>
    <row r="66" spans="1:18" s="1384" customFormat="1" ht="16.2"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24.6" thickBot="1">
      <c r="A67" s="957" t="s">
        <v>394</v>
      </c>
      <c r="B67" s="967" t="s">
        <v>752</v>
      </c>
      <c r="C67" s="316">
        <f ca="1">C48-C58</f>
        <v>-148504</v>
      </c>
      <c r="D67" s="963" t="s">
        <v>753</v>
      </c>
      <c r="E67" s="968"/>
      <c r="F67" s="969"/>
      <c r="O67" s="1428" t="s">
        <v>405</v>
      </c>
      <c r="P67" s="1419" t="s">
        <v>850</v>
      </c>
      <c r="Q67" s="1466">
        <f ca="1">L51</f>
        <v>30752586</v>
      </c>
      <c r="R67" s="1420" t="s">
        <v>870</v>
      </c>
    </row>
    <row r="68" spans="1:18" s="1384" customFormat="1" ht="16.2" thickBot="1">
      <c r="A68" s="947" t="s">
        <v>395</v>
      </c>
      <c r="B68" s="948" t="s">
        <v>774</v>
      </c>
      <c r="C68" s="301">
        <f ca="1">ROUND(C67*(1-((1+F70)/(1+F68))^F69)/(F68-F70),0)</f>
        <v>-2494392</v>
      </c>
      <c r="D68" s="965" t="s">
        <v>758</v>
      </c>
      <c r="E68" s="950" t="s">
        <v>759</v>
      </c>
      <c r="F68" s="312">
        <f ca="1">F40</f>
        <v>0.05</v>
      </c>
      <c r="O68" s="1428" t="s">
        <v>406</v>
      </c>
      <c r="P68" s="1467" t="s">
        <v>871</v>
      </c>
      <c r="Q68" s="1420">
        <f ca="1">ROUND(Q69-Q70*Q71,0)</f>
        <v>1384016</v>
      </c>
      <c r="R68" s="1420" t="s">
        <v>414</v>
      </c>
    </row>
    <row r="69" spans="1:18" s="1384" customFormat="1" ht="13.8" thickBot="1">
      <c r="A69" s="951"/>
      <c r="B69" s="952"/>
      <c r="C69" s="306"/>
      <c r="D69" s="970" t="s">
        <v>762</v>
      </c>
      <c r="E69" s="950" t="s">
        <v>763</v>
      </c>
      <c r="F69" s="333">
        <f ca="1">F41</f>
        <v>37.54</v>
      </c>
      <c r="O69" s="1428" t="s">
        <v>411</v>
      </c>
      <c r="P69" s="1467" t="s">
        <v>872</v>
      </c>
      <c r="Q69" s="1420">
        <f ca="1">C39</f>
        <v>1384016</v>
      </c>
      <c r="R69" s="1420" t="s">
        <v>818</v>
      </c>
    </row>
    <row r="70" spans="1:18" s="1384" customFormat="1" ht="13.8" thickBot="1">
      <c r="A70" s="954"/>
      <c r="B70" s="955"/>
      <c r="C70" s="310"/>
      <c r="D70" s="966"/>
      <c r="E70" s="950" t="s">
        <v>766</v>
      </c>
      <c r="F70" s="1054"/>
      <c r="O70" s="1428" t="s">
        <v>412</v>
      </c>
      <c r="P70" s="1467" t="s">
        <v>873</v>
      </c>
      <c r="Q70" s="1420">
        <f ca="1">C13</f>
        <v>34922344</v>
      </c>
      <c r="R70" s="1420" t="s">
        <v>818</v>
      </c>
    </row>
    <row r="71" spans="1:18" s="1384" customFormat="1" ht="13.8" thickBot="1">
      <c r="A71" s="971" t="s">
        <v>396</v>
      </c>
      <c r="B71" s="972" t="s">
        <v>776</v>
      </c>
      <c r="C71" s="336">
        <f ca="1">ROUND(C68/F71,0)</f>
        <v>-440</v>
      </c>
      <c r="D71" s="973" t="s">
        <v>777</v>
      </c>
      <c r="E71" s="974" t="s">
        <v>778</v>
      </c>
      <c r="F71" s="339">
        <f ca="1">F43</f>
        <v>5672.8</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f ca="1">Q65+Q66</f>
        <v>28467848</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-0.22700000000000009</v>
      </c>
    </row>
    <row r="83" spans="2:3">
      <c r="B83" s="273" t="s">
        <v>803</v>
      </c>
      <c r="C83" s="274">
        <f ca="1">ROUND(C13/C40,3)</f>
        <v>1.2270000000000001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2" customHeight="1">
      <c r="A2" s="1385" t="s">
        <v>2315</v>
      </c>
      <c r="B2" s="2843" t="e">
        <f>IF(D2="——",C40,C40+E2)</f>
        <v>#DIV/0!</v>
      </c>
      <c r="C2" s="2844" t="s">
        <v>2316</v>
      </c>
      <c r="D2" s="3443" t="s">
        <v>3357</v>
      </c>
      <c r="E2" s="3444"/>
      <c r="F2" s="2846"/>
      <c r="G2" s="2847"/>
      <c r="H2" s="2848"/>
      <c r="I2" s="2849"/>
      <c r="J2" s="3675" t="s">
        <v>2317</v>
      </c>
      <c r="K2" s="3676"/>
      <c r="L2" s="2850" t="s">
        <v>2318</v>
      </c>
      <c r="M2" s="2850" t="s">
        <v>2319</v>
      </c>
      <c r="N2" s="2850" t="s">
        <v>2320</v>
      </c>
      <c r="O2" s="2850" t="s">
        <v>2321</v>
      </c>
      <c r="P2" s="2850" t="s">
        <v>2322</v>
      </c>
      <c r="Q2" s="2851" t="s">
        <v>2323</v>
      </c>
      <c r="R2" s="2852" t="s">
        <v>2324</v>
      </c>
      <c r="S2" s="2841"/>
      <c r="T2" s="2841"/>
      <c r="U2" s="2841"/>
      <c r="V2" s="2849"/>
    </row>
    <row r="3" spans="1:22" s="2853" customFormat="1" ht="13.2" customHeight="1">
      <c r="A3" s="2854" t="s">
        <v>2325</v>
      </c>
      <c r="B3" s="2855" t="e">
        <f>ROUND(B2*10000/B4,0)</f>
        <v>#DIV/0!</v>
      </c>
      <c r="C3" s="2844" t="s">
        <v>2326</v>
      </c>
      <c r="D3" s="2844"/>
      <c r="E3" s="2845"/>
      <c r="F3" s="2846"/>
      <c r="G3" s="2847"/>
      <c r="H3" s="2848"/>
      <c r="I3" s="2849"/>
      <c r="J3" s="3677" t="s">
        <v>2327</v>
      </c>
      <c r="K3" s="3678"/>
      <c r="L3" s="2856"/>
      <c r="M3" s="2856"/>
      <c r="N3" s="2856"/>
      <c r="O3" s="2856"/>
      <c r="P3" s="2856"/>
      <c r="Q3" s="2857"/>
      <c r="R3" s="2858">
        <f>SUM(L3:Q3)</f>
        <v>0</v>
      </c>
      <c r="S3" s="2841"/>
      <c r="T3" s="2841"/>
      <c r="U3" s="2841"/>
      <c r="V3" s="2849"/>
    </row>
    <row r="4" spans="1:22" s="2853" customFormat="1" ht="13.2" customHeight="1">
      <c r="A4" s="2859" t="s">
        <v>2328</v>
      </c>
      <c r="B4" s="2860"/>
      <c r="C4" s="2844"/>
      <c r="D4" s="2844"/>
      <c r="E4" s="2845"/>
      <c r="F4" s="2846"/>
      <c r="G4" s="2847"/>
      <c r="H4" s="2848"/>
      <c r="I4" s="2849"/>
      <c r="J4" s="3677" t="s">
        <v>2329</v>
      </c>
      <c r="K4" s="3678"/>
      <c r="L4" s="2861"/>
      <c r="M4" s="2861"/>
      <c r="N4" s="2861"/>
      <c r="O4" s="2861"/>
      <c r="P4" s="2861"/>
      <c r="Q4" s="2862"/>
      <c r="R4" s="2863">
        <f>SUM(L4:Q4)</f>
        <v>0</v>
      </c>
      <c r="S4" s="2841"/>
      <c r="T4" s="2841"/>
      <c r="U4" s="2841"/>
      <c r="V4" s="2849"/>
    </row>
    <row r="5" spans="1:22" s="2853" customFormat="1" ht="13.2"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2" customHeight="1" thickBot="1">
      <c r="A6" s="3683" t="s">
        <v>2333</v>
      </c>
      <c r="B6" s="3684"/>
      <c r="C6" s="3685"/>
      <c r="D6" s="2870"/>
      <c r="E6" s="2871"/>
      <c r="F6" s="2872"/>
      <c r="G6" s="2873"/>
      <c r="H6" s="2848"/>
      <c r="I6" s="2849"/>
      <c r="J6" s="3669">
        <v>1</v>
      </c>
      <c r="K6" s="3670"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2" customHeight="1">
      <c r="A7" s="2876" t="s">
        <v>2343</v>
      </c>
      <c r="B7" s="2877"/>
      <c r="C7" s="2878"/>
      <c r="D7" s="2879">
        <f>SUM(D9,D10,D11,D17,0)</f>
        <v>0</v>
      </c>
      <c r="E7" s="2880" t="e">
        <f>E9+E10+E11+E17</f>
        <v>#DIV/0!</v>
      </c>
      <c r="F7" s="2881"/>
      <c r="G7" s="2882"/>
      <c r="H7" s="2848"/>
      <c r="I7" s="2849"/>
      <c r="J7" s="3669"/>
      <c r="K7" s="3671"/>
      <c r="L7" s="2883" t="s">
        <v>2344</v>
      </c>
      <c r="M7" s="2884"/>
      <c r="N7" s="2860"/>
      <c r="O7" s="2885"/>
      <c r="P7" s="2885"/>
      <c r="Q7" s="2886">
        <v>365</v>
      </c>
      <c r="R7" s="2887">
        <f>ROUND(M7*N7*O7*P7*Q7/10000,0)</f>
        <v>0</v>
      </c>
      <c r="S7" s="2841"/>
      <c r="T7" s="2841" t="s">
        <v>2345</v>
      </c>
      <c r="U7" s="2841"/>
      <c r="V7" s="2849"/>
    </row>
    <row r="8" spans="1:22" s="2853" customFormat="1" ht="13.2" customHeight="1">
      <c r="A8" s="2888" t="s">
        <v>2346</v>
      </c>
      <c r="B8" s="3686" t="s">
        <v>2347</v>
      </c>
      <c r="C8" s="3687"/>
      <c r="D8" s="2889" t="s">
        <v>2348</v>
      </c>
      <c r="E8" s="2890" t="s">
        <v>2349</v>
      </c>
      <c r="F8" s="2891" t="s">
        <v>2350</v>
      </c>
      <c r="G8" s="2892"/>
      <c r="H8" s="2848"/>
      <c r="I8" s="2849"/>
      <c r="J8" s="3669"/>
      <c r="K8" s="3671"/>
      <c r="L8" s="2883" t="s">
        <v>2351</v>
      </c>
      <c r="M8" s="2884"/>
      <c r="N8" s="2860"/>
      <c r="O8" s="2885"/>
      <c r="P8" s="2885"/>
      <c r="Q8" s="2886">
        <v>365</v>
      </c>
      <c r="R8" s="2887">
        <f t="shared" ref="R8:R13" si="0">ROUND(M8*N8*O8*P8*Q8/10000,0)</f>
        <v>0</v>
      </c>
      <c r="S8" s="2841"/>
      <c r="T8" s="2841" t="s">
        <v>2352</v>
      </c>
      <c r="U8" s="2841"/>
      <c r="V8" s="2849"/>
    </row>
    <row r="9" spans="1:22" s="2853" customFormat="1" ht="13.2" customHeight="1">
      <c r="A9" s="2888">
        <v>1</v>
      </c>
      <c r="B9" s="3686" t="s">
        <v>2353</v>
      </c>
      <c r="C9" s="3687"/>
      <c r="D9" s="2889">
        <f>ROUND(D6*E9,0)</f>
        <v>0</v>
      </c>
      <c r="E9" s="2893"/>
      <c r="F9" s="2894" t="s">
        <v>2354</v>
      </c>
      <c r="G9" s="2873"/>
      <c r="H9" s="2848"/>
      <c r="I9" s="2849"/>
      <c r="J9" s="3669"/>
      <c r="K9" s="3671"/>
      <c r="L9" s="2883" t="s">
        <v>2355</v>
      </c>
      <c r="M9" s="2884"/>
      <c r="N9" s="2860"/>
      <c r="O9" s="2885"/>
      <c r="P9" s="2885"/>
      <c r="Q9" s="2886">
        <v>365</v>
      </c>
      <c r="R9" s="2887">
        <f t="shared" si="0"/>
        <v>0</v>
      </c>
      <c r="S9" s="2841"/>
      <c r="T9" s="2841"/>
      <c r="U9" s="2841"/>
      <c r="V9" s="2849"/>
    </row>
    <row r="10" spans="1:22" s="2853" customFormat="1" ht="13.2" customHeight="1">
      <c r="A10" s="2888">
        <v>2</v>
      </c>
      <c r="B10" s="3686" t="s">
        <v>2356</v>
      </c>
      <c r="C10" s="3687"/>
      <c r="D10" s="2889">
        <f>ROUND(D6*E10,0)</f>
        <v>0</v>
      </c>
      <c r="E10" s="2893"/>
      <c r="F10" s="2894" t="s">
        <v>2357</v>
      </c>
      <c r="G10" s="2873"/>
      <c r="H10" s="2848"/>
      <c r="I10" s="2849"/>
      <c r="J10" s="3669"/>
      <c r="K10" s="3671"/>
      <c r="L10" s="2883" t="s">
        <v>2358</v>
      </c>
      <c r="M10" s="2884"/>
      <c r="N10" s="2860"/>
      <c r="O10" s="2885"/>
      <c r="P10" s="2885"/>
      <c r="Q10" s="2886">
        <v>365</v>
      </c>
      <c r="R10" s="2887">
        <f t="shared" si="0"/>
        <v>0</v>
      </c>
      <c r="S10" s="2841"/>
      <c r="T10" s="2841"/>
      <c r="U10" s="2841"/>
      <c r="V10" s="2849"/>
    </row>
    <row r="11" spans="1:22" s="2853" customFormat="1" ht="13.2" customHeight="1">
      <c r="A11" s="2888">
        <v>3</v>
      </c>
      <c r="B11" s="3686" t="s">
        <v>2359</v>
      </c>
      <c r="C11" s="3687"/>
      <c r="D11" s="2889">
        <f>D12+D14+D15+D16</f>
        <v>0</v>
      </c>
      <c r="E11" s="2895" t="e">
        <f>D11/D6</f>
        <v>#DIV/0!</v>
      </c>
      <c r="F11" s="2891"/>
      <c r="G11" s="2892"/>
      <c r="H11" s="2848"/>
      <c r="I11" s="2849"/>
      <c r="J11" s="3669"/>
      <c r="K11" s="3671"/>
      <c r="L11" s="2883" t="s">
        <v>2360</v>
      </c>
      <c r="M11" s="2884"/>
      <c r="N11" s="2860"/>
      <c r="O11" s="2885"/>
      <c r="P11" s="2885"/>
      <c r="Q11" s="2886">
        <v>365</v>
      </c>
      <c r="R11" s="2887">
        <f t="shared" si="0"/>
        <v>0</v>
      </c>
      <c r="S11" s="2841"/>
      <c r="T11" s="2841"/>
      <c r="U11" s="2841"/>
      <c r="V11" s="2849"/>
    </row>
    <row r="12" spans="1:22" s="2853" customFormat="1" ht="13.2" customHeight="1">
      <c r="A12" s="2896" t="s">
        <v>2361</v>
      </c>
      <c r="B12" s="3679" t="s">
        <v>2362</v>
      </c>
      <c r="C12" s="3680"/>
      <c r="D12" s="2897">
        <f>ROUND(D13*1.2%*(1-30%),0)</f>
        <v>0</v>
      </c>
      <c r="E12" s="2898">
        <v>1.2E-2</v>
      </c>
      <c r="F12" s="2891" t="s">
        <v>2363</v>
      </c>
      <c r="G12" s="2892"/>
      <c r="H12" s="2848"/>
      <c r="I12" s="2849"/>
      <c r="J12" s="3669"/>
      <c r="K12" s="3671"/>
      <c r="L12" s="2883" t="s">
        <v>2364</v>
      </c>
      <c r="M12" s="2884"/>
      <c r="N12" s="2860"/>
      <c r="O12" s="2885"/>
      <c r="P12" s="2885"/>
      <c r="Q12" s="2886">
        <v>365</v>
      </c>
      <c r="R12" s="2887">
        <f t="shared" si="0"/>
        <v>0</v>
      </c>
      <c r="S12" s="2841"/>
      <c r="T12" s="2841"/>
      <c r="U12" s="2841"/>
      <c r="V12" s="2849"/>
    </row>
    <row r="13" spans="1:22" s="2853" customFormat="1" ht="13.2" customHeight="1">
      <c r="A13" s="2896"/>
      <c r="B13" s="2899"/>
      <c r="C13" s="2900" t="s">
        <v>2365</v>
      </c>
      <c r="D13" s="2901"/>
      <c r="E13" s="2902"/>
      <c r="F13" s="2891"/>
      <c r="G13" s="2892"/>
      <c r="H13" s="2848"/>
      <c r="I13" s="2849"/>
      <c r="J13" s="3669"/>
      <c r="K13" s="3671"/>
      <c r="L13" s="2883" t="s">
        <v>2366</v>
      </c>
      <c r="M13" s="2884"/>
      <c r="N13" s="2860"/>
      <c r="O13" s="2885"/>
      <c r="P13" s="2885"/>
      <c r="Q13" s="2886">
        <v>365</v>
      </c>
      <c r="R13" s="2887">
        <f t="shared" si="0"/>
        <v>0</v>
      </c>
      <c r="S13" s="2841"/>
      <c r="T13" s="2841"/>
      <c r="U13" s="2841"/>
      <c r="V13" s="2849"/>
    </row>
    <row r="14" spans="1:22" s="2853" customFormat="1" ht="13.2" customHeight="1">
      <c r="A14" s="2896" t="s">
        <v>2367</v>
      </c>
      <c r="B14" s="3679" t="s">
        <v>2368</v>
      </c>
      <c r="C14" s="3680"/>
      <c r="D14" s="2897">
        <f>ROUND(E14*B5/10000,0)</f>
        <v>0</v>
      </c>
      <c r="E14" s="2886"/>
      <c r="F14" s="2891" t="s">
        <v>2369</v>
      </c>
      <c r="G14" s="2892"/>
      <c r="H14" s="2848"/>
      <c r="I14" s="2849"/>
      <c r="J14" s="3669"/>
      <c r="K14" s="3672"/>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2371</v>
      </c>
      <c r="B15" s="3679" t="s">
        <v>2372</v>
      </c>
      <c r="C15" s="3680"/>
      <c r="D15" s="2897">
        <f>ROUND(D6*E15,0)</f>
        <v>0</v>
      </c>
      <c r="E15" s="2898">
        <v>5.5E-2</v>
      </c>
      <c r="F15" s="2891" t="s">
        <v>2373</v>
      </c>
      <c r="G15" s="2873"/>
      <c r="H15" s="2848"/>
      <c r="I15" s="2849"/>
      <c r="J15" s="3669">
        <v>2</v>
      </c>
      <c r="K15" s="3670"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2" customHeight="1">
      <c r="A16" s="2896" t="s">
        <v>2380</v>
      </c>
      <c r="B16" s="3679" t="s">
        <v>2381</v>
      </c>
      <c r="C16" s="3680"/>
      <c r="D16" s="2908">
        <f>D6*E16</f>
        <v>0</v>
      </c>
      <c r="E16" s="2909"/>
      <c r="F16" s="2894" t="s">
        <v>2382</v>
      </c>
      <c r="G16" s="2873"/>
      <c r="H16" s="2848"/>
      <c r="I16" s="2849"/>
      <c r="J16" s="3669"/>
      <c r="K16" s="3671"/>
      <c r="L16" s="2883" t="s">
        <v>2383</v>
      </c>
      <c r="M16" s="2884"/>
      <c r="N16" s="2884"/>
      <c r="O16" s="2885"/>
      <c r="P16" s="2886">
        <v>365</v>
      </c>
      <c r="Q16" s="2860"/>
      <c r="R16" s="2907">
        <f>ROUND(M16*N16*O16*P16/10000,0)</f>
        <v>0</v>
      </c>
      <c r="S16" s="2841"/>
      <c r="T16" s="2841"/>
      <c r="U16" s="2841"/>
      <c r="V16" s="2849"/>
    </row>
    <row r="17" spans="1:22" s="2853" customFormat="1" ht="13.2" customHeight="1" thickBot="1">
      <c r="A17" s="2910">
        <v>4</v>
      </c>
      <c r="B17" s="3681" t="s">
        <v>2384</v>
      </c>
      <c r="C17" s="3682"/>
      <c r="D17" s="2911">
        <f>ROUND(D6*E17,0)</f>
        <v>0</v>
      </c>
      <c r="E17" s="2912"/>
      <c r="F17" s="2913" t="s">
        <v>2385</v>
      </c>
      <c r="G17" s="2873"/>
      <c r="H17" s="2848"/>
      <c r="I17" s="2849"/>
      <c r="J17" s="3669"/>
      <c r="K17" s="3671"/>
      <c r="L17" s="2883" t="s">
        <v>2386</v>
      </c>
      <c r="M17" s="2884"/>
      <c r="N17" s="2884"/>
      <c r="O17" s="2885"/>
      <c r="P17" s="2886">
        <v>365</v>
      </c>
      <c r="Q17" s="2860"/>
      <c r="R17" s="2907">
        <f>ROUND(M17*N17*O17*P17/10000,0)</f>
        <v>0</v>
      </c>
      <c r="S17" s="2841"/>
      <c r="T17" s="2841"/>
      <c r="U17" s="2841"/>
      <c r="V17" s="2849"/>
    </row>
    <row r="18" spans="1:22" s="2853" customFormat="1" ht="13.2" customHeight="1" thickBot="1">
      <c r="A18" s="2876" t="s">
        <v>2387</v>
      </c>
      <c r="B18" s="2877"/>
      <c r="C18" s="2877"/>
      <c r="D18" s="2914">
        <f>ROUND(D6*E18,0)</f>
        <v>0</v>
      </c>
      <c r="E18" s="2915"/>
      <c r="F18" s="2916" t="s">
        <v>2388</v>
      </c>
      <c r="G18" s="2873"/>
      <c r="H18" s="2848"/>
      <c r="I18" s="2849"/>
      <c r="J18" s="3669"/>
      <c r="K18" s="3671"/>
      <c r="L18" s="2883" t="s">
        <v>2389</v>
      </c>
      <c r="M18" s="2884"/>
      <c r="N18" s="2884"/>
      <c r="O18" s="2885"/>
      <c r="P18" s="2886">
        <v>365</v>
      </c>
      <c r="Q18" s="2860"/>
      <c r="R18" s="2907">
        <f>ROUND(M18*N18*O18*P18/10000,0)</f>
        <v>0</v>
      </c>
      <c r="S18" s="2841"/>
      <c r="T18" s="2841"/>
      <c r="U18" s="2841"/>
      <c r="V18" s="2849"/>
    </row>
    <row r="19" spans="1:22" s="2853" customFormat="1" ht="13.2" customHeight="1" thickBot="1">
      <c r="A19" s="2917" t="s">
        <v>2390</v>
      </c>
      <c r="B19" s="2871"/>
      <c r="C19" s="2871"/>
      <c r="D19" s="2871"/>
      <c r="E19" s="2871"/>
      <c r="F19" s="2872"/>
      <c r="G19" s="2892"/>
      <c r="H19" s="2848"/>
      <c r="I19" s="2849"/>
      <c r="J19" s="3669"/>
      <c r="K19" s="3672"/>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669">
        <v>3</v>
      </c>
      <c r="K20" s="3670"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2" customHeight="1">
      <c r="A21" s="2876"/>
      <c r="B21" s="2877"/>
      <c r="C21" s="2923" t="s">
        <v>2399</v>
      </c>
      <c r="D21" s="2924" t="s">
        <v>2400</v>
      </c>
      <c r="E21" s="2925" t="s">
        <v>2401</v>
      </c>
      <c r="F21" s="2920"/>
      <c r="G21" s="2892"/>
      <c r="H21" s="2848"/>
      <c r="I21" s="2849"/>
      <c r="J21" s="3669"/>
      <c r="K21" s="3671"/>
      <c r="L21" s="2883" t="s">
        <v>2402</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2403</v>
      </c>
      <c r="D22" s="2928" t="s">
        <v>2404</v>
      </c>
      <c r="E22" s="2929" t="s">
        <v>2405</v>
      </c>
      <c r="F22" s="2920"/>
      <c r="G22" s="2930"/>
      <c r="H22" s="2848"/>
      <c r="I22" s="2849"/>
      <c r="J22" s="3669"/>
      <c r="K22" s="3671"/>
      <c r="L22" s="2883" t="s">
        <v>2406</v>
      </c>
      <c r="M22" s="2884"/>
      <c r="N22" s="2884"/>
      <c r="O22" s="2885"/>
      <c r="P22" s="2886">
        <v>365</v>
      </c>
      <c r="Q22" s="2860"/>
      <c r="R22" s="2926">
        <f>ROUND(M22*N22*O22*P22/10000,0)</f>
        <v>0</v>
      </c>
      <c r="S22" s="2922"/>
      <c r="T22" s="2922"/>
      <c r="U22" s="2922"/>
      <c r="V22" s="2849"/>
    </row>
    <row r="23" spans="1:22" s="2853" customFormat="1" ht="13.2" customHeight="1">
      <c r="A23" s="2931">
        <v>1</v>
      </c>
      <c r="B23" s="2932" t="s">
        <v>2407</v>
      </c>
      <c r="C23" s="2933">
        <f>D6</f>
        <v>0</v>
      </c>
      <c r="D23" s="2934">
        <f>C23*(1+D24)</f>
        <v>0</v>
      </c>
      <c r="E23" s="2935">
        <f>D23*(1+E24)</f>
        <v>0</v>
      </c>
      <c r="F23" s="2936"/>
      <c r="G23" s="2937"/>
      <c r="H23" s="2848"/>
      <c r="I23" s="2849"/>
      <c r="J23" s="3669"/>
      <c r="K23" s="3671"/>
      <c r="L23" s="2883" t="s">
        <v>2408</v>
      </c>
      <c r="M23" s="2884"/>
      <c r="N23" s="2884"/>
      <c r="O23" s="2885"/>
      <c r="P23" s="2886">
        <v>365</v>
      </c>
      <c r="Q23" s="2860"/>
      <c r="R23" s="2926">
        <f>ROUND(M23*N23*O23*P23/10000,0)</f>
        <v>0</v>
      </c>
      <c r="S23" s="2841"/>
      <c r="T23" s="2841"/>
      <c r="U23" s="2841"/>
      <c r="V23" s="2849"/>
    </row>
    <row r="24" spans="1:22" s="2853" customFormat="1" ht="13.2" customHeight="1">
      <c r="A24" s="2938"/>
      <c r="B24" s="2939" t="s">
        <v>2409</v>
      </c>
      <c r="C24" s="2940"/>
      <c r="D24" s="2941"/>
      <c r="E24" s="2942"/>
      <c r="F24" s="2943"/>
      <c r="G24" s="2937"/>
      <c r="H24" s="2848"/>
      <c r="I24" s="2849"/>
      <c r="J24" s="3669"/>
      <c r="K24" s="3672"/>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2" customHeight="1">
      <c r="A26" s="2931">
        <v>2</v>
      </c>
      <c r="B26" s="2932" t="s">
        <v>2411</v>
      </c>
      <c r="C26" s="2933">
        <f>D7</f>
        <v>0</v>
      </c>
      <c r="D26" s="2934">
        <f>D23*D27</f>
        <v>0</v>
      </c>
      <c r="E26" s="2935">
        <f>E23*E27</f>
        <v>0</v>
      </c>
      <c r="F26" s="2936"/>
      <c r="G26" s="2937"/>
      <c r="H26" s="2848"/>
      <c r="I26" s="2849"/>
      <c r="J26" s="3673">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2" customHeight="1">
      <c r="A27" s="2938"/>
      <c r="B27" s="2939" t="s">
        <v>2417</v>
      </c>
      <c r="C27" s="2957" t="e">
        <f>E7</f>
        <v>#DIV/0!</v>
      </c>
      <c r="D27" s="2941"/>
      <c r="E27" s="2942"/>
      <c r="F27" s="2943"/>
      <c r="G27" s="2937"/>
      <c r="H27" s="2958"/>
      <c r="I27" s="2949"/>
      <c r="J27" s="3674"/>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2"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2" customHeight="1">
      <c r="A32" s="2931">
        <v>4</v>
      </c>
      <c r="B32" s="2932" t="s">
        <v>2425</v>
      </c>
      <c r="C32" s="2933">
        <f>C23-C26-C29</f>
        <v>0</v>
      </c>
      <c r="D32" s="2934">
        <f>D23-D26-D29</f>
        <v>0</v>
      </c>
      <c r="E32" s="2935">
        <f>E23-E26-E29</f>
        <v>0</v>
      </c>
      <c r="F32" s="2936"/>
      <c r="G32" s="2930"/>
      <c r="H32" s="2848"/>
      <c r="I32" s="2849"/>
      <c r="J32" s="3675" t="s">
        <v>2317</v>
      </c>
      <c r="K32" s="3676"/>
      <c r="L32" s="2850" t="s">
        <v>2318</v>
      </c>
      <c r="M32" s="2850" t="s">
        <v>2319</v>
      </c>
      <c r="N32" s="2850" t="s">
        <v>2320</v>
      </c>
      <c r="O32" s="2850" t="s">
        <v>2321</v>
      </c>
      <c r="P32" s="2850" t="s">
        <v>2322</v>
      </c>
      <c r="Q32" s="2851" t="s">
        <v>2323</v>
      </c>
      <c r="R32" s="2973" t="s">
        <v>2324</v>
      </c>
      <c r="S32" s="2922"/>
      <c r="T32" s="2841"/>
      <c r="U32" s="2841"/>
      <c r="V32" s="2949"/>
    </row>
    <row r="33" spans="1:23" s="2853" customFormat="1" ht="13.2" customHeight="1">
      <c r="A33" s="2931"/>
      <c r="B33" s="2932"/>
      <c r="C33" s="2933"/>
      <c r="D33" s="2974"/>
      <c r="E33" s="2975"/>
      <c r="F33" s="2936"/>
      <c r="G33" s="2930"/>
      <c r="H33" s="2958"/>
      <c r="I33" s="2949"/>
      <c r="J33" s="3677" t="s">
        <v>2327</v>
      </c>
      <c r="K33" s="3678"/>
      <c r="L33" s="2856"/>
      <c r="M33" s="2856"/>
      <c r="N33" s="2856"/>
      <c r="O33" s="2856"/>
      <c r="P33" s="2856"/>
      <c r="Q33" s="2857"/>
      <c r="R33" s="2976">
        <f>SUM(L33:Q33)</f>
        <v>0</v>
      </c>
      <c r="S33" s="2922"/>
      <c r="T33" s="2841"/>
      <c r="U33" s="2841"/>
      <c r="V33" s="2849"/>
    </row>
    <row r="34" spans="1:23" s="2853" customFormat="1" ht="13.2" customHeight="1">
      <c r="A34" s="2931">
        <v>5</v>
      </c>
      <c r="B34" s="2932" t="s">
        <v>2426</v>
      </c>
      <c r="C34" s="2977"/>
      <c r="D34" s="2978"/>
      <c r="E34" s="2979"/>
      <c r="F34" s="2936"/>
      <c r="G34" s="2930"/>
      <c r="H34" s="2958"/>
      <c r="I34" s="2949"/>
      <c r="J34" s="3677" t="s">
        <v>2329</v>
      </c>
      <c r="K34" s="3678"/>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2" customHeight="1" thickBot="1">
      <c r="A36" s="2931">
        <v>7</v>
      </c>
      <c r="B36" s="2986" t="s">
        <v>2428</v>
      </c>
      <c r="C36" s="2987"/>
      <c r="D36" s="2988"/>
      <c r="E36" s="2989"/>
      <c r="F36" s="2990">
        <f>C36+D36+E36</f>
        <v>0</v>
      </c>
      <c r="G36" s="2930"/>
      <c r="H36" s="2848"/>
      <c r="I36" s="2849"/>
      <c r="J36" s="3669">
        <v>1</v>
      </c>
      <c r="K36" s="3670" t="s">
        <v>2429</v>
      </c>
      <c r="L36" s="2874"/>
      <c r="M36" s="2875"/>
      <c r="N36" s="2875"/>
      <c r="O36" s="2875"/>
      <c r="P36" s="2875"/>
      <c r="Q36" s="2875"/>
      <c r="R36" s="2858" t="s">
        <v>2341</v>
      </c>
      <c r="S36" s="2922"/>
      <c r="T36" s="2841" t="s">
        <v>2342</v>
      </c>
      <c r="U36" s="2841"/>
      <c r="V36" s="2849"/>
    </row>
    <row r="37" spans="1:23" s="2853" customFormat="1" ht="13.2" customHeight="1">
      <c r="A37" s="2931"/>
      <c r="B37" s="2932"/>
      <c r="C37" s="2932"/>
      <c r="D37" s="2932"/>
      <c r="E37" s="2932"/>
      <c r="F37" s="2936"/>
      <c r="G37" s="2930"/>
      <c r="H37" s="2848"/>
      <c r="I37" s="2849"/>
      <c r="J37" s="3669"/>
      <c r="K37" s="3671"/>
      <c r="L37" s="2883"/>
      <c r="M37" s="2884"/>
      <c r="N37" s="2860"/>
      <c r="O37" s="2885"/>
      <c r="P37" s="2885"/>
      <c r="Q37" s="2886"/>
      <c r="R37" s="2887"/>
      <c r="S37" s="2922"/>
      <c r="T37" s="2841" t="s">
        <v>2345</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669"/>
      <c r="K38" s="3671"/>
      <c r="L38" s="2883"/>
      <c r="M38" s="2884"/>
      <c r="N38" s="2860"/>
      <c r="O38" s="2885"/>
      <c r="P38" s="2885"/>
      <c r="Q38" s="2886"/>
      <c r="R38" s="2887"/>
      <c r="S38" s="2922"/>
      <c r="T38" s="2841" t="s">
        <v>2352</v>
      </c>
      <c r="U38" s="2841"/>
      <c r="V38" s="2849"/>
    </row>
    <row r="39" spans="1:23" s="2853" customFormat="1" ht="13.2" customHeight="1">
      <c r="A39" s="2931">
        <v>9</v>
      </c>
      <c r="B39" s="2932" t="s">
        <v>2430</v>
      </c>
      <c r="C39" s="2897" t="e">
        <f>C38</f>
        <v>#DIV/0!</v>
      </c>
      <c r="D39" s="2932">
        <f>D38/(1+D34)^C36</f>
        <v>0</v>
      </c>
      <c r="E39" s="2932">
        <f>E38/(1+E34)^(C36+D36)</f>
        <v>0</v>
      </c>
      <c r="F39" s="2936"/>
      <c r="G39" s="2991"/>
      <c r="H39" s="2848"/>
      <c r="I39" s="2849"/>
      <c r="J39" s="3669"/>
      <c r="K39" s="3671"/>
      <c r="L39" s="2883"/>
      <c r="M39" s="2884"/>
      <c r="N39" s="2860"/>
      <c r="O39" s="2885"/>
      <c r="P39" s="2885"/>
      <c r="Q39" s="2886"/>
      <c r="R39" s="2887"/>
      <c r="S39" s="2922"/>
      <c r="T39" s="2841"/>
      <c r="U39" s="2841"/>
      <c r="V39" s="2849"/>
    </row>
    <row r="40" spans="1:23" s="2853" customFormat="1" ht="13.2" customHeight="1">
      <c r="A40" s="2992">
        <v>10</v>
      </c>
      <c r="B40" s="2932" t="s">
        <v>2431</v>
      </c>
      <c r="C40" s="2993" t="e">
        <f>C39+D39+E39</f>
        <v>#DIV/0!</v>
      </c>
      <c r="D40" s="2994"/>
      <c r="E40" s="2994"/>
      <c r="F40" s="2995"/>
      <c r="G40" s="2930"/>
      <c r="H40" s="2848"/>
      <c r="I40" s="2849"/>
      <c r="J40" s="3669"/>
      <c r="K40" s="3672"/>
      <c r="L40" s="2903" t="s">
        <v>2370</v>
      </c>
      <c r="M40" s="2904"/>
      <c r="N40" s="2904"/>
      <c r="O40" s="2905"/>
      <c r="P40" s="2905"/>
      <c r="Q40" s="2906"/>
      <c r="R40" s="2852">
        <f>SUM(R37:R39)</f>
        <v>0</v>
      </c>
      <c r="S40" s="2922"/>
      <c r="T40" s="2841"/>
      <c r="U40" s="2841"/>
      <c r="V40" s="2849"/>
    </row>
    <row r="41" spans="1:23" s="2853" customFormat="1" ht="13.2"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2" customHeight="1">
      <c r="G42" s="3000"/>
      <c r="H42" s="2848"/>
      <c r="I42" s="2849"/>
      <c r="J42" s="3673">
        <v>3</v>
      </c>
      <c r="K42" s="2951" t="s">
        <v>2412</v>
      </c>
      <c r="L42" s="2952"/>
      <c r="M42" s="2953"/>
      <c r="N42" s="2954" t="s">
        <v>2413</v>
      </c>
      <c r="O42" s="2954" t="s">
        <v>2414</v>
      </c>
      <c r="P42" s="2955" t="s">
        <v>2415</v>
      </c>
      <c r="Q42" s="2955" t="s">
        <v>2416</v>
      </c>
      <c r="R42" s="2858" t="s">
        <v>2341</v>
      </c>
      <c r="S42" s="2956"/>
      <c r="T42" s="2956"/>
      <c r="U42" s="2841"/>
      <c r="V42" s="2849"/>
    </row>
    <row r="43" spans="1:23" ht="13.2" customHeight="1">
      <c r="A43" s="2853"/>
      <c r="B43" s="2853"/>
      <c r="C43" s="2853"/>
      <c r="D43" s="2853"/>
      <c r="E43" s="2853"/>
      <c r="F43" s="2853"/>
      <c r="I43" s="2836"/>
      <c r="J43" s="3674"/>
      <c r="K43" s="2959"/>
      <c r="L43" s="2960"/>
      <c r="M43" s="2961"/>
      <c r="N43" s="2884"/>
      <c r="O43" s="2884"/>
      <c r="P43" s="2884"/>
      <c r="Q43" s="2948"/>
      <c r="R43" s="2919">
        <f>ROUND(O43*N43*P43*(1-Q43)/10000,0)</f>
        <v>0</v>
      </c>
      <c r="S43" s="2922"/>
      <c r="T43" s="2841"/>
      <c r="V43" s="3002"/>
      <c r="W43" s="3003"/>
    </row>
    <row r="44" spans="1:23" ht="13.2"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3066.9998999999998</v>
      </c>
      <c r="C2" s="1872" t="s">
        <v>1651</v>
      </c>
      <c r="D2" s="1873" t="s">
        <v>1652</v>
      </c>
      <c r="E2" s="2607">
        <f>SUM(E6:E13)</f>
        <v>5672.8</v>
      </c>
      <c r="F2" s="2707"/>
      <c r="G2" s="1489"/>
      <c r="H2" s="1489"/>
      <c r="I2" s="1489"/>
      <c r="J2" s="1489"/>
      <c r="K2" s="1489"/>
      <c r="L2" s="1489"/>
      <c r="M2" s="1489"/>
      <c r="N2" s="1489"/>
      <c r="O2" s="1489"/>
      <c r="P2" s="1489"/>
      <c r="Q2" s="1489"/>
      <c r="R2" s="1489"/>
      <c r="S2" s="1489"/>
    </row>
    <row r="3" spans="1:22" ht="15.6">
      <c r="A3" s="1870" t="s">
        <v>686</v>
      </c>
      <c r="B3" s="2601">
        <f ca="1">ROUND(B2*10000/E2,0)</f>
        <v>5407</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688" t="s">
        <v>1654</v>
      </c>
      <c r="C5" s="3689"/>
      <c r="D5" s="2708"/>
      <c r="E5" s="1874" t="s">
        <v>1655</v>
      </c>
      <c r="F5" s="1875" t="s">
        <v>1656</v>
      </c>
      <c r="G5" s="1489"/>
      <c r="H5" s="1489"/>
      <c r="I5" s="1489"/>
      <c r="J5" s="1489"/>
      <c r="K5" s="1489"/>
      <c r="L5" s="1489"/>
      <c r="M5" s="1489"/>
      <c r="N5" s="1489"/>
      <c r="O5" s="1489"/>
      <c r="P5" s="1489"/>
      <c r="Q5" s="1489"/>
      <c r="R5" s="1489"/>
      <c r="S5" s="1489"/>
    </row>
    <row r="6" spans="1:22" ht="14.4">
      <c r="A6" s="2604" t="str">
        <f>'数据-取费表'!AN6</f>
        <v>收益法 (元)</v>
      </c>
      <c r="B6" s="2602">
        <f ca="1">IF(F6="是",'数据-取费表'!AO6,0)</f>
        <v>3066.9998999999998</v>
      </c>
      <c r="C6" s="1872" t="s">
        <v>1651</v>
      </c>
      <c r="D6" s="2709"/>
      <c r="E6" s="2606">
        <f>IF(OR(A6=0,F6="否"),0,'数据-取费表'!K6+'数据-取费表'!S6)</f>
        <v>5672.8</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20" sqref="F20"/>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5672.8</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708" t="s">
        <v>1667</v>
      </c>
      <c r="D4" s="3709"/>
      <c r="E4" s="3710" t="s">
        <v>1668</v>
      </c>
      <c r="F4" s="3711"/>
      <c r="G4" s="3708" t="s">
        <v>1669</v>
      </c>
      <c r="H4" s="3709"/>
      <c r="I4" s="3708" t="s">
        <v>1670</v>
      </c>
      <c r="J4" s="3709"/>
      <c r="K4" s="1889" t="s">
        <v>1671</v>
      </c>
      <c r="L4" s="2715"/>
      <c r="M4" s="2716"/>
      <c r="N4" s="2716"/>
      <c r="O4" s="2716"/>
      <c r="P4" s="3712" t="s">
        <v>1672</v>
      </c>
      <c r="Q4" s="3713"/>
      <c r="R4" s="3718" t="s">
        <v>1668</v>
      </c>
      <c r="S4" s="3719"/>
      <c r="T4" s="3718" t="s">
        <v>1669</v>
      </c>
      <c r="U4" s="3719"/>
      <c r="V4" s="3724" t="s">
        <v>1670</v>
      </c>
      <c r="W4" s="3724"/>
      <c r="X4" s="1355"/>
      <c r="Y4" s="3718" t="s">
        <v>1672</v>
      </c>
      <c r="Z4" s="3719"/>
      <c r="AA4" s="3705" t="s">
        <v>1668</v>
      </c>
      <c r="AB4" s="3705" t="s">
        <v>1669</v>
      </c>
      <c r="AC4" s="3705" t="s">
        <v>1670</v>
      </c>
    </row>
    <row r="5" spans="1:29">
      <c r="A5" s="358"/>
      <c r="B5" s="359"/>
      <c r="C5" s="3727" t="s">
        <v>1673</v>
      </c>
      <c r="D5" s="3728"/>
      <c r="E5" s="3734" t="s">
        <v>1674</v>
      </c>
      <c r="F5" s="3735"/>
      <c r="G5" s="3727" t="s">
        <v>1675</v>
      </c>
      <c r="H5" s="3728"/>
      <c r="I5" s="3727" t="s">
        <v>1676</v>
      </c>
      <c r="J5" s="3728"/>
      <c r="K5" s="1890"/>
      <c r="L5" s="2715"/>
      <c r="M5" s="2716"/>
      <c r="N5" s="2716"/>
      <c r="O5" s="2716"/>
      <c r="P5" s="3714"/>
      <c r="Q5" s="3715"/>
      <c r="R5" s="3720"/>
      <c r="S5" s="3721"/>
      <c r="T5" s="3720"/>
      <c r="U5" s="3721"/>
      <c r="V5" s="3724"/>
      <c r="W5" s="3724"/>
      <c r="X5" s="1355"/>
      <c r="Y5" s="3720"/>
      <c r="Z5" s="3721"/>
      <c r="AA5" s="3706"/>
      <c r="AB5" s="3706"/>
      <c r="AC5" s="3706"/>
    </row>
    <row r="6" spans="1:29" ht="15" thickBot="1">
      <c r="A6" s="360"/>
      <c r="B6" s="361"/>
      <c r="C6" s="3725" t="s">
        <v>1677</v>
      </c>
      <c r="D6" s="3726"/>
      <c r="E6" s="3732" t="s">
        <v>1677</v>
      </c>
      <c r="F6" s="3733"/>
      <c r="G6" s="3725" t="s">
        <v>1677</v>
      </c>
      <c r="H6" s="3726"/>
      <c r="I6" s="3725" t="s">
        <v>1677</v>
      </c>
      <c r="J6" s="3726"/>
      <c r="K6" s="1890" t="s">
        <v>1678</v>
      </c>
      <c r="L6" s="2715"/>
      <c r="M6" s="2716"/>
      <c r="N6" s="2716"/>
      <c r="O6" s="2716"/>
      <c r="P6" s="3716"/>
      <c r="Q6" s="3717"/>
      <c r="R6" s="3720"/>
      <c r="S6" s="3721"/>
      <c r="T6" s="3722"/>
      <c r="U6" s="3723"/>
      <c r="V6" s="3724"/>
      <c r="W6" s="3724"/>
      <c r="X6" s="1355"/>
      <c r="Y6" s="3722"/>
      <c r="Z6" s="3723"/>
      <c r="AA6" s="3707"/>
      <c r="AB6" s="3707"/>
      <c r="AC6" s="3707"/>
    </row>
    <row r="7" spans="1:29" s="108" customFormat="1" ht="15" thickBot="1">
      <c r="A7" s="362" t="s">
        <v>1679</v>
      </c>
      <c r="B7" s="363"/>
      <c r="C7" s="364">
        <f>'数据-取费表'!B2</f>
        <v>46022</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29" t="s">
        <v>1680</v>
      </c>
      <c r="Q7" s="3731"/>
      <c r="R7" s="701" t="s">
        <v>20</v>
      </c>
      <c r="S7" s="702">
        <f t="shared" ref="S7:S15" si="0">F7</f>
        <v>0</v>
      </c>
      <c r="T7" s="701" t="s">
        <v>20</v>
      </c>
      <c r="U7" s="702">
        <f t="shared" ref="U7:U15" si="1">H7</f>
        <v>0</v>
      </c>
      <c r="V7" s="701" t="s">
        <v>20</v>
      </c>
      <c r="W7" s="702">
        <f t="shared" ref="W7:W15" si="2">J7</f>
        <v>0</v>
      </c>
      <c r="X7" s="703"/>
      <c r="Y7" s="3729" t="s">
        <v>1680</v>
      </c>
      <c r="Z7" s="3730"/>
      <c r="AA7" s="704" t="e">
        <f>D7/F7</f>
        <v>#DIV/0!</v>
      </c>
      <c r="AB7" s="704" t="e">
        <f>D7/H7</f>
        <v>#DIV/0!</v>
      </c>
      <c r="AC7" s="704" t="e">
        <f>D7/J7</f>
        <v>#DIV/0!</v>
      </c>
    </row>
    <row r="8" spans="1:29" s="108" customFormat="1" ht="1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29" t="s">
        <v>1683</v>
      </c>
      <c r="Q8" s="3730"/>
      <c r="R8" s="701" t="s">
        <v>20</v>
      </c>
      <c r="S8" s="702">
        <f t="shared" si="0"/>
        <v>100</v>
      </c>
      <c r="T8" s="701" t="s">
        <v>20</v>
      </c>
      <c r="U8" s="702">
        <f t="shared" si="1"/>
        <v>100</v>
      </c>
      <c r="V8" s="701" t="s">
        <v>20</v>
      </c>
      <c r="W8" s="702">
        <f t="shared" si="2"/>
        <v>100</v>
      </c>
      <c r="X8" s="703"/>
      <c r="Y8" s="3729" t="s">
        <v>1683</v>
      </c>
      <c r="Z8" s="3730"/>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4" t="s">
        <v>1686</v>
      </c>
      <c r="Q9" s="1343" t="str">
        <f t="shared" ref="Q9:Q15" si="6">B9</f>
        <v>用途</v>
      </c>
      <c r="R9" s="701" t="s">
        <v>14</v>
      </c>
      <c r="S9" s="702">
        <f t="shared" si="0"/>
        <v>100</v>
      </c>
      <c r="T9" s="701" t="s">
        <v>14</v>
      </c>
      <c r="U9" s="702">
        <f t="shared" si="1"/>
        <v>100</v>
      </c>
      <c r="V9" s="701" t="s">
        <v>14</v>
      </c>
      <c r="W9" s="702">
        <f t="shared" si="2"/>
        <v>100</v>
      </c>
      <c r="X9" s="703"/>
      <c r="Y9" s="3568"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4"/>
      <c r="Q10" s="1343" t="str">
        <f t="shared" si="6"/>
        <v>土地使用年限（年）</v>
      </c>
      <c r="R10" s="701" t="s">
        <v>14</v>
      </c>
      <c r="S10" s="702">
        <f t="shared" si="0"/>
        <v>100</v>
      </c>
      <c r="T10" s="701" t="s">
        <v>14</v>
      </c>
      <c r="U10" s="702">
        <f t="shared" si="1"/>
        <v>100</v>
      </c>
      <c r="V10" s="701" t="s">
        <v>14</v>
      </c>
      <c r="W10" s="702">
        <f t="shared" si="2"/>
        <v>100</v>
      </c>
      <c r="X10" s="703"/>
      <c r="Y10" s="356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4"/>
      <c r="Q11" s="1343" t="str">
        <f t="shared" si="6"/>
        <v>容积率</v>
      </c>
      <c r="R11" s="701" t="s">
        <v>18</v>
      </c>
      <c r="S11" s="702" t="e">
        <f t="shared" si="0"/>
        <v>#N/A</v>
      </c>
      <c r="T11" s="701" t="s">
        <v>18</v>
      </c>
      <c r="U11" s="702" t="e">
        <f t="shared" si="1"/>
        <v>#N/A</v>
      </c>
      <c r="V11" s="701" t="s">
        <v>18</v>
      </c>
      <c r="W11" s="702" t="e">
        <f t="shared" si="2"/>
        <v>#N/A</v>
      </c>
      <c r="X11" s="703"/>
      <c r="Y11" s="356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4"/>
      <c r="Q12" s="1343">
        <f t="shared" si="6"/>
        <v>111</v>
      </c>
      <c r="R12" s="701" t="s">
        <v>18</v>
      </c>
      <c r="S12" s="702">
        <f t="shared" si="0"/>
        <v>100</v>
      </c>
      <c r="T12" s="701" t="s">
        <v>18</v>
      </c>
      <c r="U12" s="702">
        <f t="shared" si="1"/>
        <v>100</v>
      </c>
      <c r="V12" s="701" t="s">
        <v>18</v>
      </c>
      <c r="W12" s="702">
        <f t="shared" si="2"/>
        <v>100</v>
      </c>
      <c r="X12" s="703"/>
      <c r="Y12" s="356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4"/>
      <c r="Q13" s="1343">
        <f t="shared" si="6"/>
        <v>111</v>
      </c>
      <c r="R13" s="701" t="s">
        <v>18</v>
      </c>
      <c r="S13" s="702">
        <f t="shared" si="0"/>
        <v>100</v>
      </c>
      <c r="T13" s="701" t="s">
        <v>18</v>
      </c>
      <c r="U13" s="702">
        <f t="shared" si="1"/>
        <v>100</v>
      </c>
      <c r="V13" s="701" t="s">
        <v>18</v>
      </c>
      <c r="W13" s="702">
        <f t="shared" si="2"/>
        <v>100</v>
      </c>
      <c r="X13" s="703"/>
      <c r="Y13" s="3568"/>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4"/>
      <c r="Q14" s="1343">
        <f t="shared" si="6"/>
        <v>111</v>
      </c>
      <c r="R14" s="701" t="s">
        <v>18</v>
      </c>
      <c r="S14" s="702">
        <f t="shared" si="0"/>
        <v>100</v>
      </c>
      <c r="T14" s="701" t="s">
        <v>18</v>
      </c>
      <c r="U14" s="702">
        <f t="shared" si="1"/>
        <v>100</v>
      </c>
      <c r="V14" s="701" t="s">
        <v>18</v>
      </c>
      <c r="W14" s="702">
        <f t="shared" si="2"/>
        <v>100</v>
      </c>
      <c r="X14" s="703"/>
      <c r="Y14" s="3568"/>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2" t="s">
        <v>1691</v>
      </c>
      <c r="Q15" s="1352" t="str">
        <f t="shared" si="6"/>
        <v>居住社区成熟度</v>
      </c>
      <c r="R15" s="705" t="s">
        <v>18</v>
      </c>
      <c r="S15" s="706">
        <f t="shared" si="0"/>
        <v>100</v>
      </c>
      <c r="T15" s="705" t="s">
        <v>18</v>
      </c>
      <c r="U15" s="706">
        <f t="shared" si="1"/>
        <v>100</v>
      </c>
      <c r="V15" s="705" t="s">
        <v>18</v>
      </c>
      <c r="W15" s="706">
        <f t="shared" si="2"/>
        <v>100</v>
      </c>
      <c r="X15" s="1355"/>
      <c r="Y15" s="3695"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3"/>
      <c r="Q16" s="1352"/>
      <c r="R16" s="705"/>
      <c r="S16" s="706"/>
      <c r="T16" s="705"/>
      <c r="U16" s="706"/>
      <c r="V16" s="705"/>
      <c r="W16" s="706"/>
      <c r="X16" s="1355"/>
      <c r="Y16" s="3696"/>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3"/>
      <c r="Q17" s="1352" t="str">
        <f>B17</f>
        <v>交通便捷度</v>
      </c>
      <c r="R17" s="705" t="s">
        <v>18</v>
      </c>
      <c r="S17" s="706">
        <f>F17</f>
        <v>100</v>
      </c>
      <c r="T17" s="705" t="s">
        <v>18</v>
      </c>
      <c r="U17" s="706">
        <f>H17</f>
        <v>100</v>
      </c>
      <c r="V17" s="705" t="s">
        <v>18</v>
      </c>
      <c r="W17" s="706">
        <f>J17</f>
        <v>100</v>
      </c>
      <c r="X17" s="1355"/>
      <c r="Y17" s="369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3"/>
      <c r="Q18" s="1352"/>
      <c r="R18" s="705"/>
      <c r="S18" s="706"/>
      <c r="T18" s="705"/>
      <c r="U18" s="706"/>
      <c r="V18" s="705"/>
      <c r="W18" s="706"/>
      <c r="X18" s="1355"/>
      <c r="Y18" s="3696"/>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3"/>
      <c r="Q19" s="1352" t="str">
        <f>B19</f>
        <v>公共配套设施</v>
      </c>
      <c r="R19" s="705" t="s">
        <v>18</v>
      </c>
      <c r="S19" s="706">
        <f>F19</f>
        <v>100</v>
      </c>
      <c r="T19" s="705" t="s">
        <v>18</v>
      </c>
      <c r="U19" s="706">
        <f>H19</f>
        <v>100</v>
      </c>
      <c r="V19" s="705" t="s">
        <v>18</v>
      </c>
      <c r="W19" s="706">
        <f>J19</f>
        <v>100</v>
      </c>
      <c r="X19" s="1355"/>
      <c r="Y19" s="369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3"/>
      <c r="Q20" s="1352"/>
      <c r="R20" s="705"/>
      <c r="S20" s="706"/>
      <c r="T20" s="705"/>
      <c r="U20" s="706"/>
      <c r="V20" s="705"/>
      <c r="W20" s="706"/>
      <c r="X20" s="1355"/>
      <c r="Y20" s="3696"/>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3"/>
      <c r="Q21" s="1352" t="str">
        <f>B21</f>
        <v>基础设施水平</v>
      </c>
      <c r="R21" s="705" t="s">
        <v>14</v>
      </c>
      <c r="S21" s="706">
        <f>F21</f>
        <v>100</v>
      </c>
      <c r="T21" s="705" t="s">
        <v>14</v>
      </c>
      <c r="U21" s="706">
        <f>H21</f>
        <v>100</v>
      </c>
      <c r="V21" s="705" t="s">
        <v>14</v>
      </c>
      <c r="W21" s="706">
        <f>J21</f>
        <v>100</v>
      </c>
      <c r="X21" s="1355"/>
      <c r="Y21" s="369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3"/>
      <c r="Q22" s="1352"/>
      <c r="R22" s="705"/>
      <c r="S22" s="706"/>
      <c r="T22" s="705"/>
      <c r="U22" s="706"/>
      <c r="V22" s="705"/>
      <c r="W22" s="706"/>
      <c r="X22" s="1355"/>
      <c r="Y22" s="3696"/>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3"/>
      <c r="Q23" s="1352" t="str">
        <f>B23</f>
        <v>自然及人文环境</v>
      </c>
      <c r="R23" s="705" t="s">
        <v>18</v>
      </c>
      <c r="S23" s="706">
        <f>F23</f>
        <v>100</v>
      </c>
      <c r="T23" s="705" t="s">
        <v>18</v>
      </c>
      <c r="U23" s="706">
        <f>H23</f>
        <v>100</v>
      </c>
      <c r="V23" s="705" t="s">
        <v>18</v>
      </c>
      <c r="W23" s="706">
        <f>J23</f>
        <v>100</v>
      </c>
      <c r="X23" s="1355"/>
      <c r="Y23" s="369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3"/>
      <c r="Q24" s="1352"/>
      <c r="R24" s="705"/>
      <c r="S24" s="706"/>
      <c r="T24" s="705"/>
      <c r="U24" s="706"/>
      <c r="V24" s="705"/>
      <c r="W24" s="706"/>
      <c r="X24" s="1355"/>
      <c r="Y24" s="3696"/>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6"/>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3"/>
      <c r="Q26" s="1352" t="str">
        <f t="shared" si="11"/>
        <v>朝向</v>
      </c>
      <c r="R26" s="705" t="s">
        <v>18</v>
      </c>
      <c r="S26" s="706">
        <f t="shared" si="12"/>
        <v>100</v>
      </c>
      <c r="T26" s="705" t="s">
        <v>18</v>
      </c>
      <c r="U26" s="706">
        <f t="shared" si="13"/>
        <v>100</v>
      </c>
      <c r="V26" s="705" t="s">
        <v>18</v>
      </c>
      <c r="W26" s="706">
        <f t="shared" si="14"/>
        <v>100</v>
      </c>
      <c r="X26" s="1355"/>
      <c r="Y26" s="369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3"/>
      <c r="Q27" s="1343">
        <f t="shared" si="11"/>
        <v>111</v>
      </c>
      <c r="R27" s="701" t="s">
        <v>18</v>
      </c>
      <c r="S27" s="702">
        <f t="shared" si="12"/>
        <v>100</v>
      </c>
      <c r="T27" s="701" t="s">
        <v>18</v>
      </c>
      <c r="U27" s="702">
        <f t="shared" si="13"/>
        <v>100</v>
      </c>
      <c r="V27" s="701" t="s">
        <v>18</v>
      </c>
      <c r="W27" s="702">
        <f t="shared" si="14"/>
        <v>100</v>
      </c>
      <c r="X27" s="703"/>
      <c r="Y27" s="369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3"/>
      <c r="Q28" s="1352">
        <f t="shared" si="11"/>
        <v>111</v>
      </c>
      <c r="R28" s="705" t="s">
        <v>18</v>
      </c>
      <c r="S28" s="706">
        <f t="shared" si="12"/>
        <v>100</v>
      </c>
      <c r="T28" s="705" t="s">
        <v>18</v>
      </c>
      <c r="U28" s="706">
        <f t="shared" si="13"/>
        <v>100</v>
      </c>
      <c r="V28" s="705" t="s">
        <v>18</v>
      </c>
      <c r="W28" s="706">
        <f t="shared" si="14"/>
        <v>100</v>
      </c>
      <c r="X28" s="1355"/>
      <c r="Y28" s="369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3"/>
      <c r="Q29" s="1352">
        <f t="shared" si="11"/>
        <v>111</v>
      </c>
      <c r="R29" s="705" t="s">
        <v>18</v>
      </c>
      <c r="S29" s="706">
        <f t="shared" si="12"/>
        <v>100</v>
      </c>
      <c r="T29" s="705" t="s">
        <v>18</v>
      </c>
      <c r="U29" s="706">
        <f t="shared" si="13"/>
        <v>100</v>
      </c>
      <c r="V29" s="705" t="s">
        <v>18</v>
      </c>
      <c r="W29" s="706">
        <f t="shared" si="14"/>
        <v>100</v>
      </c>
      <c r="X29" s="1355"/>
      <c r="Y29" s="369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3"/>
      <c r="Q30" s="1352">
        <f t="shared" si="11"/>
        <v>111</v>
      </c>
      <c r="R30" s="705" t="s">
        <v>18</v>
      </c>
      <c r="S30" s="706">
        <f t="shared" si="12"/>
        <v>100</v>
      </c>
      <c r="T30" s="705" t="s">
        <v>18</v>
      </c>
      <c r="U30" s="706">
        <f t="shared" si="13"/>
        <v>100</v>
      </c>
      <c r="V30" s="705" t="s">
        <v>18</v>
      </c>
      <c r="W30" s="706">
        <f t="shared" si="14"/>
        <v>100</v>
      </c>
      <c r="X30" s="1355"/>
      <c r="Y30" s="3696"/>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3"/>
      <c r="Q31" s="1352">
        <f t="shared" si="11"/>
        <v>111</v>
      </c>
      <c r="R31" s="705" t="s">
        <v>18</v>
      </c>
      <c r="S31" s="706">
        <f t="shared" si="12"/>
        <v>100</v>
      </c>
      <c r="T31" s="705" t="s">
        <v>18</v>
      </c>
      <c r="U31" s="706">
        <f t="shared" si="13"/>
        <v>100</v>
      </c>
      <c r="V31" s="705" t="s">
        <v>18</v>
      </c>
      <c r="W31" s="706">
        <f t="shared" si="14"/>
        <v>100</v>
      </c>
      <c r="X31" s="1355"/>
      <c r="Y31" s="3696"/>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97" t="s">
        <v>1696</v>
      </c>
      <c r="Q32" s="1352" t="str">
        <f t="shared" si="11"/>
        <v>建筑类型</v>
      </c>
      <c r="R32" s="705" t="s">
        <v>18</v>
      </c>
      <c r="S32" s="706">
        <f t="shared" si="12"/>
        <v>100</v>
      </c>
      <c r="T32" s="705" t="s">
        <v>18</v>
      </c>
      <c r="U32" s="706">
        <f t="shared" si="13"/>
        <v>100</v>
      </c>
      <c r="V32" s="705" t="s">
        <v>18</v>
      </c>
      <c r="W32" s="706">
        <f t="shared" si="14"/>
        <v>100</v>
      </c>
      <c r="X32" s="1355"/>
      <c r="Y32" s="3700"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98"/>
      <c r="Q33" s="707" t="str">
        <f t="shared" si="11"/>
        <v>项目建筑规模</v>
      </c>
      <c r="R33" s="708" t="s">
        <v>18</v>
      </c>
      <c r="S33" s="709" t="e">
        <f t="shared" si="12"/>
        <v>#N/A</v>
      </c>
      <c r="T33" s="708" t="s">
        <v>18</v>
      </c>
      <c r="U33" s="709" t="e">
        <f t="shared" si="13"/>
        <v>#N/A</v>
      </c>
      <c r="V33" s="708" t="s">
        <v>18</v>
      </c>
      <c r="W33" s="709" t="e">
        <f t="shared" si="14"/>
        <v>#N/A</v>
      </c>
      <c r="X33" s="710"/>
      <c r="Y33" s="3700"/>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98"/>
      <c r="Q34" s="1352" t="str">
        <f t="shared" si="11"/>
        <v>建筑结构</v>
      </c>
      <c r="R34" s="705" t="s">
        <v>18</v>
      </c>
      <c r="S34" s="706">
        <f t="shared" si="12"/>
        <v>100</v>
      </c>
      <c r="T34" s="705" t="s">
        <v>18</v>
      </c>
      <c r="U34" s="706">
        <f t="shared" si="13"/>
        <v>100</v>
      </c>
      <c r="V34" s="705" t="s">
        <v>18</v>
      </c>
      <c r="W34" s="706">
        <f t="shared" si="14"/>
        <v>100</v>
      </c>
      <c r="X34" s="1355"/>
      <c r="Y34" s="3700"/>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98"/>
      <c r="Q35" s="1352" t="str">
        <f t="shared" si="11"/>
        <v>建筑品质</v>
      </c>
      <c r="R35" s="705" t="s">
        <v>18</v>
      </c>
      <c r="S35" s="706">
        <f t="shared" si="12"/>
        <v>100</v>
      </c>
      <c r="T35" s="705" t="s">
        <v>18</v>
      </c>
      <c r="U35" s="706">
        <f t="shared" si="13"/>
        <v>100</v>
      </c>
      <c r="V35" s="705" t="s">
        <v>18</v>
      </c>
      <c r="W35" s="706">
        <f t="shared" si="14"/>
        <v>100</v>
      </c>
      <c r="X35" s="1355"/>
      <c r="Y35" s="3700"/>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98"/>
      <c r="Q36" s="1352" t="str">
        <f t="shared" si="11"/>
        <v>公共部分装修</v>
      </c>
      <c r="R36" s="705" t="s">
        <v>18</v>
      </c>
      <c r="S36" s="706">
        <f t="shared" si="12"/>
        <v>100</v>
      </c>
      <c r="T36" s="705" t="s">
        <v>18</v>
      </c>
      <c r="U36" s="706">
        <f t="shared" si="13"/>
        <v>100</v>
      </c>
      <c r="V36" s="705" t="s">
        <v>18</v>
      </c>
      <c r="W36" s="706">
        <f t="shared" si="14"/>
        <v>100</v>
      </c>
      <c r="X36" s="1355"/>
      <c r="Y36" s="3700"/>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98"/>
      <c r="Q37" s="1343" t="str">
        <f t="shared" si="11"/>
        <v>成新度</v>
      </c>
      <c r="R37" s="701" t="s">
        <v>18</v>
      </c>
      <c r="S37" s="702" t="e">
        <f t="shared" si="12"/>
        <v>#N/A</v>
      </c>
      <c r="T37" s="701" t="s">
        <v>18</v>
      </c>
      <c r="U37" s="702" t="e">
        <f t="shared" si="13"/>
        <v>#N/A</v>
      </c>
      <c r="V37" s="701" t="s">
        <v>18</v>
      </c>
      <c r="W37" s="702" t="e">
        <f t="shared" si="14"/>
        <v>#N/A</v>
      </c>
      <c r="X37" s="703"/>
      <c r="Y37" s="3700"/>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98" t="s">
        <v>1696</v>
      </c>
      <c r="Q38" s="1352" t="str">
        <f t="shared" si="11"/>
        <v>物业管理</v>
      </c>
      <c r="R38" s="705" t="s">
        <v>18</v>
      </c>
      <c r="S38" s="706">
        <f t="shared" si="12"/>
        <v>100</v>
      </c>
      <c r="T38" s="705" t="s">
        <v>18</v>
      </c>
      <c r="U38" s="706">
        <f t="shared" si="13"/>
        <v>100</v>
      </c>
      <c r="V38" s="705" t="s">
        <v>18</v>
      </c>
      <c r="W38" s="706">
        <f t="shared" si="14"/>
        <v>100</v>
      </c>
      <c r="X38" s="1355"/>
      <c r="Y38" s="3700"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98"/>
      <c r="Q39" s="1352" t="str">
        <f t="shared" si="11"/>
        <v>市政基础设施</v>
      </c>
      <c r="R39" s="705" t="s">
        <v>18</v>
      </c>
      <c r="S39" s="706">
        <f t="shared" si="12"/>
        <v>100</v>
      </c>
      <c r="T39" s="705" t="s">
        <v>18</v>
      </c>
      <c r="U39" s="706">
        <f t="shared" si="13"/>
        <v>100</v>
      </c>
      <c r="V39" s="705" t="s">
        <v>18</v>
      </c>
      <c r="W39" s="706">
        <f t="shared" si="14"/>
        <v>100</v>
      </c>
      <c r="X39" s="1355"/>
      <c r="Y39" s="3700"/>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98"/>
      <c r="Q40" s="1352" t="str">
        <f t="shared" si="11"/>
        <v>房型</v>
      </c>
      <c r="R40" s="705" t="s">
        <v>18</v>
      </c>
      <c r="S40" s="706">
        <f t="shared" si="12"/>
        <v>100</v>
      </c>
      <c r="T40" s="705" t="s">
        <v>18</v>
      </c>
      <c r="U40" s="706">
        <f t="shared" si="13"/>
        <v>100</v>
      </c>
      <c r="V40" s="705" t="s">
        <v>18</v>
      </c>
      <c r="W40" s="706">
        <f t="shared" si="14"/>
        <v>100</v>
      </c>
      <c r="X40" s="1355"/>
      <c r="Y40" s="3700"/>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98"/>
      <c r="Q41" s="707" t="str">
        <f t="shared" si="11"/>
        <v>单套/主力户型建筑面积</v>
      </c>
      <c r="R41" s="708" t="s">
        <v>18</v>
      </c>
      <c r="S41" s="709">
        <f t="shared" si="12"/>
        <v>100</v>
      </c>
      <c r="T41" s="708" t="s">
        <v>18</v>
      </c>
      <c r="U41" s="709">
        <f t="shared" si="13"/>
        <v>100</v>
      </c>
      <c r="V41" s="708" t="s">
        <v>18</v>
      </c>
      <c r="W41" s="709">
        <f t="shared" si="14"/>
        <v>100</v>
      </c>
      <c r="X41" s="710"/>
      <c r="Y41" s="3700"/>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98"/>
      <c r="Q42" s="1352" t="str">
        <f t="shared" si="11"/>
        <v>内部装修</v>
      </c>
      <c r="R42" s="705" t="s">
        <v>18</v>
      </c>
      <c r="S42" s="706">
        <f t="shared" si="12"/>
        <v>100</v>
      </c>
      <c r="T42" s="705" t="s">
        <v>18</v>
      </c>
      <c r="U42" s="706">
        <f t="shared" si="13"/>
        <v>100</v>
      </c>
      <c r="V42" s="705" t="s">
        <v>18</v>
      </c>
      <c r="W42" s="706">
        <f t="shared" si="14"/>
        <v>100</v>
      </c>
      <c r="X42" s="1355"/>
      <c r="Y42" s="3700"/>
      <c r="Z42" s="1356" t="str">
        <f t="shared" si="18"/>
        <v>内部装修</v>
      </c>
      <c r="AA42" s="1353">
        <f t="shared" si="15"/>
        <v>1</v>
      </c>
      <c r="AB42" s="1353">
        <f t="shared" si="16"/>
        <v>1</v>
      </c>
      <c r="AC42" s="1353">
        <f t="shared" si="17"/>
        <v>1</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98"/>
      <c r="Q43" s="1352" t="str">
        <f t="shared" si="11"/>
        <v>内部装修维护情况</v>
      </c>
      <c r="R43" s="705" t="s">
        <v>18</v>
      </c>
      <c r="S43" s="706">
        <f t="shared" si="12"/>
        <v>100</v>
      </c>
      <c r="T43" s="705" t="s">
        <v>18</v>
      </c>
      <c r="U43" s="706">
        <f t="shared" si="13"/>
        <v>100</v>
      </c>
      <c r="V43" s="705" t="s">
        <v>18</v>
      </c>
      <c r="W43" s="706">
        <f t="shared" si="14"/>
        <v>100</v>
      </c>
      <c r="X43" s="1355"/>
      <c r="Y43" s="370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98"/>
      <c r="Q44" s="1343">
        <f t="shared" si="11"/>
        <v>111</v>
      </c>
      <c r="R44" s="701" t="s">
        <v>18</v>
      </c>
      <c r="S44" s="702">
        <f t="shared" si="12"/>
        <v>100</v>
      </c>
      <c r="T44" s="701" t="s">
        <v>18</v>
      </c>
      <c r="U44" s="702">
        <f t="shared" si="13"/>
        <v>100</v>
      </c>
      <c r="V44" s="701" t="s">
        <v>18</v>
      </c>
      <c r="W44" s="702">
        <f t="shared" si="14"/>
        <v>100</v>
      </c>
      <c r="X44" s="703"/>
      <c r="Y44" s="370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98"/>
      <c r="Q45" s="1352">
        <f t="shared" si="11"/>
        <v>111</v>
      </c>
      <c r="R45" s="705" t="s">
        <v>18</v>
      </c>
      <c r="S45" s="706">
        <f t="shared" si="12"/>
        <v>100</v>
      </c>
      <c r="T45" s="705" t="s">
        <v>18</v>
      </c>
      <c r="U45" s="706">
        <f t="shared" si="13"/>
        <v>100</v>
      </c>
      <c r="V45" s="705" t="s">
        <v>18</v>
      </c>
      <c r="W45" s="706">
        <f t="shared" si="14"/>
        <v>100</v>
      </c>
      <c r="X45" s="1355"/>
      <c r="Y45" s="3700"/>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99"/>
      <c r="Q46" s="1352">
        <f t="shared" si="11"/>
        <v>111</v>
      </c>
      <c r="R46" s="705" t="s">
        <v>17</v>
      </c>
      <c r="S46" s="706">
        <f t="shared" si="12"/>
        <v>100</v>
      </c>
      <c r="T46" s="705" t="s">
        <v>17</v>
      </c>
      <c r="U46" s="706">
        <f t="shared" si="13"/>
        <v>100</v>
      </c>
      <c r="V46" s="705" t="s">
        <v>17</v>
      </c>
      <c r="W46" s="706">
        <f t="shared" si="14"/>
        <v>100</v>
      </c>
      <c r="X46" s="1355"/>
      <c r="Y46" s="3701"/>
      <c r="Z46" s="1356">
        <f t="shared" si="18"/>
        <v>111</v>
      </c>
      <c r="AA46" s="1353">
        <f t="shared" si="15"/>
        <v>1</v>
      </c>
      <c r="AB46" s="1353">
        <f t="shared" si="16"/>
        <v>1</v>
      </c>
      <c r="AC46" s="1353">
        <f t="shared" si="17"/>
        <v>1</v>
      </c>
    </row>
    <row r="47" spans="1:29" ht="14.4">
      <c r="A47" s="430" t="s">
        <v>1708</v>
      </c>
      <c r="B47" s="431"/>
      <c r="C47" s="1154" t="s">
        <v>16</v>
      </c>
      <c r="D47" s="1155"/>
      <c r="E47" s="1156"/>
      <c r="F47" s="1157"/>
      <c r="G47" s="1158"/>
      <c r="H47" s="1159"/>
      <c r="I47" s="1156"/>
      <c r="J47" s="1159"/>
      <c r="K47" s="1914"/>
      <c r="L47" s="2724"/>
      <c r="M47" s="2725"/>
      <c r="N47" s="2716"/>
      <c r="O47" s="2725"/>
      <c r="P47" s="3693" t="str">
        <f>A47</f>
        <v>成交单价（元/平方米）</v>
      </c>
      <c r="Q47" s="3693"/>
      <c r="R47" s="3694">
        <f>E47</f>
        <v>0</v>
      </c>
      <c r="S47" s="3694"/>
      <c r="T47" s="3694">
        <f>G47</f>
        <v>0</v>
      </c>
      <c r="U47" s="3694"/>
      <c r="V47" s="3694">
        <f>I47</f>
        <v>0</v>
      </c>
      <c r="W47" s="3694"/>
      <c r="X47" s="690"/>
      <c r="Y47" s="712"/>
      <c r="Z47" s="690"/>
      <c r="AA47" s="690"/>
      <c r="AB47" s="690"/>
      <c r="AC47" s="690"/>
    </row>
    <row r="48" spans="1:29" ht="1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3" t="str">
        <f>A48</f>
        <v>比较价值（元/平方米）</v>
      </c>
      <c r="Q48" s="3693"/>
      <c r="R48" s="3694" t="e">
        <f>IF(F1="售价",ROUND(PRODUCT(R47,AA7:AA46),0),ROUND(PRODUCT(R47,AA7:AA46),1))</f>
        <v>#DIV/0!</v>
      </c>
      <c r="S48" s="3694"/>
      <c r="T48" s="3694" t="e">
        <f>IF(F1="售价",ROUND(PRODUCT(T47,AB7:AB46),0),ROUND(PRODUCT(T47,AB7:AB46),1))</f>
        <v>#DIV/0!</v>
      </c>
      <c r="U48" s="3694"/>
      <c r="V48" s="3694" t="e">
        <f>IF(F1="售价",ROUND(PRODUCT(V47,AC7:AC46),0),ROUND(PRODUCT(V47,AC7:AC46),1))</f>
        <v>#DIV/0!</v>
      </c>
      <c r="W48" s="3694"/>
      <c r="X48" s="690"/>
      <c r="Y48" s="690"/>
      <c r="Z48" s="690"/>
      <c r="AA48" s="690"/>
      <c r="AB48" s="690"/>
      <c r="AC48" s="690"/>
    </row>
    <row r="49" spans="1:29" ht="15" thickBot="1">
      <c r="A49" s="441" t="s">
        <v>1710</v>
      </c>
      <c r="B49" s="442"/>
      <c r="C49" s="1162" t="e">
        <f>R49</f>
        <v>#DIV/0!</v>
      </c>
      <c r="D49" s="1163"/>
      <c r="E49" s="1163"/>
      <c r="F49" s="1163"/>
      <c r="G49" s="1163"/>
      <c r="H49" s="1163"/>
      <c r="I49" s="1163"/>
      <c r="J49" s="1163"/>
      <c r="K49" s="1915"/>
      <c r="L49" s="2724"/>
      <c r="M49" s="2725"/>
      <c r="N49" s="2725"/>
      <c r="O49" s="2725"/>
      <c r="P49" s="3690" t="str">
        <f>A49</f>
        <v>估价对象XX用房的比较价值（楼面单价，元/平方米）</v>
      </c>
      <c r="Q49" s="3691"/>
      <c r="R49" s="3692" t="e">
        <f>IF(F1="售价",ROUND(IF(D48="简单平均",AVERAGE(R48:V48),R48*F48+T48*H48+V48*J48),0),ROUND(IF(D48="简单平均",AVERAGE(R48:V48),R48*F48+T48*H48+V48*J48),1))</f>
        <v>#DIV/0!</v>
      </c>
      <c r="S49" s="3692"/>
      <c r="T49" s="3692"/>
      <c r="U49" s="3692"/>
      <c r="V49" s="3692"/>
      <c r="W49" s="369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2025-12</v>
      </c>
      <c r="D58" s="1185">
        <f>EDATE(C58,-1)</f>
        <v>45962</v>
      </c>
      <c r="E58" s="1185">
        <f>EDATE(D58,-1)</f>
        <v>45931</v>
      </c>
      <c r="F58" s="1185">
        <f t="shared" ref="F58:O58" si="19">EDATE(E58,-1)</f>
        <v>45901</v>
      </c>
      <c r="G58" s="1185">
        <f t="shared" si="19"/>
        <v>45870</v>
      </c>
      <c r="H58" s="1185">
        <f t="shared" si="19"/>
        <v>45839</v>
      </c>
      <c r="I58" s="1185">
        <f t="shared" si="19"/>
        <v>45809</v>
      </c>
      <c r="J58" s="1185">
        <f t="shared" si="19"/>
        <v>45778</v>
      </c>
      <c r="K58" s="1185">
        <f t="shared" si="19"/>
        <v>45748</v>
      </c>
      <c r="L58" s="1185">
        <f t="shared" si="19"/>
        <v>45717</v>
      </c>
      <c r="M58" s="1185">
        <f t="shared" si="19"/>
        <v>45689</v>
      </c>
      <c r="N58" s="1185">
        <f t="shared" si="19"/>
        <v>45658</v>
      </c>
      <c r="O58" s="1185">
        <f t="shared" si="19"/>
        <v>45627</v>
      </c>
      <c r="P58" s="1181"/>
    </row>
    <row r="59" spans="1:29" s="108" customFormat="1">
      <c r="A59" s="458"/>
      <c r="B59" s="1919"/>
      <c r="C59" s="1183">
        <v>100</v>
      </c>
      <c r="D59" s="460"/>
      <c r="E59" s="461"/>
      <c r="F59" s="461"/>
      <c r="G59" s="461"/>
      <c r="H59" s="461"/>
      <c r="I59" s="461"/>
      <c r="J59" s="461"/>
      <c r="K59" s="461"/>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f>C9</f>
        <v>0</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c r="D68" s="498"/>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503"/>
      <c r="D88" s="503"/>
      <c r="E88" s="503"/>
      <c r="F88" s="1927"/>
      <c r="G88" s="503"/>
      <c r="H88" s="503"/>
      <c r="I88" s="503"/>
      <c r="J88" s="503"/>
      <c r="K88" s="503"/>
      <c r="L88" s="503"/>
      <c r="M88" s="530"/>
      <c r="N88" s="932"/>
      <c r="O88" s="932"/>
      <c r="P88" s="1922"/>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4.4" thickTop="1">
      <c r="A90" s="502"/>
      <c r="B90" s="487">
        <f>B27</f>
        <v>111</v>
      </c>
      <c r="C90" s="503"/>
      <c r="D90" s="503"/>
      <c r="E90" s="503"/>
      <c r="F90" s="503"/>
      <c r="G90" s="503"/>
      <c r="H90" s="504"/>
      <c r="I90" s="504"/>
      <c r="J90" s="504"/>
      <c r="K90" s="504"/>
      <c r="L90" s="505"/>
      <c r="M90" s="506"/>
      <c r="N90" s="935"/>
      <c r="O90" s="935"/>
      <c r="P90" s="1923"/>
      <c r="Q90" s="508"/>
    </row>
    <row r="91" spans="1:17" s="422" customFormat="1" ht="14.4" thickBot="1">
      <c r="A91" s="502"/>
      <c r="B91" s="492"/>
      <c r="C91" s="509"/>
      <c r="D91" s="509"/>
      <c r="E91" s="509"/>
      <c r="F91" s="509"/>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479"/>
      <c r="D100" s="479"/>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4.4"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4.4" thickBot="1">
      <c r="A127" s="502"/>
      <c r="B127" s="492"/>
      <c r="C127" s="509"/>
      <c r="D127" s="485"/>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5672.8</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1769</v>
      </c>
      <c r="B4" s="356"/>
      <c r="C4" s="3708" t="s">
        <v>1770</v>
      </c>
      <c r="D4" s="3709"/>
      <c r="E4" s="3710" t="s">
        <v>1771</v>
      </c>
      <c r="F4" s="3711"/>
      <c r="G4" s="3708" t="s">
        <v>1772</v>
      </c>
      <c r="H4" s="3709"/>
      <c r="I4" s="3708" t="s">
        <v>1773</v>
      </c>
      <c r="J4" s="3709"/>
      <c r="K4" s="559" t="s">
        <v>1774</v>
      </c>
      <c r="L4" s="2715"/>
      <c r="M4" s="2716"/>
      <c r="N4" s="2716"/>
      <c r="O4" s="2716"/>
      <c r="P4" s="3712" t="s">
        <v>1775</v>
      </c>
      <c r="Q4" s="3713"/>
      <c r="R4" s="3718" t="s">
        <v>1771</v>
      </c>
      <c r="S4" s="3719"/>
      <c r="T4" s="3718" t="s">
        <v>1772</v>
      </c>
      <c r="U4" s="3719"/>
      <c r="V4" s="3724" t="s">
        <v>1773</v>
      </c>
      <c r="W4" s="3724"/>
      <c r="X4" s="1355"/>
      <c r="Y4" s="3718" t="s">
        <v>1775</v>
      </c>
      <c r="Z4" s="3719"/>
      <c r="AA4" s="3705" t="s">
        <v>1771</v>
      </c>
      <c r="AB4" s="3724" t="s">
        <v>1772</v>
      </c>
      <c r="AC4" s="3705" t="s">
        <v>1773</v>
      </c>
    </row>
    <row r="5" spans="1:29">
      <c r="A5" s="358"/>
      <c r="B5" s="359"/>
      <c r="C5" s="3727" t="s">
        <v>1673</v>
      </c>
      <c r="D5" s="3728"/>
      <c r="E5" s="3734" t="s">
        <v>1674</v>
      </c>
      <c r="F5" s="3735"/>
      <c r="G5" s="3727" t="s">
        <v>1675</v>
      </c>
      <c r="H5" s="3728"/>
      <c r="I5" s="3727" t="s">
        <v>1676</v>
      </c>
      <c r="J5" s="3728"/>
      <c r="K5" s="559"/>
      <c r="L5" s="2715"/>
      <c r="M5" s="2716"/>
      <c r="N5" s="2716"/>
      <c r="O5" s="2716"/>
      <c r="P5" s="3714"/>
      <c r="Q5" s="3715"/>
      <c r="R5" s="3720"/>
      <c r="S5" s="3721"/>
      <c r="T5" s="3720"/>
      <c r="U5" s="3721"/>
      <c r="V5" s="3724"/>
      <c r="W5" s="3724"/>
      <c r="X5" s="1355"/>
      <c r="Y5" s="3720"/>
      <c r="Z5" s="3721"/>
      <c r="AA5" s="3706"/>
      <c r="AB5" s="3724"/>
      <c r="AC5" s="3706"/>
    </row>
    <row r="6" spans="1:29" ht="15" thickBot="1">
      <c r="A6" s="360"/>
      <c r="B6" s="361"/>
      <c r="C6" s="3725" t="s">
        <v>1677</v>
      </c>
      <c r="D6" s="3726"/>
      <c r="E6" s="3732" t="s">
        <v>1677</v>
      </c>
      <c r="F6" s="3733"/>
      <c r="G6" s="3725" t="s">
        <v>1677</v>
      </c>
      <c r="H6" s="3726"/>
      <c r="I6" s="3725" t="s">
        <v>1677</v>
      </c>
      <c r="J6" s="3726"/>
      <c r="K6" s="559" t="s">
        <v>1678</v>
      </c>
      <c r="L6" s="2715"/>
      <c r="M6" s="2716"/>
      <c r="N6" s="2716"/>
      <c r="O6" s="2716"/>
      <c r="P6" s="3716"/>
      <c r="Q6" s="3717"/>
      <c r="R6" s="3720"/>
      <c r="S6" s="3721"/>
      <c r="T6" s="3722"/>
      <c r="U6" s="3723"/>
      <c r="V6" s="3724"/>
      <c r="W6" s="3724"/>
      <c r="X6" s="1355"/>
      <c r="Y6" s="3722"/>
      <c r="Z6" s="3723"/>
      <c r="AA6" s="3707"/>
      <c r="AB6" s="3724"/>
      <c r="AC6" s="3707"/>
    </row>
    <row r="7" spans="1:29" s="108" customFormat="1" ht="15" thickBot="1">
      <c r="A7" s="362" t="s">
        <v>1679</v>
      </c>
      <c r="B7" s="363"/>
      <c r="C7" s="364">
        <f>'数据-取费表'!B2</f>
        <v>46022</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29" t="s">
        <v>1680</v>
      </c>
      <c r="Q7" s="3731"/>
      <c r="R7" s="701" t="s">
        <v>14</v>
      </c>
      <c r="S7" s="702">
        <f t="shared" ref="S7:S15" si="0">F7</f>
        <v>0</v>
      </c>
      <c r="T7" s="701" t="s">
        <v>14</v>
      </c>
      <c r="U7" s="702">
        <f t="shared" ref="U7:U15" si="1">H7</f>
        <v>0</v>
      </c>
      <c r="V7" s="701" t="s">
        <v>14</v>
      </c>
      <c r="W7" s="702">
        <f t="shared" ref="W7:W15" si="2">J7</f>
        <v>0</v>
      </c>
      <c r="X7" s="703"/>
      <c r="Y7" s="3729" t="s">
        <v>1680</v>
      </c>
      <c r="Z7" s="3730"/>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29" t="s">
        <v>1683</v>
      </c>
      <c r="Q8" s="3730"/>
      <c r="R8" s="701" t="s">
        <v>14</v>
      </c>
      <c r="S8" s="702">
        <f t="shared" si="0"/>
        <v>100</v>
      </c>
      <c r="T8" s="701" t="s">
        <v>14</v>
      </c>
      <c r="U8" s="702">
        <f t="shared" si="1"/>
        <v>100</v>
      </c>
      <c r="V8" s="701" t="s">
        <v>14</v>
      </c>
      <c r="W8" s="702">
        <f t="shared" si="2"/>
        <v>100</v>
      </c>
      <c r="X8" s="703"/>
      <c r="Y8" s="3729" t="s">
        <v>1683</v>
      </c>
      <c r="Z8" s="3730"/>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4" t="s">
        <v>1686</v>
      </c>
      <c r="Q9" s="1343" t="str">
        <f t="shared" ref="Q9:Q15" si="6">B9</f>
        <v>用途</v>
      </c>
      <c r="R9" s="701" t="s">
        <v>14</v>
      </c>
      <c r="S9" s="702">
        <f t="shared" si="0"/>
        <v>100</v>
      </c>
      <c r="T9" s="701" t="s">
        <v>14</v>
      </c>
      <c r="U9" s="702">
        <f t="shared" si="1"/>
        <v>100</v>
      </c>
      <c r="V9" s="701" t="s">
        <v>14</v>
      </c>
      <c r="W9" s="702">
        <f t="shared" si="2"/>
        <v>100</v>
      </c>
      <c r="X9" s="703"/>
      <c r="Y9" s="3568"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4"/>
      <c r="Q10" s="1343" t="str">
        <f t="shared" si="6"/>
        <v>土地使用年限（年）</v>
      </c>
      <c r="R10" s="701" t="s">
        <v>14</v>
      </c>
      <c r="S10" s="702">
        <f t="shared" si="0"/>
        <v>100</v>
      </c>
      <c r="T10" s="701" t="s">
        <v>14</v>
      </c>
      <c r="U10" s="702">
        <f t="shared" si="1"/>
        <v>100</v>
      </c>
      <c r="V10" s="701" t="s">
        <v>14</v>
      </c>
      <c r="W10" s="702">
        <f t="shared" si="2"/>
        <v>100</v>
      </c>
      <c r="X10" s="703"/>
      <c r="Y10" s="356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4"/>
      <c r="Q11" s="1343" t="str">
        <f t="shared" si="6"/>
        <v>容积率</v>
      </c>
      <c r="R11" s="701" t="s">
        <v>14</v>
      </c>
      <c r="S11" s="702" t="e">
        <f t="shared" si="0"/>
        <v>#N/A</v>
      </c>
      <c r="T11" s="701" t="s">
        <v>14</v>
      </c>
      <c r="U11" s="702" t="e">
        <f t="shared" si="1"/>
        <v>#N/A</v>
      </c>
      <c r="V11" s="701" t="s">
        <v>14</v>
      </c>
      <c r="W11" s="702" t="e">
        <f t="shared" si="2"/>
        <v>#N/A</v>
      </c>
      <c r="X11" s="703"/>
      <c r="Y11" s="356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4"/>
      <c r="Q12" s="1343">
        <f t="shared" si="6"/>
        <v>111</v>
      </c>
      <c r="R12" s="701" t="s">
        <v>14</v>
      </c>
      <c r="S12" s="702">
        <f t="shared" si="0"/>
        <v>100</v>
      </c>
      <c r="T12" s="701" t="s">
        <v>14</v>
      </c>
      <c r="U12" s="702">
        <f t="shared" si="1"/>
        <v>100</v>
      </c>
      <c r="V12" s="701" t="s">
        <v>14</v>
      </c>
      <c r="W12" s="702">
        <f t="shared" si="2"/>
        <v>100</v>
      </c>
      <c r="X12" s="703"/>
      <c r="Y12" s="356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4"/>
      <c r="Q13" s="1343">
        <f t="shared" si="6"/>
        <v>111</v>
      </c>
      <c r="R13" s="701" t="s">
        <v>14</v>
      </c>
      <c r="S13" s="702">
        <f t="shared" si="0"/>
        <v>100</v>
      </c>
      <c r="T13" s="701" t="s">
        <v>14</v>
      </c>
      <c r="U13" s="702">
        <f t="shared" si="1"/>
        <v>100</v>
      </c>
      <c r="V13" s="701" t="s">
        <v>14</v>
      </c>
      <c r="W13" s="702">
        <f t="shared" si="2"/>
        <v>100</v>
      </c>
      <c r="X13" s="703"/>
      <c r="Y13" s="3568"/>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4"/>
      <c r="Q14" s="1343">
        <f t="shared" si="6"/>
        <v>111</v>
      </c>
      <c r="R14" s="701" t="s">
        <v>14</v>
      </c>
      <c r="S14" s="702">
        <f t="shared" si="0"/>
        <v>100</v>
      </c>
      <c r="T14" s="701" t="s">
        <v>14</v>
      </c>
      <c r="U14" s="702">
        <f t="shared" si="1"/>
        <v>100</v>
      </c>
      <c r="V14" s="701" t="s">
        <v>14</v>
      </c>
      <c r="W14" s="702">
        <f t="shared" si="2"/>
        <v>100</v>
      </c>
      <c r="X14" s="703"/>
      <c r="Y14" s="3568"/>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2" t="s">
        <v>1691</v>
      </c>
      <c r="Q15" s="1352" t="str">
        <f t="shared" si="6"/>
        <v>商业繁华度</v>
      </c>
      <c r="R15" s="705" t="s">
        <v>14</v>
      </c>
      <c r="S15" s="706">
        <f t="shared" si="0"/>
        <v>100</v>
      </c>
      <c r="T15" s="705" t="s">
        <v>14</v>
      </c>
      <c r="U15" s="706">
        <f t="shared" si="1"/>
        <v>100</v>
      </c>
      <c r="V15" s="705" t="s">
        <v>14</v>
      </c>
      <c r="W15" s="706">
        <f t="shared" si="2"/>
        <v>100</v>
      </c>
      <c r="X15" s="1355"/>
      <c r="Y15" s="3695"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3"/>
      <c r="Q16" s="1352"/>
      <c r="R16" s="705"/>
      <c r="S16" s="706"/>
      <c r="T16" s="705"/>
      <c r="U16" s="706"/>
      <c r="V16" s="705"/>
      <c r="W16" s="706"/>
      <c r="X16" s="1355"/>
      <c r="Y16" s="3696"/>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3"/>
      <c r="Q17" s="1352" t="str">
        <f>B17</f>
        <v>交通便捷度</v>
      </c>
      <c r="R17" s="705" t="s">
        <v>14</v>
      </c>
      <c r="S17" s="706">
        <f>F17</f>
        <v>100</v>
      </c>
      <c r="T17" s="705" t="s">
        <v>14</v>
      </c>
      <c r="U17" s="706">
        <f>H17</f>
        <v>100</v>
      </c>
      <c r="V17" s="705" t="s">
        <v>14</v>
      </c>
      <c r="W17" s="706">
        <f>J17</f>
        <v>100</v>
      </c>
      <c r="X17" s="1355"/>
      <c r="Y17" s="369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3"/>
      <c r="Q18" s="1352"/>
      <c r="R18" s="705"/>
      <c r="S18" s="706"/>
      <c r="T18" s="705"/>
      <c r="U18" s="706"/>
      <c r="V18" s="705"/>
      <c r="W18" s="706"/>
      <c r="X18" s="1355"/>
      <c r="Y18" s="3696"/>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3"/>
      <c r="Q19" s="1352" t="str">
        <f>B19</f>
        <v>公共配套设施</v>
      </c>
      <c r="R19" s="705" t="s">
        <v>14</v>
      </c>
      <c r="S19" s="706">
        <f>F19</f>
        <v>100</v>
      </c>
      <c r="T19" s="705" t="s">
        <v>14</v>
      </c>
      <c r="U19" s="706">
        <f>H19</f>
        <v>100</v>
      </c>
      <c r="V19" s="705" t="s">
        <v>14</v>
      </c>
      <c r="W19" s="706">
        <f>J19</f>
        <v>100</v>
      </c>
      <c r="X19" s="1355"/>
      <c r="Y19" s="369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3"/>
      <c r="Q20" s="1352"/>
      <c r="R20" s="705"/>
      <c r="S20" s="706"/>
      <c r="T20" s="705"/>
      <c r="U20" s="706"/>
      <c r="V20" s="705"/>
      <c r="W20" s="706"/>
      <c r="X20" s="1355"/>
      <c r="Y20" s="3696"/>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3"/>
      <c r="Q21" s="1352" t="str">
        <f>B21</f>
        <v>基础设施水平</v>
      </c>
      <c r="R21" s="705" t="s">
        <v>14</v>
      </c>
      <c r="S21" s="706">
        <f>F21</f>
        <v>100</v>
      </c>
      <c r="T21" s="705" t="s">
        <v>14</v>
      </c>
      <c r="U21" s="706">
        <f>H21</f>
        <v>100</v>
      </c>
      <c r="V21" s="705" t="s">
        <v>14</v>
      </c>
      <c r="W21" s="706">
        <f>J21</f>
        <v>100</v>
      </c>
      <c r="X21" s="1355"/>
      <c r="Y21" s="369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3"/>
      <c r="Q22" s="1352"/>
      <c r="R22" s="705"/>
      <c r="S22" s="706"/>
      <c r="T22" s="705"/>
      <c r="U22" s="706"/>
      <c r="V22" s="705"/>
      <c r="W22" s="706"/>
      <c r="X22" s="1355"/>
      <c r="Y22" s="3696"/>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3"/>
      <c r="Q23" s="1352" t="str">
        <f>B23</f>
        <v>自然及人文环境</v>
      </c>
      <c r="R23" s="705" t="s">
        <v>14</v>
      </c>
      <c r="S23" s="706">
        <f>F23</f>
        <v>100</v>
      </c>
      <c r="T23" s="705" t="s">
        <v>14</v>
      </c>
      <c r="U23" s="706">
        <f>H23</f>
        <v>100</v>
      </c>
      <c r="V23" s="705" t="s">
        <v>14</v>
      </c>
      <c r="W23" s="706">
        <f>J23</f>
        <v>100</v>
      </c>
      <c r="X23" s="1355"/>
      <c r="Y23" s="369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3"/>
      <c r="Q24" s="1352"/>
      <c r="R24" s="705"/>
      <c r="S24" s="706"/>
      <c r="T24" s="705"/>
      <c r="U24" s="706"/>
      <c r="V24" s="705"/>
      <c r="W24" s="706"/>
      <c r="X24" s="1355"/>
      <c r="Y24" s="3696"/>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3"/>
      <c r="Q25" s="1352" t="str">
        <f t="shared" ref="Q25:Q46" si="11">B25</f>
        <v>临街状况</v>
      </c>
      <c r="R25" s="705" t="s">
        <v>14</v>
      </c>
      <c r="S25" s="706">
        <f>F25</f>
        <v>100</v>
      </c>
      <c r="T25" s="705" t="s">
        <v>14</v>
      </c>
      <c r="U25" s="706">
        <f>H25</f>
        <v>100</v>
      </c>
      <c r="V25" s="705" t="s">
        <v>14</v>
      </c>
      <c r="W25" s="706">
        <f>J25</f>
        <v>100</v>
      </c>
      <c r="X25" s="1355"/>
      <c r="Y25" s="3696"/>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3"/>
      <c r="Q26" s="1352" t="str">
        <f t="shared" si="11"/>
        <v>平面位置/可视性</v>
      </c>
      <c r="R26" s="705" t="s">
        <v>14</v>
      </c>
      <c r="S26" s="706">
        <f>F26</f>
        <v>100</v>
      </c>
      <c r="T26" s="705" t="s">
        <v>14</v>
      </c>
      <c r="U26" s="706">
        <f>H26</f>
        <v>100</v>
      </c>
      <c r="V26" s="705" t="s">
        <v>14</v>
      </c>
      <c r="W26" s="706">
        <f>J26</f>
        <v>100</v>
      </c>
      <c r="X26" s="1355"/>
      <c r="Y26" s="3696"/>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3"/>
      <c r="Q27" s="1343" t="str">
        <f t="shared" si="11"/>
        <v>人流量</v>
      </c>
      <c r="R27" s="701" t="s">
        <v>14</v>
      </c>
      <c r="S27" s="702">
        <f>F27</f>
        <v>100</v>
      </c>
      <c r="T27" s="701" t="s">
        <v>14</v>
      </c>
      <c r="U27" s="702">
        <f>H27</f>
        <v>100</v>
      </c>
      <c r="V27" s="701" t="s">
        <v>14</v>
      </c>
      <c r="W27" s="702">
        <f>J27</f>
        <v>100</v>
      </c>
      <c r="X27" s="703"/>
      <c r="Y27" s="3696"/>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3"/>
      <c r="Q29" s="1352">
        <f t="shared" si="11"/>
        <v>111</v>
      </c>
      <c r="R29" s="705" t="s">
        <v>14</v>
      </c>
      <c r="S29" s="706">
        <f t="shared" si="12"/>
        <v>100</v>
      </c>
      <c r="T29" s="705" t="s">
        <v>14</v>
      </c>
      <c r="U29" s="706">
        <f t="shared" si="13"/>
        <v>100</v>
      </c>
      <c r="V29" s="705" t="s">
        <v>14</v>
      </c>
      <c r="W29" s="706">
        <f t="shared" si="14"/>
        <v>100</v>
      </c>
      <c r="X29" s="1355"/>
      <c r="Y29" s="369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3"/>
      <c r="Q30" s="1352">
        <f t="shared" si="11"/>
        <v>111</v>
      </c>
      <c r="R30" s="705" t="s">
        <v>14</v>
      </c>
      <c r="S30" s="706">
        <f t="shared" si="12"/>
        <v>100</v>
      </c>
      <c r="T30" s="705" t="s">
        <v>14</v>
      </c>
      <c r="U30" s="706">
        <f t="shared" si="13"/>
        <v>100</v>
      </c>
      <c r="V30" s="705" t="s">
        <v>14</v>
      </c>
      <c r="W30" s="706">
        <f t="shared" si="14"/>
        <v>100</v>
      </c>
      <c r="X30" s="1355"/>
      <c r="Y30" s="3696"/>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3"/>
      <c r="Q31" s="1352">
        <f t="shared" si="11"/>
        <v>111</v>
      </c>
      <c r="R31" s="705" t="s">
        <v>14</v>
      </c>
      <c r="S31" s="706">
        <f t="shared" si="12"/>
        <v>100</v>
      </c>
      <c r="T31" s="705" t="s">
        <v>14</v>
      </c>
      <c r="U31" s="706">
        <f t="shared" si="13"/>
        <v>100</v>
      </c>
      <c r="V31" s="705" t="s">
        <v>14</v>
      </c>
      <c r="W31" s="706">
        <f t="shared" si="14"/>
        <v>100</v>
      </c>
      <c r="X31" s="1355"/>
      <c r="Y31" s="3696"/>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97" t="s">
        <v>1696</v>
      </c>
      <c r="Q32" s="1352" t="str">
        <f t="shared" si="11"/>
        <v>商业类型</v>
      </c>
      <c r="R32" s="705" t="s">
        <v>14</v>
      </c>
      <c r="S32" s="706">
        <f t="shared" si="12"/>
        <v>100</v>
      </c>
      <c r="T32" s="705" t="s">
        <v>14</v>
      </c>
      <c r="U32" s="706">
        <f t="shared" si="13"/>
        <v>100</v>
      </c>
      <c r="V32" s="705" t="s">
        <v>14</v>
      </c>
      <c r="W32" s="706">
        <f t="shared" si="14"/>
        <v>100</v>
      </c>
      <c r="X32" s="1355"/>
      <c r="Y32" s="3700"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98"/>
      <c r="Q33" s="707" t="str">
        <f t="shared" si="11"/>
        <v>项目建筑规模</v>
      </c>
      <c r="R33" s="708" t="s">
        <v>14</v>
      </c>
      <c r="S33" s="709" t="e">
        <f t="shared" si="12"/>
        <v>#N/A</v>
      </c>
      <c r="T33" s="708" t="s">
        <v>14</v>
      </c>
      <c r="U33" s="709" t="e">
        <f t="shared" si="13"/>
        <v>#N/A</v>
      </c>
      <c r="V33" s="708" t="s">
        <v>14</v>
      </c>
      <c r="W33" s="709" t="e">
        <f t="shared" si="14"/>
        <v>#N/A</v>
      </c>
      <c r="X33" s="710"/>
      <c r="Y33" s="3700"/>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98"/>
      <c r="Q34" s="1352" t="str">
        <f t="shared" si="11"/>
        <v>建筑结构</v>
      </c>
      <c r="R34" s="705" t="s">
        <v>14</v>
      </c>
      <c r="S34" s="706">
        <f t="shared" si="12"/>
        <v>100</v>
      </c>
      <c r="T34" s="705" t="s">
        <v>14</v>
      </c>
      <c r="U34" s="706">
        <f t="shared" si="13"/>
        <v>100</v>
      </c>
      <c r="V34" s="705" t="s">
        <v>14</v>
      </c>
      <c r="W34" s="706">
        <f t="shared" si="14"/>
        <v>100</v>
      </c>
      <c r="X34" s="1355"/>
      <c r="Y34" s="3700"/>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98"/>
      <c r="Q35" s="1352" t="str">
        <f t="shared" si="11"/>
        <v>公共部分装修</v>
      </c>
      <c r="R35" s="705" t="s">
        <v>14</v>
      </c>
      <c r="S35" s="706">
        <f t="shared" si="12"/>
        <v>100</v>
      </c>
      <c r="T35" s="705" t="s">
        <v>14</v>
      </c>
      <c r="U35" s="706">
        <f t="shared" si="13"/>
        <v>100</v>
      </c>
      <c r="V35" s="705" t="s">
        <v>14</v>
      </c>
      <c r="W35" s="706">
        <f t="shared" si="14"/>
        <v>100</v>
      </c>
      <c r="X35" s="1355"/>
      <c r="Y35" s="3700"/>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98"/>
      <c r="Q36" s="1352" t="str">
        <f t="shared" si="11"/>
        <v>成新度</v>
      </c>
      <c r="R36" s="705" t="s">
        <v>14</v>
      </c>
      <c r="S36" s="706" t="e">
        <f t="shared" si="12"/>
        <v>#N/A</v>
      </c>
      <c r="T36" s="705" t="s">
        <v>14</v>
      </c>
      <c r="U36" s="706" t="e">
        <f t="shared" si="13"/>
        <v>#N/A</v>
      </c>
      <c r="V36" s="705" t="s">
        <v>14</v>
      </c>
      <c r="W36" s="706" t="e">
        <f t="shared" si="14"/>
        <v>#N/A</v>
      </c>
      <c r="X36" s="1355"/>
      <c r="Y36" s="3700"/>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98"/>
      <c r="Q37" s="1343" t="str">
        <f t="shared" si="11"/>
        <v>市政基础设施</v>
      </c>
      <c r="R37" s="701" t="s">
        <v>14</v>
      </c>
      <c r="S37" s="702">
        <f t="shared" si="12"/>
        <v>100</v>
      </c>
      <c r="T37" s="701" t="s">
        <v>14</v>
      </c>
      <c r="U37" s="702">
        <f t="shared" si="13"/>
        <v>100</v>
      </c>
      <c r="V37" s="701" t="s">
        <v>14</v>
      </c>
      <c r="W37" s="702">
        <f t="shared" si="14"/>
        <v>100</v>
      </c>
      <c r="X37" s="703"/>
      <c r="Y37" s="3700"/>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98" t="s">
        <v>1696</v>
      </c>
      <c r="Q38" s="1352" t="str">
        <f t="shared" si="11"/>
        <v>业态</v>
      </c>
      <c r="R38" s="705" t="s">
        <v>14</v>
      </c>
      <c r="S38" s="706">
        <f t="shared" si="12"/>
        <v>100</v>
      </c>
      <c r="T38" s="705" t="s">
        <v>14</v>
      </c>
      <c r="U38" s="706">
        <f t="shared" si="13"/>
        <v>100</v>
      </c>
      <c r="V38" s="705" t="s">
        <v>14</v>
      </c>
      <c r="W38" s="706">
        <f t="shared" si="14"/>
        <v>100</v>
      </c>
      <c r="X38" s="1355"/>
      <c r="Y38" s="3700"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98"/>
      <c r="Q39" s="1352" t="str">
        <f t="shared" si="11"/>
        <v>层高</v>
      </c>
      <c r="R39" s="705" t="s">
        <v>14</v>
      </c>
      <c r="S39" s="706">
        <f t="shared" si="12"/>
        <v>100</v>
      </c>
      <c r="T39" s="705" t="s">
        <v>14</v>
      </c>
      <c r="U39" s="706">
        <f t="shared" si="13"/>
        <v>100</v>
      </c>
      <c r="V39" s="705" t="s">
        <v>14</v>
      </c>
      <c r="W39" s="706">
        <f t="shared" si="14"/>
        <v>100</v>
      </c>
      <c r="X39" s="1355"/>
      <c r="Y39" s="3700"/>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98"/>
      <c r="Q40" s="1352" t="str">
        <f t="shared" si="11"/>
        <v>单套建筑面积</v>
      </c>
      <c r="R40" s="705" t="s">
        <v>14</v>
      </c>
      <c r="S40" s="706">
        <f t="shared" si="12"/>
        <v>100</v>
      </c>
      <c r="T40" s="705" t="s">
        <v>14</v>
      </c>
      <c r="U40" s="706">
        <f t="shared" si="13"/>
        <v>100</v>
      </c>
      <c r="V40" s="705" t="s">
        <v>14</v>
      </c>
      <c r="W40" s="706">
        <f t="shared" si="14"/>
        <v>100</v>
      </c>
      <c r="X40" s="1355"/>
      <c r="Y40" s="3700"/>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98"/>
      <c r="Q41" s="707" t="str">
        <f t="shared" si="11"/>
        <v>进深比</v>
      </c>
      <c r="R41" s="708" t="s">
        <v>14</v>
      </c>
      <c r="S41" s="709">
        <f t="shared" si="12"/>
        <v>100</v>
      </c>
      <c r="T41" s="708" t="s">
        <v>14</v>
      </c>
      <c r="U41" s="709">
        <f t="shared" si="13"/>
        <v>100</v>
      </c>
      <c r="V41" s="708" t="s">
        <v>14</v>
      </c>
      <c r="W41" s="709">
        <f t="shared" si="14"/>
        <v>100</v>
      </c>
      <c r="X41" s="710"/>
      <c r="Y41" s="3700"/>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98"/>
      <c r="Q42" s="1352" t="str">
        <f t="shared" si="11"/>
        <v>内部装修</v>
      </c>
      <c r="R42" s="705" t="s">
        <v>14</v>
      </c>
      <c r="S42" s="706">
        <f t="shared" si="12"/>
        <v>100</v>
      </c>
      <c r="T42" s="705" t="s">
        <v>14</v>
      </c>
      <c r="U42" s="706">
        <f t="shared" si="13"/>
        <v>100</v>
      </c>
      <c r="V42" s="705" t="s">
        <v>14</v>
      </c>
      <c r="W42" s="706">
        <f t="shared" si="14"/>
        <v>100</v>
      </c>
      <c r="X42" s="1355"/>
      <c r="Y42" s="3700"/>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98"/>
      <c r="Q43" s="1352" t="str">
        <f t="shared" si="11"/>
        <v>内部装修维护情况</v>
      </c>
      <c r="R43" s="705" t="s">
        <v>14</v>
      </c>
      <c r="S43" s="706">
        <f t="shared" si="12"/>
        <v>100</v>
      </c>
      <c r="T43" s="705" t="s">
        <v>14</v>
      </c>
      <c r="U43" s="706">
        <f t="shared" si="13"/>
        <v>100</v>
      </c>
      <c r="V43" s="705" t="s">
        <v>14</v>
      </c>
      <c r="W43" s="706">
        <f t="shared" si="14"/>
        <v>100</v>
      </c>
      <c r="X43" s="1355"/>
      <c r="Y43" s="370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98"/>
      <c r="Q44" s="1343">
        <f t="shared" si="11"/>
        <v>111</v>
      </c>
      <c r="R44" s="701" t="s">
        <v>14</v>
      </c>
      <c r="S44" s="702">
        <f t="shared" si="12"/>
        <v>100</v>
      </c>
      <c r="T44" s="701" t="s">
        <v>14</v>
      </c>
      <c r="U44" s="702">
        <f t="shared" si="13"/>
        <v>100</v>
      </c>
      <c r="V44" s="701" t="s">
        <v>14</v>
      </c>
      <c r="W44" s="702">
        <f t="shared" si="14"/>
        <v>100</v>
      </c>
      <c r="X44" s="703"/>
      <c r="Y44" s="370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98"/>
      <c r="Q45" s="1352">
        <f t="shared" si="11"/>
        <v>111</v>
      </c>
      <c r="R45" s="705" t="s">
        <v>14</v>
      </c>
      <c r="S45" s="706">
        <f t="shared" si="12"/>
        <v>100</v>
      </c>
      <c r="T45" s="705" t="s">
        <v>14</v>
      </c>
      <c r="U45" s="706">
        <f t="shared" si="13"/>
        <v>100</v>
      </c>
      <c r="V45" s="705" t="s">
        <v>14</v>
      </c>
      <c r="W45" s="706">
        <f t="shared" si="14"/>
        <v>100</v>
      </c>
      <c r="X45" s="1355"/>
      <c r="Y45" s="3700"/>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99"/>
      <c r="Q46" s="1352">
        <f t="shared" si="11"/>
        <v>111</v>
      </c>
      <c r="R46" s="705" t="s">
        <v>14</v>
      </c>
      <c r="S46" s="706">
        <f t="shared" si="12"/>
        <v>100</v>
      </c>
      <c r="T46" s="705" t="s">
        <v>14</v>
      </c>
      <c r="U46" s="706">
        <f t="shared" si="13"/>
        <v>100</v>
      </c>
      <c r="V46" s="705" t="s">
        <v>14</v>
      </c>
      <c r="W46" s="706">
        <f t="shared" si="14"/>
        <v>100</v>
      </c>
      <c r="X46" s="1355"/>
      <c r="Y46" s="3701"/>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4"/>
      <c r="M47" s="2725"/>
      <c r="N47" s="2716"/>
      <c r="O47" s="2725"/>
      <c r="P47" s="3693" t="str">
        <f>A47</f>
        <v>成交单价（元/平方米）</v>
      </c>
      <c r="Q47" s="3693"/>
      <c r="R47" s="3724">
        <f>E47</f>
        <v>0</v>
      </c>
      <c r="S47" s="3724"/>
      <c r="T47" s="3724">
        <f>G47</f>
        <v>0</v>
      </c>
      <c r="U47" s="3724"/>
      <c r="V47" s="3724">
        <f>I47</f>
        <v>0</v>
      </c>
      <c r="W47" s="3724"/>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3" t="str">
        <f>A48</f>
        <v>比较价值（元/平方米）</v>
      </c>
      <c r="Q48" s="3693"/>
      <c r="R48" s="3694" t="e">
        <f>IF(F1="售价",ROUND(PRODUCT(R47,AA7:AA46),0),ROUND(PRODUCT(R47,AA7:AA46),1))</f>
        <v>#DIV/0!</v>
      </c>
      <c r="S48" s="3694"/>
      <c r="T48" s="3694" t="e">
        <f>IF(F1="售价",ROUND(PRODUCT(T47,AB7:AB46),0),ROUND(PRODUCT(T47,AB7:AB46),1))</f>
        <v>#DIV/0!</v>
      </c>
      <c r="U48" s="3694"/>
      <c r="V48" s="3694" t="e">
        <f>IF(F1="售价",ROUND(PRODUCT(V47,AC7:AC46),0),ROUND(PRODUCT(V47,AC7:AC46),1))</f>
        <v>#DIV/0!</v>
      </c>
      <c r="W48" s="3694"/>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4"/>
      <c r="M49" s="2725"/>
      <c r="N49" s="2716"/>
      <c r="O49" s="2725"/>
      <c r="P49" s="3690" t="str">
        <f>A49</f>
        <v>估价对象XX用房的比较价值（楼面单价，元/平方米）</v>
      </c>
      <c r="Q49" s="3691"/>
      <c r="R49" s="3692" t="e">
        <f>IF(F1="售价",ROUND(IF(D48="简单平均",AVERAGE(R48:V48),R48*F48+T48*H48+V48*J48),0),ROUND(IF(D48="简单平均",AVERAGE(R48:V48),R48*F48+T48*H48+V48*J48),1))</f>
        <v>#DIV/0!</v>
      </c>
      <c r="S49" s="3692"/>
      <c r="T49" s="3692"/>
      <c r="U49" s="3692"/>
      <c r="V49" s="3692"/>
      <c r="W49" s="369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2025-12</v>
      </c>
      <c r="D58" s="1185">
        <f>EDATE(C58,-1)</f>
        <v>45962</v>
      </c>
      <c r="E58" s="1185">
        <f t="shared" ref="E58:N58" si="16">EDATE(D58,-1)</f>
        <v>45931</v>
      </c>
      <c r="F58" s="1185">
        <f t="shared" si="16"/>
        <v>45901</v>
      </c>
      <c r="G58" s="1185">
        <f t="shared" si="16"/>
        <v>45870</v>
      </c>
      <c r="H58" s="1185">
        <f t="shared" si="16"/>
        <v>45839</v>
      </c>
      <c r="I58" s="1185">
        <f t="shared" si="16"/>
        <v>45809</v>
      </c>
      <c r="J58" s="1185">
        <f t="shared" si="16"/>
        <v>45778</v>
      </c>
      <c r="K58" s="1185">
        <f t="shared" si="16"/>
        <v>45748</v>
      </c>
      <c r="L58" s="1185">
        <f t="shared" si="16"/>
        <v>45717</v>
      </c>
      <c r="M58" s="1185">
        <f t="shared" si="16"/>
        <v>45689</v>
      </c>
      <c r="N58" s="1185">
        <f t="shared" si="16"/>
        <v>45658</v>
      </c>
      <c r="O58" s="1185">
        <f>EDATE(N58,-1)</f>
        <v>45627</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5672.8</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1769</v>
      </c>
      <c r="B4" s="356"/>
      <c r="C4" s="3708" t="s">
        <v>1770</v>
      </c>
      <c r="D4" s="3709"/>
      <c r="E4" s="3710" t="s">
        <v>1771</v>
      </c>
      <c r="F4" s="3711"/>
      <c r="G4" s="3708" t="s">
        <v>1772</v>
      </c>
      <c r="H4" s="3709"/>
      <c r="I4" s="3708" t="s">
        <v>1773</v>
      </c>
      <c r="J4" s="3709"/>
      <c r="K4" s="559" t="s">
        <v>1774</v>
      </c>
      <c r="L4" s="2715"/>
      <c r="M4" s="2716"/>
      <c r="N4" s="2716"/>
      <c r="O4" s="2716"/>
      <c r="P4" s="3742" t="s">
        <v>1775</v>
      </c>
      <c r="Q4" s="3743"/>
      <c r="R4" s="3746" t="s">
        <v>1771</v>
      </c>
      <c r="S4" s="3747"/>
      <c r="T4" s="3746" t="s">
        <v>1772</v>
      </c>
      <c r="U4" s="3747"/>
      <c r="V4" s="3748" t="s">
        <v>1773</v>
      </c>
      <c r="W4" s="3748"/>
      <c r="X4" s="1958"/>
      <c r="Y4" s="3746" t="s">
        <v>1775</v>
      </c>
      <c r="Z4" s="3747"/>
      <c r="AA4" s="3750" t="s">
        <v>1771</v>
      </c>
      <c r="AB4" s="3750" t="s">
        <v>1772</v>
      </c>
      <c r="AC4" s="3739" t="s">
        <v>1773</v>
      </c>
    </row>
    <row r="5" spans="1:29">
      <c r="A5" s="358"/>
      <c r="B5" s="359"/>
      <c r="C5" s="3727" t="s">
        <v>1673</v>
      </c>
      <c r="D5" s="3728"/>
      <c r="E5" s="3734" t="s">
        <v>1674</v>
      </c>
      <c r="F5" s="3735"/>
      <c r="G5" s="3727" t="s">
        <v>1675</v>
      </c>
      <c r="H5" s="3728"/>
      <c r="I5" s="3727" t="s">
        <v>1676</v>
      </c>
      <c r="J5" s="3728"/>
      <c r="K5" s="559"/>
      <c r="L5" s="2715"/>
      <c r="M5" s="2716"/>
      <c r="N5" s="2716"/>
      <c r="O5" s="2716"/>
      <c r="P5" s="3744"/>
      <c r="Q5" s="3715"/>
      <c r="R5" s="3720"/>
      <c r="S5" s="3721"/>
      <c r="T5" s="3720"/>
      <c r="U5" s="3721"/>
      <c r="V5" s="3724"/>
      <c r="W5" s="3724"/>
      <c r="X5" s="1355"/>
      <c r="Y5" s="3720"/>
      <c r="Z5" s="3721"/>
      <c r="AA5" s="3706"/>
      <c r="AB5" s="3706"/>
      <c r="AC5" s="3740"/>
    </row>
    <row r="6" spans="1:29" ht="15" thickBot="1">
      <c r="A6" s="360"/>
      <c r="B6" s="361"/>
      <c r="C6" s="3725" t="s">
        <v>1677</v>
      </c>
      <c r="D6" s="3726"/>
      <c r="E6" s="3732" t="s">
        <v>1677</v>
      </c>
      <c r="F6" s="3733"/>
      <c r="G6" s="3725" t="s">
        <v>1677</v>
      </c>
      <c r="H6" s="3726"/>
      <c r="I6" s="3725" t="s">
        <v>1677</v>
      </c>
      <c r="J6" s="3726"/>
      <c r="K6" s="559" t="s">
        <v>1678</v>
      </c>
      <c r="L6" s="2715"/>
      <c r="M6" s="2716"/>
      <c r="N6" s="2716"/>
      <c r="O6" s="2716"/>
      <c r="P6" s="3745"/>
      <c r="Q6" s="3717"/>
      <c r="R6" s="3720"/>
      <c r="S6" s="3721"/>
      <c r="T6" s="3722"/>
      <c r="U6" s="3723"/>
      <c r="V6" s="3724"/>
      <c r="W6" s="3724"/>
      <c r="X6" s="1355"/>
      <c r="Y6" s="3722"/>
      <c r="Z6" s="3723"/>
      <c r="AA6" s="3707"/>
      <c r="AB6" s="3707"/>
      <c r="AC6" s="3741"/>
    </row>
    <row r="7" spans="1:29" s="108" customFormat="1" ht="15" thickBot="1">
      <c r="A7" s="362" t="s">
        <v>1679</v>
      </c>
      <c r="B7" s="363"/>
      <c r="C7" s="364">
        <f>'数据-取费表'!B2</f>
        <v>46022</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9" t="s">
        <v>1680</v>
      </c>
      <c r="Q7" s="3731"/>
      <c r="R7" s="701" t="s">
        <v>14</v>
      </c>
      <c r="S7" s="702">
        <f t="shared" ref="S7:S15" si="0">F7</f>
        <v>0</v>
      </c>
      <c r="T7" s="701" t="s">
        <v>14</v>
      </c>
      <c r="U7" s="702">
        <f t="shared" ref="U7:U15" si="1">H7</f>
        <v>0</v>
      </c>
      <c r="V7" s="701" t="s">
        <v>14</v>
      </c>
      <c r="W7" s="702">
        <f t="shared" ref="W7:W15" si="2">J7</f>
        <v>0</v>
      </c>
      <c r="X7" s="703"/>
      <c r="Y7" s="3729" t="s">
        <v>1680</v>
      </c>
      <c r="Z7" s="3730"/>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9" t="s">
        <v>1683</v>
      </c>
      <c r="Q8" s="3730"/>
      <c r="R8" s="701" t="s">
        <v>14</v>
      </c>
      <c r="S8" s="702">
        <f t="shared" si="0"/>
        <v>100</v>
      </c>
      <c r="T8" s="701" t="s">
        <v>14</v>
      </c>
      <c r="U8" s="702">
        <f t="shared" si="1"/>
        <v>100</v>
      </c>
      <c r="V8" s="701" t="s">
        <v>14</v>
      </c>
      <c r="W8" s="702">
        <f t="shared" si="2"/>
        <v>100</v>
      </c>
      <c r="X8" s="703"/>
      <c r="Y8" s="3729" t="s">
        <v>1683</v>
      </c>
      <c r="Z8" s="3730"/>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4" t="s">
        <v>1686</v>
      </c>
      <c r="Q9" s="1343" t="str">
        <f t="shared" ref="Q9:Q15" si="6">B9</f>
        <v>用途</v>
      </c>
      <c r="R9" s="701" t="s">
        <v>14</v>
      </c>
      <c r="S9" s="702">
        <f t="shared" si="0"/>
        <v>100</v>
      </c>
      <c r="T9" s="701" t="s">
        <v>14</v>
      </c>
      <c r="U9" s="702">
        <f t="shared" si="1"/>
        <v>100</v>
      </c>
      <c r="V9" s="701" t="s">
        <v>14</v>
      </c>
      <c r="W9" s="702">
        <f t="shared" si="2"/>
        <v>100</v>
      </c>
      <c r="X9" s="703"/>
      <c r="Y9" s="3568"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4"/>
      <c r="Q10" s="1343" t="str">
        <f t="shared" si="6"/>
        <v>土地使用年限（年）</v>
      </c>
      <c r="R10" s="701" t="s">
        <v>14</v>
      </c>
      <c r="S10" s="702">
        <f t="shared" si="0"/>
        <v>100</v>
      </c>
      <c r="T10" s="701" t="s">
        <v>14</v>
      </c>
      <c r="U10" s="702">
        <f t="shared" si="1"/>
        <v>100</v>
      </c>
      <c r="V10" s="701" t="s">
        <v>14</v>
      </c>
      <c r="W10" s="702">
        <f t="shared" si="2"/>
        <v>100</v>
      </c>
      <c r="X10" s="703"/>
      <c r="Y10" s="356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4"/>
      <c r="Q11" s="1343" t="str">
        <f t="shared" si="6"/>
        <v>容积率</v>
      </c>
      <c r="R11" s="701" t="s">
        <v>14</v>
      </c>
      <c r="S11" s="702">
        <f t="shared" si="0"/>
        <v>100</v>
      </c>
      <c r="T11" s="701" t="s">
        <v>14</v>
      </c>
      <c r="U11" s="702">
        <f t="shared" si="1"/>
        <v>100</v>
      </c>
      <c r="V11" s="701" t="s">
        <v>14</v>
      </c>
      <c r="W11" s="702">
        <f t="shared" si="2"/>
        <v>100</v>
      </c>
      <c r="X11" s="703"/>
      <c r="Y11" s="356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4"/>
      <c r="Q12" s="1343">
        <f t="shared" si="6"/>
        <v>111</v>
      </c>
      <c r="R12" s="701" t="s">
        <v>14</v>
      </c>
      <c r="S12" s="702">
        <f t="shared" si="0"/>
        <v>100</v>
      </c>
      <c r="T12" s="701" t="s">
        <v>14</v>
      </c>
      <c r="U12" s="702">
        <f t="shared" si="1"/>
        <v>100</v>
      </c>
      <c r="V12" s="701" t="s">
        <v>14</v>
      </c>
      <c r="W12" s="702">
        <f t="shared" si="2"/>
        <v>100</v>
      </c>
      <c r="X12" s="703"/>
      <c r="Y12" s="356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4"/>
      <c r="Q13" s="1343">
        <f t="shared" si="6"/>
        <v>111</v>
      </c>
      <c r="R13" s="701" t="s">
        <v>14</v>
      </c>
      <c r="S13" s="702">
        <f t="shared" si="0"/>
        <v>100</v>
      </c>
      <c r="T13" s="701" t="s">
        <v>14</v>
      </c>
      <c r="U13" s="702">
        <f t="shared" si="1"/>
        <v>100</v>
      </c>
      <c r="V13" s="701" t="s">
        <v>14</v>
      </c>
      <c r="W13" s="702">
        <f t="shared" si="2"/>
        <v>100</v>
      </c>
      <c r="X13" s="703"/>
      <c r="Y13" s="3568"/>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4"/>
      <c r="Q14" s="1343">
        <f t="shared" si="6"/>
        <v>111</v>
      </c>
      <c r="R14" s="701" t="s">
        <v>14</v>
      </c>
      <c r="S14" s="702">
        <f t="shared" si="0"/>
        <v>100</v>
      </c>
      <c r="T14" s="701" t="s">
        <v>14</v>
      </c>
      <c r="U14" s="702">
        <f t="shared" si="1"/>
        <v>100</v>
      </c>
      <c r="V14" s="701" t="s">
        <v>14</v>
      </c>
      <c r="W14" s="702">
        <f t="shared" si="2"/>
        <v>100</v>
      </c>
      <c r="X14" s="703"/>
      <c r="Y14" s="3568"/>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2" t="s">
        <v>1691</v>
      </c>
      <c r="Q15" s="1352" t="str">
        <f t="shared" si="6"/>
        <v>办公集聚程度</v>
      </c>
      <c r="R15" s="705" t="s">
        <v>14</v>
      </c>
      <c r="S15" s="706">
        <f t="shared" si="0"/>
        <v>100</v>
      </c>
      <c r="T15" s="705" t="s">
        <v>14</v>
      </c>
      <c r="U15" s="706">
        <f t="shared" si="1"/>
        <v>100</v>
      </c>
      <c r="V15" s="705" t="s">
        <v>14</v>
      </c>
      <c r="W15" s="706">
        <f t="shared" si="2"/>
        <v>100</v>
      </c>
      <c r="X15" s="1355"/>
      <c r="Y15" s="3695"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3"/>
      <c r="Q16" s="1352"/>
      <c r="R16" s="705"/>
      <c r="S16" s="706"/>
      <c r="T16" s="705"/>
      <c r="U16" s="706"/>
      <c r="V16" s="705"/>
      <c r="W16" s="706"/>
      <c r="X16" s="1355"/>
      <c r="Y16" s="3696"/>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3"/>
      <c r="Q17" s="1352" t="str">
        <f>B17</f>
        <v>交通便捷度</v>
      </c>
      <c r="R17" s="705" t="s">
        <v>14</v>
      </c>
      <c r="S17" s="706">
        <f>F17</f>
        <v>100</v>
      </c>
      <c r="T17" s="705" t="s">
        <v>14</v>
      </c>
      <c r="U17" s="706">
        <f>H17</f>
        <v>100</v>
      </c>
      <c r="V17" s="705" t="s">
        <v>14</v>
      </c>
      <c r="W17" s="706">
        <f>J17</f>
        <v>100</v>
      </c>
      <c r="X17" s="1355"/>
      <c r="Y17" s="3696"/>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3"/>
      <c r="Q18" s="1352"/>
      <c r="R18" s="705"/>
      <c r="S18" s="706"/>
      <c r="T18" s="705"/>
      <c r="U18" s="706"/>
      <c r="V18" s="705"/>
      <c r="W18" s="706"/>
      <c r="X18" s="1355"/>
      <c r="Y18" s="3696"/>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3"/>
      <c r="Q19" s="1352" t="str">
        <f>B19</f>
        <v>公共配套设施</v>
      </c>
      <c r="R19" s="705" t="s">
        <v>14</v>
      </c>
      <c r="S19" s="706">
        <f>F19</f>
        <v>100</v>
      </c>
      <c r="T19" s="705" t="s">
        <v>14</v>
      </c>
      <c r="U19" s="706">
        <f>H19</f>
        <v>100</v>
      </c>
      <c r="V19" s="705" t="s">
        <v>14</v>
      </c>
      <c r="W19" s="706">
        <f>J19</f>
        <v>100</v>
      </c>
      <c r="X19" s="1355"/>
      <c r="Y19" s="3696"/>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3"/>
      <c r="Q20" s="1352"/>
      <c r="R20" s="705"/>
      <c r="S20" s="706"/>
      <c r="T20" s="705"/>
      <c r="U20" s="706"/>
      <c r="V20" s="705"/>
      <c r="W20" s="706"/>
      <c r="X20" s="1355"/>
      <c r="Y20" s="3696"/>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3"/>
      <c r="Q21" s="1352" t="str">
        <f>B21</f>
        <v>基础设施水平</v>
      </c>
      <c r="R21" s="705" t="s">
        <v>14</v>
      </c>
      <c r="S21" s="706">
        <f>F21</f>
        <v>100</v>
      </c>
      <c r="T21" s="705" t="s">
        <v>14</v>
      </c>
      <c r="U21" s="706">
        <f>H21</f>
        <v>100</v>
      </c>
      <c r="V21" s="705" t="s">
        <v>14</v>
      </c>
      <c r="W21" s="706">
        <f>J21</f>
        <v>100</v>
      </c>
      <c r="X21" s="1355"/>
      <c r="Y21" s="3696"/>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3"/>
      <c r="Q22" s="1352"/>
      <c r="R22" s="705"/>
      <c r="S22" s="706"/>
      <c r="T22" s="705"/>
      <c r="U22" s="706"/>
      <c r="V22" s="705"/>
      <c r="W22" s="706"/>
      <c r="X22" s="1355"/>
      <c r="Y22" s="3696"/>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3"/>
      <c r="Q23" s="1352" t="str">
        <f>B23</f>
        <v>环境质量</v>
      </c>
      <c r="R23" s="705" t="s">
        <v>14</v>
      </c>
      <c r="S23" s="706">
        <f>F23</f>
        <v>100</v>
      </c>
      <c r="T23" s="705" t="s">
        <v>14</v>
      </c>
      <c r="U23" s="706">
        <f>H23</f>
        <v>100</v>
      </c>
      <c r="V23" s="705" t="s">
        <v>14</v>
      </c>
      <c r="W23" s="706">
        <f>J23</f>
        <v>100</v>
      </c>
      <c r="X23" s="1355"/>
      <c r="Y23" s="3696"/>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3"/>
      <c r="Q24" s="1352"/>
      <c r="R24" s="705"/>
      <c r="S24" s="706"/>
      <c r="T24" s="705"/>
      <c r="U24" s="706"/>
      <c r="V24" s="705"/>
      <c r="W24" s="706"/>
      <c r="X24" s="1355"/>
      <c r="Y24" s="3696"/>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3"/>
      <c r="Q25" s="1352" t="str">
        <f>B25</f>
        <v>毗邻道路的类型与等级</v>
      </c>
      <c r="R25" s="705" t="s">
        <v>14</v>
      </c>
      <c r="S25" s="706">
        <f>F25</f>
        <v>100</v>
      </c>
      <c r="T25" s="705" t="s">
        <v>14</v>
      </c>
      <c r="U25" s="706">
        <f>H25</f>
        <v>100</v>
      </c>
      <c r="V25" s="705" t="s">
        <v>14</v>
      </c>
      <c r="W25" s="706">
        <f>J25</f>
        <v>100</v>
      </c>
      <c r="X25" s="1355"/>
      <c r="Y25" s="369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3"/>
      <c r="Q26" s="1352"/>
      <c r="R26" s="705"/>
      <c r="S26" s="706"/>
      <c r="T26" s="705"/>
      <c r="U26" s="706"/>
      <c r="V26" s="705"/>
      <c r="W26" s="706"/>
      <c r="X26" s="1355"/>
      <c r="Y26" s="3696"/>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3"/>
      <c r="Q27" s="1352" t="str">
        <f t="shared" ref="Q27:Q47" si="11">B27</f>
        <v>楼层</v>
      </c>
      <c r="R27" s="705" t="s">
        <v>14</v>
      </c>
      <c r="S27" s="706">
        <f>F27</f>
        <v>100</v>
      </c>
      <c r="T27" s="705" t="s">
        <v>14</v>
      </c>
      <c r="U27" s="706">
        <f>H27</f>
        <v>100</v>
      </c>
      <c r="V27" s="705" t="s">
        <v>14</v>
      </c>
      <c r="W27" s="706">
        <f>J27</f>
        <v>100</v>
      </c>
      <c r="X27" s="1355"/>
      <c r="Y27" s="3696"/>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3"/>
      <c r="Q28" s="1343" t="str">
        <f t="shared" si="11"/>
        <v>朝向</v>
      </c>
      <c r="R28" s="701" t="s">
        <v>14</v>
      </c>
      <c r="S28" s="702">
        <f>F28</f>
        <v>100</v>
      </c>
      <c r="T28" s="701" t="s">
        <v>14</v>
      </c>
      <c r="U28" s="702">
        <f>H28</f>
        <v>100</v>
      </c>
      <c r="V28" s="701" t="s">
        <v>14</v>
      </c>
      <c r="W28" s="702">
        <f>J28</f>
        <v>100</v>
      </c>
      <c r="X28" s="703"/>
      <c r="Y28" s="3696"/>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3"/>
      <c r="Q29" s="1352">
        <f t="shared" si="11"/>
        <v>111</v>
      </c>
      <c r="R29" s="705" t="s">
        <v>14</v>
      </c>
      <c r="S29" s="706">
        <f t="shared" ref="S29:S47" si="12">F29</f>
        <v>100</v>
      </c>
      <c r="T29" s="705" t="s">
        <v>14</v>
      </c>
      <c r="U29" s="706">
        <f t="shared" ref="U29:U47" si="13">H29</f>
        <v>100</v>
      </c>
      <c r="V29" s="705" t="s">
        <v>14</v>
      </c>
      <c r="W29" s="706">
        <f t="shared" ref="W29:W47" si="14">J29</f>
        <v>100</v>
      </c>
      <c r="X29" s="1355"/>
      <c r="Y29" s="369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3"/>
      <c r="Q30" s="1352">
        <f t="shared" si="11"/>
        <v>111</v>
      </c>
      <c r="R30" s="705" t="s">
        <v>14</v>
      </c>
      <c r="S30" s="706">
        <f t="shared" si="12"/>
        <v>100</v>
      </c>
      <c r="T30" s="705" t="s">
        <v>14</v>
      </c>
      <c r="U30" s="706">
        <f t="shared" si="13"/>
        <v>100</v>
      </c>
      <c r="V30" s="705" t="s">
        <v>14</v>
      </c>
      <c r="W30" s="706">
        <f t="shared" si="14"/>
        <v>100</v>
      </c>
      <c r="X30" s="1355"/>
      <c r="Y30" s="369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3"/>
      <c r="Q31" s="1352">
        <f t="shared" si="11"/>
        <v>111</v>
      </c>
      <c r="R31" s="705" t="s">
        <v>14</v>
      </c>
      <c r="S31" s="706">
        <f t="shared" si="12"/>
        <v>100</v>
      </c>
      <c r="T31" s="705" t="s">
        <v>14</v>
      </c>
      <c r="U31" s="706">
        <f t="shared" si="13"/>
        <v>100</v>
      </c>
      <c r="V31" s="705" t="s">
        <v>14</v>
      </c>
      <c r="W31" s="706">
        <f t="shared" si="14"/>
        <v>100</v>
      </c>
      <c r="X31" s="1355"/>
      <c r="Y31" s="3696"/>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3"/>
      <c r="Q32" s="1352">
        <f t="shared" si="11"/>
        <v>111</v>
      </c>
      <c r="R32" s="705" t="s">
        <v>14</v>
      </c>
      <c r="S32" s="706">
        <f t="shared" si="12"/>
        <v>100</v>
      </c>
      <c r="T32" s="705" t="s">
        <v>14</v>
      </c>
      <c r="U32" s="706">
        <f t="shared" si="13"/>
        <v>100</v>
      </c>
      <c r="V32" s="705" t="s">
        <v>14</v>
      </c>
      <c r="W32" s="706">
        <f t="shared" si="14"/>
        <v>100</v>
      </c>
      <c r="X32" s="1355"/>
      <c r="Y32" s="3696"/>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97" t="s">
        <v>1696</v>
      </c>
      <c r="Q33" s="1352" t="str">
        <f t="shared" si="11"/>
        <v>建筑类型</v>
      </c>
      <c r="R33" s="705" t="s">
        <v>14</v>
      </c>
      <c r="S33" s="706">
        <f t="shared" si="12"/>
        <v>100</v>
      </c>
      <c r="T33" s="705" t="s">
        <v>14</v>
      </c>
      <c r="U33" s="706">
        <f t="shared" si="13"/>
        <v>100</v>
      </c>
      <c r="V33" s="705" t="s">
        <v>14</v>
      </c>
      <c r="W33" s="706">
        <f t="shared" si="14"/>
        <v>100</v>
      </c>
      <c r="X33" s="1355"/>
      <c r="Y33" s="3700"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98"/>
      <c r="Q34" s="707" t="str">
        <f t="shared" si="11"/>
        <v>项目建筑规模</v>
      </c>
      <c r="R34" s="708" t="s">
        <v>14</v>
      </c>
      <c r="S34" s="709" t="e">
        <f t="shared" si="12"/>
        <v>#N/A</v>
      </c>
      <c r="T34" s="708" t="s">
        <v>14</v>
      </c>
      <c r="U34" s="709" t="e">
        <f t="shared" si="13"/>
        <v>#N/A</v>
      </c>
      <c r="V34" s="708" t="s">
        <v>14</v>
      </c>
      <c r="W34" s="709" t="e">
        <f t="shared" si="14"/>
        <v>#N/A</v>
      </c>
      <c r="X34" s="710"/>
      <c r="Y34" s="3700"/>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98"/>
      <c r="Q35" s="1352" t="str">
        <f t="shared" si="11"/>
        <v>建筑结构</v>
      </c>
      <c r="R35" s="705" t="s">
        <v>14</v>
      </c>
      <c r="S35" s="706">
        <f t="shared" si="12"/>
        <v>100</v>
      </c>
      <c r="T35" s="705" t="s">
        <v>14</v>
      </c>
      <c r="U35" s="706">
        <f t="shared" si="13"/>
        <v>100</v>
      </c>
      <c r="V35" s="705" t="s">
        <v>14</v>
      </c>
      <c r="W35" s="706">
        <f t="shared" si="14"/>
        <v>100</v>
      </c>
      <c r="X35" s="1355"/>
      <c r="Y35" s="3700"/>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98"/>
      <c r="Q36" s="1352" t="str">
        <f t="shared" si="11"/>
        <v>公共部分装修</v>
      </c>
      <c r="R36" s="705" t="s">
        <v>14</v>
      </c>
      <c r="S36" s="706">
        <f t="shared" si="12"/>
        <v>100</v>
      </c>
      <c r="T36" s="705" t="s">
        <v>14</v>
      </c>
      <c r="U36" s="706">
        <f t="shared" si="13"/>
        <v>100</v>
      </c>
      <c r="V36" s="705" t="s">
        <v>14</v>
      </c>
      <c r="W36" s="706">
        <f t="shared" si="14"/>
        <v>100</v>
      </c>
      <c r="X36" s="1355"/>
      <c r="Y36" s="3700"/>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98"/>
      <c r="Q37" s="1352" t="str">
        <f t="shared" si="11"/>
        <v>成新度</v>
      </c>
      <c r="R37" s="705" t="s">
        <v>14</v>
      </c>
      <c r="S37" s="706" t="e">
        <f t="shared" si="12"/>
        <v>#N/A</v>
      </c>
      <c r="T37" s="705" t="s">
        <v>14</v>
      </c>
      <c r="U37" s="706" t="e">
        <f t="shared" si="13"/>
        <v>#N/A</v>
      </c>
      <c r="V37" s="705" t="s">
        <v>14</v>
      </c>
      <c r="W37" s="706" t="e">
        <f t="shared" si="14"/>
        <v>#N/A</v>
      </c>
      <c r="X37" s="1355"/>
      <c r="Y37" s="3700"/>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98"/>
      <c r="Q38" s="1343" t="str">
        <f t="shared" si="11"/>
        <v>写字楼等级</v>
      </c>
      <c r="R38" s="701" t="s">
        <v>14</v>
      </c>
      <c r="S38" s="702">
        <f t="shared" si="12"/>
        <v>100</v>
      </c>
      <c r="T38" s="701" t="s">
        <v>14</v>
      </c>
      <c r="U38" s="702">
        <f t="shared" si="13"/>
        <v>100</v>
      </c>
      <c r="V38" s="701" t="s">
        <v>14</v>
      </c>
      <c r="W38" s="702">
        <f t="shared" si="14"/>
        <v>100</v>
      </c>
      <c r="X38" s="703"/>
      <c r="Y38" s="3700"/>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98" t="s">
        <v>1696</v>
      </c>
      <c r="Q39" s="1352" t="str">
        <f t="shared" si="11"/>
        <v>物业管理</v>
      </c>
      <c r="R39" s="705" t="s">
        <v>14</v>
      </c>
      <c r="S39" s="706">
        <f t="shared" si="12"/>
        <v>100</v>
      </c>
      <c r="T39" s="705" t="s">
        <v>14</v>
      </c>
      <c r="U39" s="706">
        <f t="shared" si="13"/>
        <v>100</v>
      </c>
      <c r="V39" s="705" t="s">
        <v>14</v>
      </c>
      <c r="W39" s="706">
        <f t="shared" si="14"/>
        <v>100</v>
      </c>
      <c r="X39" s="1355"/>
      <c r="Y39" s="3700"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98"/>
      <c r="Q40" s="1352" t="str">
        <f t="shared" si="11"/>
        <v>市政基础设施</v>
      </c>
      <c r="R40" s="705" t="s">
        <v>14</v>
      </c>
      <c r="S40" s="706">
        <f t="shared" si="12"/>
        <v>100</v>
      </c>
      <c r="T40" s="705" t="s">
        <v>14</v>
      </c>
      <c r="U40" s="706">
        <f t="shared" si="13"/>
        <v>100</v>
      </c>
      <c r="V40" s="705" t="s">
        <v>14</v>
      </c>
      <c r="W40" s="706">
        <f t="shared" si="14"/>
        <v>100</v>
      </c>
      <c r="X40" s="1355"/>
      <c r="Y40" s="3700"/>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98"/>
      <c r="Q41" s="1352" t="str">
        <f t="shared" si="11"/>
        <v>层高</v>
      </c>
      <c r="R41" s="705" t="s">
        <v>14</v>
      </c>
      <c r="S41" s="706">
        <f t="shared" si="12"/>
        <v>100</v>
      </c>
      <c r="T41" s="705" t="s">
        <v>14</v>
      </c>
      <c r="U41" s="706">
        <f t="shared" si="13"/>
        <v>100</v>
      </c>
      <c r="V41" s="705" t="s">
        <v>14</v>
      </c>
      <c r="W41" s="706">
        <f t="shared" si="14"/>
        <v>100</v>
      </c>
      <c r="X41" s="1355"/>
      <c r="Y41" s="3700"/>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98"/>
      <c r="Q42" s="707" t="str">
        <f t="shared" si="11"/>
        <v>单套建筑面积</v>
      </c>
      <c r="R42" s="708" t="s">
        <v>14</v>
      </c>
      <c r="S42" s="709">
        <f t="shared" si="12"/>
        <v>100</v>
      </c>
      <c r="T42" s="708" t="s">
        <v>14</v>
      </c>
      <c r="U42" s="709">
        <f t="shared" si="13"/>
        <v>100</v>
      </c>
      <c r="V42" s="708" t="s">
        <v>14</v>
      </c>
      <c r="W42" s="709">
        <f t="shared" si="14"/>
        <v>100</v>
      </c>
      <c r="X42" s="710"/>
      <c r="Y42" s="3700"/>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98"/>
      <c r="Q43" s="1352" t="str">
        <f t="shared" si="11"/>
        <v>内部装修</v>
      </c>
      <c r="R43" s="705" t="s">
        <v>14</v>
      </c>
      <c r="S43" s="706">
        <f t="shared" si="12"/>
        <v>100</v>
      </c>
      <c r="T43" s="705" t="s">
        <v>14</v>
      </c>
      <c r="U43" s="706">
        <f t="shared" si="13"/>
        <v>100</v>
      </c>
      <c r="V43" s="705" t="s">
        <v>14</v>
      </c>
      <c r="W43" s="706">
        <f t="shared" si="14"/>
        <v>100</v>
      </c>
      <c r="X43" s="1355"/>
      <c r="Y43" s="3700"/>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98"/>
      <c r="Q44" s="1352" t="str">
        <f t="shared" si="11"/>
        <v>内部装修维护情况</v>
      </c>
      <c r="R44" s="705" t="s">
        <v>14</v>
      </c>
      <c r="S44" s="706">
        <f t="shared" si="12"/>
        <v>100</v>
      </c>
      <c r="T44" s="705" t="s">
        <v>14</v>
      </c>
      <c r="U44" s="706">
        <f t="shared" si="13"/>
        <v>100</v>
      </c>
      <c r="V44" s="705" t="s">
        <v>14</v>
      </c>
      <c r="W44" s="706">
        <f t="shared" si="14"/>
        <v>100</v>
      </c>
      <c r="X44" s="1355"/>
      <c r="Y44" s="3700"/>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98"/>
      <c r="Q45" s="1343">
        <f t="shared" si="11"/>
        <v>111</v>
      </c>
      <c r="R45" s="701" t="s">
        <v>14</v>
      </c>
      <c r="S45" s="702">
        <f t="shared" si="12"/>
        <v>100</v>
      </c>
      <c r="T45" s="701" t="s">
        <v>14</v>
      </c>
      <c r="U45" s="702">
        <f t="shared" si="13"/>
        <v>100</v>
      </c>
      <c r="V45" s="701" t="s">
        <v>14</v>
      </c>
      <c r="W45" s="702">
        <f t="shared" si="14"/>
        <v>100</v>
      </c>
      <c r="X45" s="703"/>
      <c r="Y45" s="3700"/>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98"/>
      <c r="Q46" s="1352">
        <f t="shared" si="11"/>
        <v>111</v>
      </c>
      <c r="R46" s="705" t="s">
        <v>14</v>
      </c>
      <c r="S46" s="706">
        <f t="shared" si="12"/>
        <v>100</v>
      </c>
      <c r="T46" s="705" t="s">
        <v>14</v>
      </c>
      <c r="U46" s="706">
        <f t="shared" si="13"/>
        <v>100</v>
      </c>
      <c r="V46" s="705" t="s">
        <v>14</v>
      </c>
      <c r="W46" s="706">
        <f t="shared" si="14"/>
        <v>100</v>
      </c>
      <c r="X46" s="1355"/>
      <c r="Y46" s="3700"/>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99"/>
      <c r="Q47" s="1352">
        <f t="shared" si="11"/>
        <v>111</v>
      </c>
      <c r="R47" s="705" t="s">
        <v>14</v>
      </c>
      <c r="S47" s="706">
        <f t="shared" si="12"/>
        <v>100</v>
      </c>
      <c r="T47" s="705" t="s">
        <v>14</v>
      </c>
      <c r="U47" s="706">
        <f t="shared" si="13"/>
        <v>100</v>
      </c>
      <c r="V47" s="705" t="s">
        <v>14</v>
      </c>
      <c r="W47" s="706">
        <f t="shared" si="14"/>
        <v>100</v>
      </c>
      <c r="X47" s="1355"/>
      <c r="Y47" s="3701"/>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4"/>
      <c r="M48" s="2716"/>
      <c r="N48" s="2716"/>
      <c r="O48" s="2716"/>
      <c r="P48" s="3704" t="str">
        <f>A48</f>
        <v>成交单价（元/平方米）</v>
      </c>
      <c r="Q48" s="3693"/>
      <c r="R48" s="3694">
        <f>E48</f>
        <v>0</v>
      </c>
      <c r="S48" s="3694"/>
      <c r="T48" s="3694">
        <f>G48</f>
        <v>0</v>
      </c>
      <c r="U48" s="3694"/>
      <c r="V48" s="3694">
        <f>I48</f>
        <v>0</v>
      </c>
      <c r="W48" s="3694"/>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04" t="str">
        <f>A49</f>
        <v>比较价值（元/平方米）</v>
      </c>
      <c r="Q49" s="3693"/>
      <c r="R49" s="3694" t="e">
        <f>IF(F1="售价",ROUND(PRODUCT(R48,AA7:AA47),0),ROUND(PRODUCT(R48,AA7:AA47),1))</f>
        <v>#DIV/0!</v>
      </c>
      <c r="S49" s="3694"/>
      <c r="T49" s="3694" t="e">
        <f>IF(F1="售价",ROUND(PRODUCT(T48,AB7:AB47),0),ROUND(PRODUCT(T48,AB7:AB47),1))</f>
        <v>#DIV/0!</v>
      </c>
      <c r="U49" s="3694"/>
      <c r="V49" s="3694" t="e">
        <f>IF(F1="售价",ROUND(PRODUCT(V48,AC7:AC47),0),ROUND(PRODUCT(V48,AC7:AC47),1))</f>
        <v>#DIV/0!</v>
      </c>
      <c r="W49" s="3694"/>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4"/>
      <c r="M50" s="2716"/>
      <c r="N50" s="2716"/>
      <c r="O50" s="2716"/>
      <c r="P50" s="3736" t="str">
        <f>A50</f>
        <v>估价对象XX用房的比较价值（楼面单价，元/平方米）</v>
      </c>
      <c r="Q50" s="3737"/>
      <c r="R50" s="3738" t="e">
        <f>IF(F1="售价",ROUND(IF(D49="简单平均",AVERAGE(R49:V49),R49*F49+T49*H49+V49*J49),0),ROUND(IF(D49="简单平均",AVERAGE(R49:V49),R49*F49+T49*H49+V49*J49),1))</f>
        <v>#DIV/0!</v>
      </c>
      <c r="S50" s="3738"/>
      <c r="T50" s="3738"/>
      <c r="U50" s="3738"/>
      <c r="V50" s="3738"/>
      <c r="W50" s="3738"/>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2025-12</v>
      </c>
      <c r="D59" s="1185">
        <f>EDATE(C59,-1)</f>
        <v>45962</v>
      </c>
      <c r="E59" s="1185">
        <f>EDATE(D59,-1)</f>
        <v>45931</v>
      </c>
      <c r="F59" s="1185">
        <f t="shared" ref="F59:O59" si="16">EDATE(E59,-1)</f>
        <v>45901</v>
      </c>
      <c r="G59" s="1185">
        <f t="shared" si="16"/>
        <v>45870</v>
      </c>
      <c r="H59" s="1185">
        <f t="shared" si="16"/>
        <v>45839</v>
      </c>
      <c r="I59" s="1185">
        <f t="shared" si="16"/>
        <v>45809</v>
      </c>
      <c r="J59" s="1185">
        <f t="shared" si="16"/>
        <v>45778</v>
      </c>
      <c r="K59" s="1185">
        <f t="shared" si="16"/>
        <v>45748</v>
      </c>
      <c r="L59" s="1185">
        <f t="shared" si="16"/>
        <v>45717</v>
      </c>
      <c r="M59" s="1185">
        <f t="shared" si="16"/>
        <v>45689</v>
      </c>
      <c r="N59" s="1185">
        <f t="shared" si="16"/>
        <v>45658</v>
      </c>
      <c r="O59" s="1185">
        <f t="shared" si="16"/>
        <v>45627</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受贵公司委托，我公司对北京市北京市密云区云西三街3号院2号楼-1至6层101实验检测楼房地产市场价值进行了预评估。</v>
      </c>
    </row>
    <row r="5" spans="1:1" ht="17.399999999999999">
      <c r="A5" s="1481" t="s">
        <v>899</v>
      </c>
    </row>
    <row r="6" spans="1:1" ht="17.399999999999999">
      <c r="A6" s="1482" t="s">
        <v>900</v>
      </c>
    </row>
    <row r="7" spans="1:1" ht="17.399999999999999">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估价对象为北京市北京市密云区云西三街3号院2号楼-1至6层101实验检测楼房地产，为所有。根据《国有土地使用证》[]，估价对象（分摊）出让国有建设用地使用权面积为9300平方米，建筑面积为5672.8平方米。</v>
      </c>
    </row>
    <row r="8" spans="1:1" ht="54.6">
      <c r="A8" s="1483" t="s">
        <v>901</v>
      </c>
    </row>
    <row r="9" spans="1:1" ht="17.399999999999999">
      <c r="A9" s="1482" t="s">
        <v>902</v>
      </c>
    </row>
    <row r="10" spans="1:1" ht="17.399999999999999">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密云区云西三街3号院2号楼-1至6层101实验检测楼房地产,属开发建设的，该项目尚在开发建设中。根据《国有土地使用证》[]，估价对象（分摊）出让国有建设用地使用权面积为9300平方米，规划建筑面积为5672.8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2025年12月31日</v>
      </c>
    </row>
    <row r="16" spans="1:1" ht="17.399999999999999">
      <c r="A16" s="1485" t="s">
        <v>906</v>
      </c>
    </row>
    <row r="17" spans="1:1" ht="69.599999999999994">
      <c r="A17" s="1480" t="s">
        <v>907</v>
      </c>
    </row>
    <row r="18" spans="1:1" ht="52.2">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31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480" t="str">
        <f>IF(项目基本情况!B9="房地产市场价值","——",IF(项目基本情况!E8="房地产抵押价值",定义!C54,IF(项目基本情况!E8="已注销",定义!C55,定义!C56)))</f>
        <v>——</v>
      </c>
    </row>
    <row r="21" spans="1:1" ht="52.2">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52.2">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本次评估采用的主估价方法为收益法和收益法。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20" sqref="F20"/>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5672.8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708" t="s">
        <v>1770</v>
      </c>
      <c r="D4" s="3709"/>
      <c r="E4" s="3710" t="s">
        <v>1771</v>
      </c>
      <c r="F4" s="3711"/>
      <c r="G4" s="3708" t="s">
        <v>1772</v>
      </c>
      <c r="H4" s="3709"/>
      <c r="I4" s="3708" t="s">
        <v>1773</v>
      </c>
      <c r="J4" s="3709"/>
      <c r="K4" s="559" t="s">
        <v>1774</v>
      </c>
      <c r="L4" s="913"/>
      <c r="M4" s="914"/>
      <c r="N4" s="914"/>
      <c r="O4" s="914"/>
      <c r="P4" s="3712" t="s">
        <v>1775</v>
      </c>
      <c r="Q4" s="3713"/>
      <c r="R4" s="3718" t="s">
        <v>1771</v>
      </c>
      <c r="S4" s="3719"/>
      <c r="T4" s="3718" t="s">
        <v>1772</v>
      </c>
      <c r="U4" s="3719"/>
      <c r="V4" s="3724" t="s">
        <v>1773</v>
      </c>
      <c r="W4" s="3724"/>
      <c r="X4" s="1355"/>
      <c r="Y4" s="3718" t="s">
        <v>1775</v>
      </c>
      <c r="Z4" s="3719"/>
      <c r="AA4" s="3705" t="s">
        <v>1771</v>
      </c>
      <c r="AB4" s="3706" t="s">
        <v>1772</v>
      </c>
      <c r="AC4" s="3705" t="s">
        <v>1773</v>
      </c>
    </row>
    <row r="5" spans="1:29">
      <c r="A5" s="358"/>
      <c r="B5" s="359"/>
      <c r="C5" s="3727" t="s">
        <v>1673</v>
      </c>
      <c r="D5" s="3728"/>
      <c r="E5" s="3734" t="s">
        <v>1674</v>
      </c>
      <c r="F5" s="3735"/>
      <c r="G5" s="3727" t="s">
        <v>1675</v>
      </c>
      <c r="H5" s="3728"/>
      <c r="I5" s="3727" t="s">
        <v>1676</v>
      </c>
      <c r="J5" s="3728"/>
      <c r="K5" s="559"/>
      <c r="L5" s="913"/>
      <c r="M5" s="914"/>
      <c r="N5" s="914"/>
      <c r="O5" s="914"/>
      <c r="P5" s="3714"/>
      <c r="Q5" s="3715"/>
      <c r="R5" s="3720"/>
      <c r="S5" s="3721"/>
      <c r="T5" s="3720"/>
      <c r="U5" s="3721"/>
      <c r="V5" s="3724"/>
      <c r="W5" s="3724"/>
      <c r="X5" s="1355"/>
      <c r="Y5" s="3720"/>
      <c r="Z5" s="3721"/>
      <c r="AA5" s="3706"/>
      <c r="AB5" s="3706"/>
      <c r="AC5" s="3706"/>
    </row>
    <row r="6" spans="1:29" ht="15" thickBot="1">
      <c r="A6" s="360"/>
      <c r="B6" s="361"/>
      <c r="C6" s="3725" t="s">
        <v>1677</v>
      </c>
      <c r="D6" s="3726"/>
      <c r="E6" s="3732" t="s">
        <v>1677</v>
      </c>
      <c r="F6" s="3733"/>
      <c r="G6" s="3725" t="s">
        <v>1677</v>
      </c>
      <c r="H6" s="3726"/>
      <c r="I6" s="3725" t="s">
        <v>1677</v>
      </c>
      <c r="J6" s="3726"/>
      <c r="K6" s="559" t="s">
        <v>1678</v>
      </c>
      <c r="L6" s="913"/>
      <c r="M6" s="914"/>
      <c r="N6" s="914"/>
      <c r="O6" s="914"/>
      <c r="P6" s="3716"/>
      <c r="Q6" s="3717"/>
      <c r="R6" s="3720"/>
      <c r="S6" s="3721"/>
      <c r="T6" s="3722"/>
      <c r="U6" s="3723"/>
      <c r="V6" s="3724"/>
      <c r="W6" s="3724"/>
      <c r="X6" s="1355"/>
      <c r="Y6" s="3722"/>
      <c r="Z6" s="3723"/>
      <c r="AA6" s="3707"/>
      <c r="AB6" s="3707"/>
      <c r="AC6" s="3707"/>
    </row>
    <row r="7" spans="1:29" s="108" customFormat="1" ht="15" thickBot="1">
      <c r="A7" s="362" t="s">
        <v>1679</v>
      </c>
      <c r="B7" s="363"/>
      <c r="C7" s="364">
        <f>'数据-取费表'!B2</f>
        <v>46022</v>
      </c>
      <c r="D7" s="365">
        <v>100</v>
      </c>
      <c r="E7" s="366"/>
      <c r="F7" s="367">
        <f>SUMIF(52:52,YEAR(E7)&amp;"-"&amp;MONTH(E7),53:53)</f>
        <v>0</v>
      </c>
      <c r="G7" s="366"/>
      <c r="H7" s="365">
        <f>SUMIF(52:52,YEAR(G7)&amp;"-"&amp;MONTH(G7),53:53)</f>
        <v>0</v>
      </c>
      <c r="I7" s="366"/>
      <c r="J7" s="365">
        <f>SUMIF(52:52,YEAR(I7)&amp;"-"&amp;MONTH(I7),53:53)</f>
        <v>0</v>
      </c>
      <c r="K7" s="560"/>
      <c r="L7" s="915"/>
      <c r="M7" s="916"/>
      <c r="N7" s="916"/>
      <c r="O7" s="916"/>
      <c r="P7" s="3729" t="s">
        <v>1680</v>
      </c>
      <c r="Q7" s="3731"/>
      <c r="R7" s="701" t="s">
        <v>14</v>
      </c>
      <c r="S7" s="702">
        <f t="shared" ref="S7:S15" si="0">F7</f>
        <v>0</v>
      </c>
      <c r="T7" s="701" t="s">
        <v>14</v>
      </c>
      <c r="U7" s="702">
        <f t="shared" ref="U7:U15" si="1">H7</f>
        <v>0</v>
      </c>
      <c r="V7" s="701" t="s">
        <v>14</v>
      </c>
      <c r="W7" s="702">
        <f t="shared" ref="W7:W15" si="2">J7</f>
        <v>0</v>
      </c>
      <c r="X7" s="703"/>
      <c r="Y7" s="3729" t="s">
        <v>1680</v>
      </c>
      <c r="Z7" s="3730"/>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9" t="s">
        <v>1683</v>
      </c>
      <c r="Q8" s="3730"/>
      <c r="R8" s="701" t="s">
        <v>14</v>
      </c>
      <c r="S8" s="702">
        <f t="shared" si="0"/>
        <v>100</v>
      </c>
      <c r="T8" s="701" t="s">
        <v>14</v>
      </c>
      <c r="U8" s="702">
        <f t="shared" si="1"/>
        <v>100</v>
      </c>
      <c r="V8" s="701" t="s">
        <v>14</v>
      </c>
      <c r="W8" s="702">
        <f t="shared" si="2"/>
        <v>100</v>
      </c>
      <c r="X8" s="703"/>
      <c r="Y8" s="3729" t="s">
        <v>1683</v>
      </c>
      <c r="Z8" s="3730"/>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3" t="s">
        <v>1686</v>
      </c>
      <c r="Q9" s="1343" t="str">
        <f t="shared" ref="Q9:Q15" si="6">B9</f>
        <v>用途</v>
      </c>
      <c r="R9" s="701" t="s">
        <v>14</v>
      </c>
      <c r="S9" s="702">
        <f t="shared" si="0"/>
        <v>100</v>
      </c>
      <c r="T9" s="701" t="s">
        <v>14</v>
      </c>
      <c r="U9" s="702">
        <f t="shared" si="1"/>
        <v>100</v>
      </c>
      <c r="V9" s="701" t="s">
        <v>14</v>
      </c>
      <c r="W9" s="702">
        <f t="shared" si="2"/>
        <v>100</v>
      </c>
      <c r="X9" s="703"/>
      <c r="Y9" s="3568"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3"/>
      <c r="Q10" s="1343" t="str">
        <f t="shared" si="6"/>
        <v>土地使用年限（年）</v>
      </c>
      <c r="R10" s="701" t="s">
        <v>14</v>
      </c>
      <c r="S10" s="702">
        <f t="shared" si="0"/>
        <v>100</v>
      </c>
      <c r="T10" s="701" t="s">
        <v>14</v>
      </c>
      <c r="U10" s="702">
        <f t="shared" si="1"/>
        <v>100</v>
      </c>
      <c r="V10" s="701" t="s">
        <v>14</v>
      </c>
      <c r="W10" s="702">
        <f t="shared" si="2"/>
        <v>100</v>
      </c>
      <c r="X10" s="703"/>
      <c r="Y10" s="356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3"/>
      <c r="Q11" s="1343" t="str">
        <f t="shared" si="6"/>
        <v>容积率</v>
      </c>
      <c r="R11" s="701" t="s">
        <v>14</v>
      </c>
      <c r="S11" s="702">
        <f t="shared" si="0"/>
        <v>100</v>
      </c>
      <c r="T11" s="701" t="s">
        <v>14</v>
      </c>
      <c r="U11" s="702">
        <f t="shared" si="1"/>
        <v>100</v>
      </c>
      <c r="V11" s="701" t="s">
        <v>14</v>
      </c>
      <c r="W11" s="702">
        <f t="shared" si="2"/>
        <v>100</v>
      </c>
      <c r="X11" s="703"/>
      <c r="Y11" s="356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3"/>
      <c r="Q12" s="1343">
        <f t="shared" si="6"/>
        <v>111</v>
      </c>
      <c r="R12" s="701" t="s">
        <v>14</v>
      </c>
      <c r="S12" s="702">
        <f t="shared" si="0"/>
        <v>100</v>
      </c>
      <c r="T12" s="701" t="s">
        <v>14</v>
      </c>
      <c r="U12" s="702">
        <f t="shared" si="1"/>
        <v>100</v>
      </c>
      <c r="V12" s="701" t="s">
        <v>14</v>
      </c>
      <c r="W12" s="702">
        <f t="shared" si="2"/>
        <v>100</v>
      </c>
      <c r="X12" s="703"/>
      <c r="Y12" s="356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3"/>
      <c r="Q13" s="1343">
        <f t="shared" si="6"/>
        <v>111</v>
      </c>
      <c r="R13" s="701" t="s">
        <v>14</v>
      </c>
      <c r="S13" s="702">
        <f t="shared" si="0"/>
        <v>100</v>
      </c>
      <c r="T13" s="701" t="s">
        <v>14</v>
      </c>
      <c r="U13" s="702">
        <f t="shared" si="1"/>
        <v>100</v>
      </c>
      <c r="V13" s="701" t="s">
        <v>14</v>
      </c>
      <c r="W13" s="702">
        <f t="shared" si="2"/>
        <v>100</v>
      </c>
      <c r="X13" s="703"/>
      <c r="Y13" s="3568"/>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3"/>
      <c r="Q14" s="1343">
        <f t="shared" si="6"/>
        <v>111</v>
      </c>
      <c r="R14" s="701" t="s">
        <v>14</v>
      </c>
      <c r="S14" s="702">
        <f t="shared" si="0"/>
        <v>100</v>
      </c>
      <c r="T14" s="701" t="s">
        <v>14</v>
      </c>
      <c r="U14" s="702">
        <f t="shared" si="1"/>
        <v>100</v>
      </c>
      <c r="V14" s="701" t="s">
        <v>14</v>
      </c>
      <c r="W14" s="702">
        <f t="shared" si="2"/>
        <v>100</v>
      </c>
      <c r="X14" s="703"/>
      <c r="Y14" s="3568"/>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5" t="s">
        <v>1691</v>
      </c>
      <c r="Q15" s="1352" t="str">
        <f t="shared" si="6"/>
        <v>产业集聚程度</v>
      </c>
      <c r="R15" s="705" t="s">
        <v>14</v>
      </c>
      <c r="S15" s="706">
        <f t="shared" si="0"/>
        <v>100</v>
      </c>
      <c r="T15" s="705" t="s">
        <v>14</v>
      </c>
      <c r="U15" s="706">
        <f t="shared" si="1"/>
        <v>100</v>
      </c>
      <c r="V15" s="705" t="s">
        <v>14</v>
      </c>
      <c r="W15" s="706">
        <f t="shared" si="2"/>
        <v>100</v>
      </c>
      <c r="X15" s="1355"/>
      <c r="Y15" s="3695"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6"/>
      <c r="Q16" s="1352"/>
      <c r="R16" s="705"/>
      <c r="S16" s="706"/>
      <c r="T16" s="705"/>
      <c r="U16" s="706"/>
      <c r="V16" s="705"/>
      <c r="W16" s="706"/>
      <c r="X16" s="1355"/>
      <c r="Y16" s="3696"/>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6"/>
      <c r="Q17" s="1352" t="str">
        <f>B17</f>
        <v>交通便捷度</v>
      </c>
      <c r="R17" s="705" t="s">
        <v>14</v>
      </c>
      <c r="S17" s="706">
        <f>F17</f>
        <v>100</v>
      </c>
      <c r="T17" s="705" t="s">
        <v>14</v>
      </c>
      <c r="U17" s="706">
        <f>H17</f>
        <v>100</v>
      </c>
      <c r="V17" s="705" t="s">
        <v>14</v>
      </c>
      <c r="W17" s="706">
        <f>J17</f>
        <v>100</v>
      </c>
      <c r="X17" s="1355"/>
      <c r="Y17" s="369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6"/>
      <c r="Q18" s="1352"/>
      <c r="R18" s="705"/>
      <c r="S18" s="706"/>
      <c r="T18" s="705"/>
      <c r="U18" s="706"/>
      <c r="V18" s="705"/>
      <c r="W18" s="706"/>
      <c r="X18" s="1355"/>
      <c r="Y18" s="3696"/>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6"/>
      <c r="Q19" s="1352" t="str">
        <f>B19</f>
        <v>公共配套设施</v>
      </c>
      <c r="R19" s="705" t="s">
        <v>14</v>
      </c>
      <c r="S19" s="706">
        <f>F19</f>
        <v>100</v>
      </c>
      <c r="T19" s="705" t="s">
        <v>14</v>
      </c>
      <c r="U19" s="706">
        <f>H19</f>
        <v>100</v>
      </c>
      <c r="V19" s="705" t="s">
        <v>14</v>
      </c>
      <c r="W19" s="706">
        <f>J19</f>
        <v>100</v>
      </c>
      <c r="X19" s="1355"/>
      <c r="Y19" s="369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6"/>
      <c r="Q20" s="1352"/>
      <c r="R20" s="705"/>
      <c r="S20" s="706"/>
      <c r="T20" s="705"/>
      <c r="U20" s="706"/>
      <c r="V20" s="705"/>
      <c r="W20" s="706"/>
      <c r="X20" s="1355"/>
      <c r="Y20" s="3696"/>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6"/>
      <c r="Q21" s="1352" t="str">
        <f>B21</f>
        <v>基础设施水平</v>
      </c>
      <c r="R21" s="705" t="s">
        <v>14</v>
      </c>
      <c r="S21" s="706">
        <f>F21</f>
        <v>100</v>
      </c>
      <c r="T21" s="705" t="s">
        <v>14</v>
      </c>
      <c r="U21" s="706">
        <f>H21</f>
        <v>100</v>
      </c>
      <c r="V21" s="705" t="s">
        <v>14</v>
      </c>
      <c r="W21" s="706">
        <f>J21</f>
        <v>100</v>
      </c>
      <c r="X21" s="1355"/>
      <c r="Y21" s="369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6"/>
      <c r="Q22" s="1352"/>
      <c r="R22" s="705"/>
      <c r="S22" s="706"/>
      <c r="T22" s="705"/>
      <c r="U22" s="706"/>
      <c r="V22" s="705"/>
      <c r="W22" s="706"/>
      <c r="X22" s="1355"/>
      <c r="Y22" s="3696"/>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6"/>
      <c r="Q23" s="1352" t="str">
        <f>B23</f>
        <v>环境质量</v>
      </c>
      <c r="R23" s="705" t="s">
        <v>14</v>
      </c>
      <c r="S23" s="706">
        <f>F23</f>
        <v>100</v>
      </c>
      <c r="T23" s="705" t="s">
        <v>14</v>
      </c>
      <c r="U23" s="706">
        <f>H23</f>
        <v>100</v>
      </c>
      <c r="V23" s="705" t="s">
        <v>14</v>
      </c>
      <c r="W23" s="706">
        <f>J23</f>
        <v>100</v>
      </c>
      <c r="X23" s="1355"/>
      <c r="Y23" s="369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6"/>
      <c r="Q24" s="1352"/>
      <c r="R24" s="705"/>
      <c r="S24" s="706"/>
      <c r="T24" s="705"/>
      <c r="U24" s="706"/>
      <c r="V24" s="705"/>
      <c r="W24" s="706"/>
      <c r="X24" s="1355"/>
      <c r="Y24" s="369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6"/>
      <c r="Q25" s="1352">
        <f>B25</f>
        <v>111</v>
      </c>
      <c r="R25" s="705" t="s">
        <v>14</v>
      </c>
      <c r="S25" s="706">
        <f>F25</f>
        <v>100</v>
      </c>
      <c r="T25" s="705" t="s">
        <v>14</v>
      </c>
      <c r="U25" s="706">
        <f>H25</f>
        <v>100</v>
      </c>
      <c r="V25" s="705" t="s">
        <v>14</v>
      </c>
      <c r="W25" s="706">
        <f>J25</f>
        <v>100</v>
      </c>
      <c r="X25" s="1355"/>
      <c r="Y25" s="369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6"/>
      <c r="Q26" s="1352">
        <f t="shared" ref="Q26:Q40" si="11">B26</f>
        <v>111</v>
      </c>
      <c r="R26" s="705" t="s">
        <v>14</v>
      </c>
      <c r="S26" s="706">
        <f>F26</f>
        <v>100</v>
      </c>
      <c r="T26" s="705" t="s">
        <v>14</v>
      </c>
      <c r="U26" s="706">
        <f>H26</f>
        <v>100</v>
      </c>
      <c r="V26" s="705" t="s">
        <v>14</v>
      </c>
      <c r="W26" s="706">
        <f>J26</f>
        <v>100</v>
      </c>
      <c r="X26" s="1355"/>
      <c r="Y26" s="369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6"/>
      <c r="Q27" s="1343">
        <f t="shared" si="11"/>
        <v>111</v>
      </c>
      <c r="R27" s="701" t="s">
        <v>14</v>
      </c>
      <c r="S27" s="702">
        <f>F27</f>
        <v>100</v>
      </c>
      <c r="T27" s="701" t="s">
        <v>14</v>
      </c>
      <c r="U27" s="702">
        <f>H27</f>
        <v>100</v>
      </c>
      <c r="V27" s="701" t="s">
        <v>14</v>
      </c>
      <c r="W27" s="702">
        <f>J27</f>
        <v>100</v>
      </c>
      <c r="X27" s="703"/>
      <c r="Y27" s="3696"/>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6"/>
      <c r="Q28" s="1352">
        <f t="shared" si="11"/>
        <v>111</v>
      </c>
      <c r="R28" s="705" t="s">
        <v>14</v>
      </c>
      <c r="S28" s="706">
        <f t="shared" ref="S28:S40" si="12">F28</f>
        <v>100</v>
      </c>
      <c r="T28" s="705" t="s">
        <v>14</v>
      </c>
      <c r="U28" s="706">
        <f t="shared" ref="U28:U40" si="13">H28</f>
        <v>100</v>
      </c>
      <c r="V28" s="705" t="s">
        <v>14</v>
      </c>
      <c r="W28" s="706">
        <f t="shared" ref="W28:W40" si="14">J28</f>
        <v>100</v>
      </c>
      <c r="X28" s="1355"/>
      <c r="Y28" s="3696"/>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1" t="s">
        <v>1696</v>
      </c>
      <c r="Q29" s="1352" t="str">
        <f t="shared" si="11"/>
        <v>建筑类型</v>
      </c>
      <c r="R29" s="705" t="s">
        <v>14</v>
      </c>
      <c r="S29" s="706">
        <f t="shared" si="12"/>
        <v>100</v>
      </c>
      <c r="T29" s="705" t="s">
        <v>14</v>
      </c>
      <c r="U29" s="706">
        <f t="shared" si="13"/>
        <v>100</v>
      </c>
      <c r="V29" s="705" t="s">
        <v>14</v>
      </c>
      <c r="W29" s="706">
        <f t="shared" si="14"/>
        <v>100</v>
      </c>
      <c r="X29" s="1355"/>
      <c r="Y29" s="3700"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0"/>
      <c r="Q30" s="707" t="str">
        <f t="shared" si="11"/>
        <v>项目建筑规模</v>
      </c>
      <c r="R30" s="708" t="s">
        <v>14</v>
      </c>
      <c r="S30" s="709" t="e">
        <f t="shared" si="12"/>
        <v>#N/A</v>
      </c>
      <c r="T30" s="708" t="s">
        <v>14</v>
      </c>
      <c r="U30" s="709" t="e">
        <f t="shared" si="13"/>
        <v>#N/A</v>
      </c>
      <c r="V30" s="708" t="s">
        <v>14</v>
      </c>
      <c r="W30" s="709" t="e">
        <f t="shared" si="14"/>
        <v>#N/A</v>
      </c>
      <c r="X30" s="710"/>
      <c r="Y30" s="3700"/>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0"/>
      <c r="Q31" s="1352" t="str">
        <f t="shared" si="11"/>
        <v>建筑结构</v>
      </c>
      <c r="R31" s="705" t="s">
        <v>14</v>
      </c>
      <c r="S31" s="706">
        <f t="shared" si="12"/>
        <v>100</v>
      </c>
      <c r="T31" s="705" t="s">
        <v>14</v>
      </c>
      <c r="U31" s="706">
        <f t="shared" si="13"/>
        <v>100</v>
      </c>
      <c r="V31" s="705" t="s">
        <v>14</v>
      </c>
      <c r="W31" s="706">
        <f t="shared" si="14"/>
        <v>100</v>
      </c>
      <c r="X31" s="1355"/>
      <c r="Y31" s="3700"/>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0"/>
      <c r="Q32" s="1352" t="str">
        <f t="shared" si="11"/>
        <v>公共部分装修</v>
      </c>
      <c r="R32" s="705" t="s">
        <v>14</v>
      </c>
      <c r="S32" s="706">
        <f t="shared" si="12"/>
        <v>100</v>
      </c>
      <c r="T32" s="705" t="s">
        <v>14</v>
      </c>
      <c r="U32" s="706">
        <f t="shared" si="13"/>
        <v>100</v>
      </c>
      <c r="V32" s="705" t="s">
        <v>14</v>
      </c>
      <c r="W32" s="706">
        <f t="shared" si="14"/>
        <v>100</v>
      </c>
      <c r="X32" s="1355"/>
      <c r="Y32" s="3700"/>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0"/>
      <c r="Q33" s="1352" t="str">
        <f t="shared" si="11"/>
        <v>成新度</v>
      </c>
      <c r="R33" s="705" t="s">
        <v>14</v>
      </c>
      <c r="S33" s="706" t="e">
        <f t="shared" si="12"/>
        <v>#N/A</v>
      </c>
      <c r="T33" s="705" t="s">
        <v>14</v>
      </c>
      <c r="U33" s="706" t="e">
        <f t="shared" si="13"/>
        <v>#N/A</v>
      </c>
      <c r="V33" s="705" t="s">
        <v>14</v>
      </c>
      <c r="W33" s="706" t="e">
        <f t="shared" si="14"/>
        <v>#N/A</v>
      </c>
      <c r="X33" s="1355"/>
      <c r="Y33" s="3700"/>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0"/>
      <c r="Q34" s="1343" t="str">
        <f t="shared" si="11"/>
        <v>物业管理</v>
      </c>
      <c r="R34" s="701" t="s">
        <v>14</v>
      </c>
      <c r="S34" s="702">
        <f t="shared" si="12"/>
        <v>100</v>
      </c>
      <c r="T34" s="701" t="s">
        <v>14</v>
      </c>
      <c r="U34" s="702">
        <f t="shared" si="13"/>
        <v>100</v>
      </c>
      <c r="V34" s="701" t="s">
        <v>14</v>
      </c>
      <c r="W34" s="702">
        <f t="shared" si="14"/>
        <v>100</v>
      </c>
      <c r="X34" s="703"/>
      <c r="Y34" s="370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0" t="s">
        <v>1696</v>
      </c>
      <c r="Q35" s="1352" t="str">
        <f t="shared" si="11"/>
        <v>市政基础设施</v>
      </c>
      <c r="R35" s="705" t="s">
        <v>14</v>
      </c>
      <c r="S35" s="706">
        <f t="shared" si="12"/>
        <v>100</v>
      </c>
      <c r="T35" s="705" t="s">
        <v>14</v>
      </c>
      <c r="U35" s="706">
        <f t="shared" si="13"/>
        <v>100</v>
      </c>
      <c r="V35" s="705" t="s">
        <v>14</v>
      </c>
      <c r="W35" s="706">
        <f t="shared" si="14"/>
        <v>100</v>
      </c>
      <c r="X35" s="1355"/>
      <c r="Y35" s="3700"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0"/>
      <c r="Q36" s="1352" t="str">
        <f t="shared" si="11"/>
        <v>内部装修</v>
      </c>
      <c r="R36" s="705" t="s">
        <v>14</v>
      </c>
      <c r="S36" s="706">
        <f t="shared" si="12"/>
        <v>100</v>
      </c>
      <c r="T36" s="705" t="s">
        <v>14</v>
      </c>
      <c r="U36" s="706">
        <f t="shared" si="13"/>
        <v>100</v>
      </c>
      <c r="V36" s="705" t="s">
        <v>14</v>
      </c>
      <c r="W36" s="706">
        <f t="shared" si="14"/>
        <v>100</v>
      </c>
      <c r="X36" s="1355"/>
      <c r="Y36" s="3700"/>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0"/>
      <c r="Q37" s="1352" t="str">
        <f t="shared" si="11"/>
        <v>内部装修状况</v>
      </c>
      <c r="R37" s="705" t="s">
        <v>14</v>
      </c>
      <c r="S37" s="706">
        <f t="shared" si="12"/>
        <v>100</v>
      </c>
      <c r="T37" s="705" t="s">
        <v>14</v>
      </c>
      <c r="U37" s="706">
        <f t="shared" si="13"/>
        <v>100</v>
      </c>
      <c r="V37" s="705" t="s">
        <v>14</v>
      </c>
      <c r="W37" s="706">
        <f t="shared" si="14"/>
        <v>100</v>
      </c>
      <c r="X37" s="1355"/>
      <c r="Y37" s="370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0"/>
      <c r="Q38" s="707">
        <f t="shared" si="11"/>
        <v>111</v>
      </c>
      <c r="R38" s="708" t="s">
        <v>14</v>
      </c>
      <c r="S38" s="709">
        <f t="shared" si="12"/>
        <v>100</v>
      </c>
      <c r="T38" s="708" t="s">
        <v>14</v>
      </c>
      <c r="U38" s="709">
        <f t="shared" si="13"/>
        <v>100</v>
      </c>
      <c r="V38" s="708" t="s">
        <v>14</v>
      </c>
      <c r="W38" s="709">
        <f t="shared" si="14"/>
        <v>100</v>
      </c>
      <c r="X38" s="710"/>
      <c r="Y38" s="370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0"/>
      <c r="Q39" s="1352">
        <f t="shared" si="11"/>
        <v>111</v>
      </c>
      <c r="R39" s="705" t="s">
        <v>14</v>
      </c>
      <c r="S39" s="706">
        <f t="shared" si="12"/>
        <v>100</v>
      </c>
      <c r="T39" s="705" t="s">
        <v>14</v>
      </c>
      <c r="U39" s="706">
        <f t="shared" si="13"/>
        <v>100</v>
      </c>
      <c r="V39" s="705" t="s">
        <v>14</v>
      </c>
      <c r="W39" s="706">
        <f t="shared" si="14"/>
        <v>100</v>
      </c>
      <c r="X39" s="1355"/>
      <c r="Y39" s="3700"/>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1"/>
      <c r="Q40" s="1352">
        <f t="shared" si="11"/>
        <v>111</v>
      </c>
      <c r="R40" s="705" t="s">
        <v>14</v>
      </c>
      <c r="S40" s="706">
        <f t="shared" si="12"/>
        <v>100</v>
      </c>
      <c r="T40" s="705" t="s">
        <v>14</v>
      </c>
      <c r="U40" s="706">
        <f t="shared" si="13"/>
        <v>100</v>
      </c>
      <c r="V40" s="705" t="s">
        <v>14</v>
      </c>
      <c r="W40" s="706">
        <f t="shared" si="14"/>
        <v>100</v>
      </c>
      <c r="X40" s="1355"/>
      <c r="Y40" s="3701"/>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693" t="str">
        <f>A41</f>
        <v>成交单价（元/平方米）</v>
      </c>
      <c r="Q41" s="3693"/>
      <c r="R41" s="3694">
        <f>E41</f>
        <v>0</v>
      </c>
      <c r="S41" s="3694"/>
      <c r="T41" s="3694">
        <f>G41</f>
        <v>0</v>
      </c>
      <c r="U41" s="3694"/>
      <c r="V41" s="3694">
        <f>I41</f>
        <v>0</v>
      </c>
      <c r="W41" s="3694"/>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3" t="str">
        <f>A42</f>
        <v>比较价值（元/平方米）</v>
      </c>
      <c r="Q42" s="3693"/>
      <c r="R42" s="3694" t="e">
        <f>IF(F1="售价",ROUND(PRODUCT(R41,AA7:AA40),0),ROUND(PRODUCT(R41,AA7:AA40),1))</f>
        <v>#DIV/0!</v>
      </c>
      <c r="S42" s="3694"/>
      <c r="T42" s="3694" t="e">
        <f>IF(F1="售价",ROUND(PRODUCT(T41,AB7:AB40),0),ROUND(PRODUCT(T41,AB7:AB40),1))</f>
        <v>#DIV/0!</v>
      </c>
      <c r="U42" s="3694"/>
      <c r="V42" s="3694" t="e">
        <f>IF(F1="售价",ROUND(PRODUCT(V41,AC7:AC40),0),ROUND(PRODUCT(V41,AC7:AC40),1))</f>
        <v>#DIV/0!</v>
      </c>
      <c r="W42" s="3694"/>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690" t="str">
        <f>A43</f>
        <v>估价对象XX用房的比较价值（楼面单价，元/平方米）</v>
      </c>
      <c r="Q43" s="3691"/>
      <c r="R43" s="3692" t="e">
        <f>IF(F1="售价",ROUND(IF(D42="简单平均",AVERAGE(R42:V42),R42*F42+T42*H42+V42*J42),0),ROUND(IF(D42="简单平均",AVERAGE(R42:V42),R42*F42+T42*H42+V42*J42),1))</f>
        <v>#DIV/0!</v>
      </c>
      <c r="S43" s="3692"/>
      <c r="T43" s="3692"/>
      <c r="U43" s="3692"/>
      <c r="V43" s="3692"/>
      <c r="W43" s="3692"/>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2025-12</v>
      </c>
      <c r="D52" s="1185">
        <f>EDATE(C52,-1)</f>
        <v>45962</v>
      </c>
      <c r="E52" s="1185">
        <f t="shared" ref="E52:O52" si="16">EDATE(D52,-1)</f>
        <v>45931</v>
      </c>
      <c r="F52" s="1185">
        <f t="shared" si="16"/>
        <v>45901</v>
      </c>
      <c r="G52" s="1185">
        <f t="shared" si="16"/>
        <v>45870</v>
      </c>
      <c r="H52" s="1185">
        <f t="shared" si="16"/>
        <v>45839</v>
      </c>
      <c r="I52" s="1185">
        <f t="shared" si="16"/>
        <v>45809</v>
      </c>
      <c r="J52" s="1185">
        <f t="shared" si="16"/>
        <v>45778</v>
      </c>
      <c r="K52" s="1185">
        <f t="shared" si="16"/>
        <v>45748</v>
      </c>
      <c r="L52" s="1185">
        <f t="shared" si="16"/>
        <v>45717</v>
      </c>
      <c r="M52" s="1185">
        <f t="shared" si="16"/>
        <v>45689</v>
      </c>
      <c r="N52" s="1185">
        <f t="shared" si="16"/>
        <v>45658</v>
      </c>
      <c r="O52" s="1185">
        <f t="shared" si="16"/>
        <v>45627</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3331</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1769</v>
      </c>
      <c r="B4" s="356"/>
      <c r="C4" s="3708" t="s">
        <v>1770</v>
      </c>
      <c r="D4" s="3709"/>
      <c r="E4" s="3710" t="s">
        <v>1771</v>
      </c>
      <c r="F4" s="3711"/>
      <c r="G4" s="3708" t="s">
        <v>1772</v>
      </c>
      <c r="H4" s="3709"/>
      <c r="I4" s="3708" t="s">
        <v>1773</v>
      </c>
      <c r="J4" s="3709"/>
      <c r="K4" s="559" t="s">
        <v>1774</v>
      </c>
      <c r="L4" s="2715"/>
      <c r="M4" s="2716"/>
      <c r="N4" s="2716"/>
      <c r="O4" s="2716"/>
      <c r="P4" s="3712" t="s">
        <v>1775</v>
      </c>
      <c r="Q4" s="3713"/>
      <c r="R4" s="3718" t="s">
        <v>1771</v>
      </c>
      <c r="S4" s="3719"/>
      <c r="T4" s="3718" t="s">
        <v>1772</v>
      </c>
      <c r="U4" s="3719"/>
      <c r="V4" s="3724" t="s">
        <v>1773</v>
      </c>
      <c r="W4" s="3724"/>
      <c r="X4" s="1355"/>
      <c r="Y4" s="3718" t="s">
        <v>1775</v>
      </c>
      <c r="Z4" s="3719"/>
      <c r="AA4" s="3705" t="s">
        <v>1771</v>
      </c>
      <c r="AB4" s="3706" t="s">
        <v>1772</v>
      </c>
      <c r="AC4" s="3705" t="s">
        <v>1773</v>
      </c>
    </row>
    <row r="5" spans="1:29">
      <c r="A5" s="358"/>
      <c r="B5" s="359"/>
      <c r="C5" s="3727" t="s">
        <v>1673</v>
      </c>
      <c r="D5" s="3728"/>
      <c r="E5" s="3734" t="s">
        <v>1674</v>
      </c>
      <c r="F5" s="3735"/>
      <c r="G5" s="3727" t="s">
        <v>1675</v>
      </c>
      <c r="H5" s="3728"/>
      <c r="I5" s="3727" t="s">
        <v>1676</v>
      </c>
      <c r="J5" s="3728"/>
      <c r="K5" s="559"/>
      <c r="L5" s="2715"/>
      <c r="M5" s="2716"/>
      <c r="N5" s="2716"/>
      <c r="O5" s="2716"/>
      <c r="P5" s="3714"/>
      <c r="Q5" s="3715"/>
      <c r="R5" s="3720"/>
      <c r="S5" s="3721"/>
      <c r="T5" s="3720"/>
      <c r="U5" s="3721"/>
      <c r="V5" s="3724"/>
      <c r="W5" s="3724"/>
      <c r="X5" s="1355"/>
      <c r="Y5" s="3720"/>
      <c r="Z5" s="3721"/>
      <c r="AA5" s="3706"/>
      <c r="AB5" s="3706"/>
      <c r="AC5" s="3706"/>
    </row>
    <row r="6" spans="1:29" ht="15" thickBot="1">
      <c r="A6" s="360"/>
      <c r="B6" s="361"/>
      <c r="C6" s="3725" t="s">
        <v>1677</v>
      </c>
      <c r="D6" s="3726"/>
      <c r="E6" s="3732" t="s">
        <v>1677</v>
      </c>
      <c r="F6" s="3733"/>
      <c r="G6" s="3725" t="s">
        <v>1677</v>
      </c>
      <c r="H6" s="3726"/>
      <c r="I6" s="3725" t="s">
        <v>1677</v>
      </c>
      <c r="J6" s="3726"/>
      <c r="K6" s="559" t="s">
        <v>1678</v>
      </c>
      <c r="L6" s="2715"/>
      <c r="M6" s="2716"/>
      <c r="N6" s="2716"/>
      <c r="O6" s="2716"/>
      <c r="P6" s="3716"/>
      <c r="Q6" s="3717"/>
      <c r="R6" s="3720"/>
      <c r="S6" s="3721"/>
      <c r="T6" s="3722"/>
      <c r="U6" s="3723"/>
      <c r="V6" s="3724"/>
      <c r="W6" s="3724"/>
      <c r="X6" s="1355"/>
      <c r="Y6" s="3722"/>
      <c r="Z6" s="3723"/>
      <c r="AA6" s="3707"/>
      <c r="AB6" s="3707"/>
      <c r="AC6" s="3707"/>
    </row>
    <row r="7" spans="1:29" s="108" customFormat="1" ht="15" thickBot="1">
      <c r="A7" s="362" t="s">
        <v>1679</v>
      </c>
      <c r="B7" s="363"/>
      <c r="C7" s="364">
        <f>'数据-取费表'!B2</f>
        <v>46022</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29" t="s">
        <v>1680</v>
      </c>
      <c r="Q7" s="3731"/>
      <c r="R7" s="701" t="s">
        <v>14</v>
      </c>
      <c r="S7" s="702">
        <f t="shared" ref="S7:S14" si="0">F7</f>
        <v>0</v>
      </c>
      <c r="T7" s="701" t="s">
        <v>14</v>
      </c>
      <c r="U7" s="702">
        <f t="shared" ref="U7:U14" si="1">H7</f>
        <v>0</v>
      </c>
      <c r="V7" s="701" t="s">
        <v>14</v>
      </c>
      <c r="W7" s="702">
        <f t="shared" ref="W7:W14" si="2">J7</f>
        <v>0</v>
      </c>
      <c r="X7" s="703"/>
      <c r="Y7" s="3729" t="s">
        <v>1680</v>
      </c>
      <c r="Z7" s="3730"/>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29" t="s">
        <v>1683</v>
      </c>
      <c r="Q8" s="3730"/>
      <c r="R8" s="701" t="s">
        <v>14</v>
      </c>
      <c r="S8" s="702">
        <f t="shared" si="0"/>
        <v>100</v>
      </c>
      <c r="T8" s="701" t="s">
        <v>14</v>
      </c>
      <c r="U8" s="702">
        <f t="shared" si="1"/>
        <v>100</v>
      </c>
      <c r="V8" s="701" t="s">
        <v>14</v>
      </c>
      <c r="W8" s="702">
        <f t="shared" si="2"/>
        <v>100</v>
      </c>
      <c r="X8" s="703"/>
      <c r="Y8" s="3729" t="s">
        <v>1683</v>
      </c>
      <c r="Z8" s="3730"/>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3" t="s">
        <v>1686</v>
      </c>
      <c r="Q9" s="1343" t="str">
        <f t="shared" ref="Q9:Q14" si="6">B9</f>
        <v>用途</v>
      </c>
      <c r="R9" s="701" t="s">
        <v>14</v>
      </c>
      <c r="S9" s="702">
        <f t="shared" si="0"/>
        <v>100</v>
      </c>
      <c r="T9" s="701" t="s">
        <v>14</v>
      </c>
      <c r="U9" s="702">
        <f t="shared" si="1"/>
        <v>100</v>
      </c>
      <c r="V9" s="701" t="s">
        <v>14</v>
      </c>
      <c r="W9" s="702">
        <f t="shared" si="2"/>
        <v>100</v>
      </c>
      <c r="X9" s="703"/>
      <c r="Y9" s="3568"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3"/>
      <c r="Q10" s="1343" t="str">
        <f t="shared" si="6"/>
        <v>土地使用年限（年）</v>
      </c>
      <c r="R10" s="701" t="s">
        <v>14</v>
      </c>
      <c r="S10" s="702">
        <f t="shared" si="0"/>
        <v>100</v>
      </c>
      <c r="T10" s="701" t="s">
        <v>14</v>
      </c>
      <c r="U10" s="702">
        <f t="shared" si="1"/>
        <v>100</v>
      </c>
      <c r="V10" s="701" t="s">
        <v>14</v>
      </c>
      <c r="W10" s="702">
        <f t="shared" si="2"/>
        <v>100</v>
      </c>
      <c r="X10" s="703"/>
      <c r="Y10" s="356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3"/>
      <c r="Q11" s="1343">
        <f t="shared" si="6"/>
        <v>111</v>
      </c>
      <c r="R11" s="701" t="s">
        <v>14</v>
      </c>
      <c r="S11" s="702">
        <f t="shared" si="0"/>
        <v>100</v>
      </c>
      <c r="T11" s="701" t="s">
        <v>14</v>
      </c>
      <c r="U11" s="702">
        <f t="shared" si="1"/>
        <v>100</v>
      </c>
      <c r="V11" s="701" t="s">
        <v>14</v>
      </c>
      <c r="W11" s="702">
        <f t="shared" si="2"/>
        <v>100</v>
      </c>
      <c r="X11" s="703"/>
      <c r="Y11" s="356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3"/>
      <c r="Q12" s="1343">
        <f t="shared" si="6"/>
        <v>111</v>
      </c>
      <c r="R12" s="701" t="s">
        <v>14</v>
      </c>
      <c r="S12" s="702">
        <f t="shared" si="0"/>
        <v>100</v>
      </c>
      <c r="T12" s="701" t="s">
        <v>14</v>
      </c>
      <c r="U12" s="702">
        <f t="shared" si="1"/>
        <v>100</v>
      </c>
      <c r="V12" s="701" t="s">
        <v>14</v>
      </c>
      <c r="W12" s="702">
        <f t="shared" si="2"/>
        <v>100</v>
      </c>
      <c r="X12" s="703"/>
      <c r="Y12" s="3568"/>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3"/>
      <c r="Q13" s="1343">
        <f t="shared" si="6"/>
        <v>111</v>
      </c>
      <c r="R13" s="701" t="s">
        <v>14</v>
      </c>
      <c r="S13" s="702">
        <f t="shared" si="0"/>
        <v>100</v>
      </c>
      <c r="T13" s="701" t="s">
        <v>14</v>
      </c>
      <c r="U13" s="702">
        <f t="shared" si="1"/>
        <v>100</v>
      </c>
      <c r="V13" s="701" t="s">
        <v>14</v>
      </c>
      <c r="W13" s="702">
        <f t="shared" si="2"/>
        <v>100</v>
      </c>
      <c r="X13" s="703"/>
      <c r="Y13" s="3568"/>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5" t="s">
        <v>1691</v>
      </c>
      <c r="Q14" s="1352" t="str">
        <f t="shared" si="6"/>
        <v>交通便捷度</v>
      </c>
      <c r="R14" s="705" t="s">
        <v>14</v>
      </c>
      <c r="S14" s="706">
        <f t="shared" si="0"/>
        <v>100</v>
      </c>
      <c r="T14" s="705" t="s">
        <v>14</v>
      </c>
      <c r="U14" s="706">
        <f t="shared" si="1"/>
        <v>100</v>
      </c>
      <c r="V14" s="705" t="s">
        <v>14</v>
      </c>
      <c r="W14" s="706">
        <f t="shared" si="2"/>
        <v>100</v>
      </c>
      <c r="X14" s="1355"/>
      <c r="Y14" s="3695"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6"/>
      <c r="Q15" s="1352"/>
      <c r="R15" s="705"/>
      <c r="S15" s="706"/>
      <c r="T15" s="705"/>
      <c r="U15" s="706"/>
      <c r="V15" s="705"/>
      <c r="W15" s="706"/>
      <c r="X15" s="1355"/>
      <c r="Y15" s="3696"/>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6"/>
      <c r="Q16" s="1352" t="str">
        <f>B16</f>
        <v>公共配套设施</v>
      </c>
      <c r="R16" s="705" t="s">
        <v>14</v>
      </c>
      <c r="S16" s="706">
        <f>F16</f>
        <v>100</v>
      </c>
      <c r="T16" s="705" t="s">
        <v>14</v>
      </c>
      <c r="U16" s="706">
        <f>H16</f>
        <v>100</v>
      </c>
      <c r="V16" s="705" t="s">
        <v>14</v>
      </c>
      <c r="W16" s="706">
        <f>J16</f>
        <v>100</v>
      </c>
      <c r="X16" s="1355"/>
      <c r="Y16" s="369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6"/>
      <c r="Q17" s="1352"/>
      <c r="R17" s="705"/>
      <c r="S17" s="706"/>
      <c r="T17" s="705"/>
      <c r="U17" s="706"/>
      <c r="V17" s="705"/>
      <c r="W17" s="706"/>
      <c r="X17" s="1355"/>
      <c r="Y17" s="3696"/>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6"/>
      <c r="Q18" s="1352" t="str">
        <f>B18</f>
        <v>基础设施水平</v>
      </c>
      <c r="R18" s="705" t="s">
        <v>14</v>
      </c>
      <c r="S18" s="706">
        <f>F18</f>
        <v>100</v>
      </c>
      <c r="T18" s="705" t="s">
        <v>14</v>
      </c>
      <c r="U18" s="706">
        <f>H18</f>
        <v>100</v>
      </c>
      <c r="V18" s="705" t="s">
        <v>14</v>
      </c>
      <c r="W18" s="706">
        <f>J18</f>
        <v>100</v>
      </c>
      <c r="X18" s="1355"/>
      <c r="Y18" s="369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6"/>
      <c r="Q19" s="1352"/>
      <c r="R19" s="705"/>
      <c r="S19" s="706"/>
      <c r="T19" s="705"/>
      <c r="U19" s="706"/>
      <c r="V19" s="705"/>
      <c r="W19" s="706"/>
      <c r="X19" s="1355"/>
      <c r="Y19" s="3696"/>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6"/>
      <c r="Q20" s="1352" t="str">
        <f>B20</f>
        <v>自然及人文环境</v>
      </c>
      <c r="R20" s="705" t="s">
        <v>14</v>
      </c>
      <c r="S20" s="706">
        <f>F20</f>
        <v>100</v>
      </c>
      <c r="T20" s="705" t="s">
        <v>14</v>
      </c>
      <c r="U20" s="706">
        <f>H20</f>
        <v>100</v>
      </c>
      <c r="V20" s="705" t="s">
        <v>14</v>
      </c>
      <c r="W20" s="706">
        <f>J20</f>
        <v>100</v>
      </c>
      <c r="X20" s="1355"/>
      <c r="Y20" s="369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6"/>
      <c r="Q21" s="1352"/>
      <c r="R21" s="705"/>
      <c r="S21" s="706"/>
      <c r="T21" s="705"/>
      <c r="U21" s="706"/>
      <c r="V21" s="705"/>
      <c r="W21" s="706"/>
      <c r="X21" s="1355"/>
      <c r="Y21" s="3696"/>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6"/>
      <c r="Q22" s="1352" t="str">
        <f>B22</f>
        <v>楼层</v>
      </c>
      <c r="R22" s="705" t="s">
        <v>14</v>
      </c>
      <c r="S22" s="706">
        <f>F22</f>
        <v>100</v>
      </c>
      <c r="T22" s="705" t="s">
        <v>14</v>
      </c>
      <c r="U22" s="706">
        <f>H22</f>
        <v>100</v>
      </c>
      <c r="V22" s="705" t="s">
        <v>14</v>
      </c>
      <c r="W22" s="706">
        <f>J22</f>
        <v>100</v>
      </c>
      <c r="X22" s="1355"/>
      <c r="Y22" s="369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6"/>
      <c r="Q23" s="1352">
        <f>B23</f>
        <v>111</v>
      </c>
      <c r="R23" s="705" t="s">
        <v>14</v>
      </c>
      <c r="S23" s="706">
        <f>F23</f>
        <v>100</v>
      </c>
      <c r="T23" s="705" t="s">
        <v>14</v>
      </c>
      <c r="U23" s="706">
        <f>H23</f>
        <v>100</v>
      </c>
      <c r="V23" s="705" t="s">
        <v>14</v>
      </c>
      <c r="W23" s="706">
        <f>J23</f>
        <v>100</v>
      </c>
      <c r="X23" s="1355"/>
      <c r="Y23" s="369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6"/>
      <c r="Q24" s="1352">
        <f t="shared" ref="Q24:Q36" si="11">B24</f>
        <v>111</v>
      </c>
      <c r="R24" s="705" t="s">
        <v>14</v>
      </c>
      <c r="S24" s="706">
        <f>F24</f>
        <v>100</v>
      </c>
      <c r="T24" s="705" t="s">
        <v>14</v>
      </c>
      <c r="U24" s="706">
        <f>H24</f>
        <v>100</v>
      </c>
      <c r="V24" s="705" t="s">
        <v>14</v>
      </c>
      <c r="W24" s="706">
        <f>J24</f>
        <v>100</v>
      </c>
      <c r="X24" s="1355"/>
      <c r="Y24" s="3696"/>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6"/>
      <c r="Q25" s="1343">
        <f t="shared" si="11"/>
        <v>111</v>
      </c>
      <c r="R25" s="701" t="s">
        <v>14</v>
      </c>
      <c r="S25" s="702">
        <f>F25</f>
        <v>100</v>
      </c>
      <c r="T25" s="701" t="s">
        <v>14</v>
      </c>
      <c r="U25" s="702">
        <f>H25</f>
        <v>100</v>
      </c>
      <c r="V25" s="701" t="s">
        <v>14</v>
      </c>
      <c r="W25" s="702">
        <f>J25</f>
        <v>100</v>
      </c>
      <c r="X25" s="703"/>
      <c r="Y25" s="3696"/>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0"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0"/>
      <c r="Q27" s="707" t="str">
        <f t="shared" si="11"/>
        <v>项目停车位配比</v>
      </c>
      <c r="R27" s="708" t="s">
        <v>14</v>
      </c>
      <c r="S27" s="709">
        <f t="shared" si="12"/>
        <v>100</v>
      </c>
      <c r="T27" s="708" t="s">
        <v>14</v>
      </c>
      <c r="U27" s="709">
        <f t="shared" si="13"/>
        <v>100</v>
      </c>
      <c r="V27" s="708" t="s">
        <v>14</v>
      </c>
      <c r="W27" s="709">
        <f t="shared" si="14"/>
        <v>100</v>
      </c>
      <c r="X27" s="710"/>
      <c r="Y27" s="3700"/>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0"/>
      <c r="Q28" s="1352" t="str">
        <f t="shared" si="11"/>
        <v>公共部分装修</v>
      </c>
      <c r="R28" s="705" t="s">
        <v>14</v>
      </c>
      <c r="S28" s="706">
        <f t="shared" si="12"/>
        <v>100</v>
      </c>
      <c r="T28" s="705" t="s">
        <v>14</v>
      </c>
      <c r="U28" s="706">
        <f t="shared" si="13"/>
        <v>100</v>
      </c>
      <c r="V28" s="705" t="s">
        <v>14</v>
      </c>
      <c r="W28" s="706">
        <f t="shared" si="14"/>
        <v>100</v>
      </c>
      <c r="X28" s="1355"/>
      <c r="Y28" s="3700"/>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0"/>
      <c r="Q29" s="1352" t="str">
        <f t="shared" si="11"/>
        <v>成新率</v>
      </c>
      <c r="R29" s="705" t="s">
        <v>14</v>
      </c>
      <c r="S29" s="706" t="e">
        <f t="shared" si="12"/>
        <v>#N/A</v>
      </c>
      <c r="T29" s="705" t="s">
        <v>14</v>
      </c>
      <c r="U29" s="706" t="e">
        <f t="shared" si="13"/>
        <v>#N/A</v>
      </c>
      <c r="V29" s="705" t="s">
        <v>14</v>
      </c>
      <c r="W29" s="706" t="e">
        <f t="shared" si="14"/>
        <v>#N/A</v>
      </c>
      <c r="X29" s="1355"/>
      <c r="Y29" s="3700"/>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0"/>
      <c r="Q30" s="1352" t="str">
        <f t="shared" si="11"/>
        <v>物业等级</v>
      </c>
      <c r="R30" s="705" t="s">
        <v>14</v>
      </c>
      <c r="S30" s="706">
        <f t="shared" si="12"/>
        <v>100</v>
      </c>
      <c r="T30" s="705" t="s">
        <v>14</v>
      </c>
      <c r="U30" s="706">
        <f t="shared" si="13"/>
        <v>100</v>
      </c>
      <c r="V30" s="705" t="s">
        <v>14</v>
      </c>
      <c r="W30" s="706">
        <f t="shared" si="14"/>
        <v>100</v>
      </c>
      <c r="X30" s="1355"/>
      <c r="Y30" s="3700"/>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0"/>
      <c r="Q31" s="1343" t="str">
        <f t="shared" si="11"/>
        <v>停车位面积</v>
      </c>
      <c r="R31" s="701" t="s">
        <v>14</v>
      </c>
      <c r="S31" s="702" t="e">
        <f t="shared" si="12"/>
        <v>#N/A</v>
      </c>
      <c r="T31" s="701" t="s">
        <v>14</v>
      </c>
      <c r="U31" s="702" t="e">
        <f t="shared" si="13"/>
        <v>#N/A</v>
      </c>
      <c r="V31" s="701" t="s">
        <v>14</v>
      </c>
      <c r="W31" s="702" t="e">
        <f t="shared" si="14"/>
        <v>#N/A</v>
      </c>
      <c r="X31" s="703"/>
      <c r="Y31" s="370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0" t="s">
        <v>1696</v>
      </c>
      <c r="Q32" s="1352" t="str">
        <f t="shared" si="11"/>
        <v>车位类型</v>
      </c>
      <c r="R32" s="705" t="s">
        <v>14</v>
      </c>
      <c r="S32" s="706">
        <f t="shared" si="12"/>
        <v>100</v>
      </c>
      <c r="T32" s="705" t="s">
        <v>14</v>
      </c>
      <c r="U32" s="706">
        <f t="shared" si="13"/>
        <v>100</v>
      </c>
      <c r="V32" s="705" t="s">
        <v>14</v>
      </c>
      <c r="W32" s="706">
        <f t="shared" si="14"/>
        <v>100</v>
      </c>
      <c r="X32" s="1355"/>
      <c r="Y32" s="3700"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0"/>
      <c r="Q33" s="1352" t="str">
        <f t="shared" si="11"/>
        <v>是否直接入户</v>
      </c>
      <c r="R33" s="705" t="s">
        <v>14</v>
      </c>
      <c r="S33" s="706">
        <f t="shared" si="12"/>
        <v>100</v>
      </c>
      <c r="T33" s="705" t="s">
        <v>14</v>
      </c>
      <c r="U33" s="706">
        <f t="shared" si="13"/>
        <v>100</v>
      </c>
      <c r="V33" s="705" t="s">
        <v>14</v>
      </c>
      <c r="W33" s="706">
        <f t="shared" si="14"/>
        <v>100</v>
      </c>
      <c r="X33" s="1355"/>
      <c r="Y33" s="370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0"/>
      <c r="Q34" s="1352">
        <f t="shared" si="11"/>
        <v>111</v>
      </c>
      <c r="R34" s="705" t="s">
        <v>14</v>
      </c>
      <c r="S34" s="706">
        <f t="shared" si="12"/>
        <v>100</v>
      </c>
      <c r="T34" s="705" t="s">
        <v>14</v>
      </c>
      <c r="U34" s="706">
        <f t="shared" si="13"/>
        <v>100</v>
      </c>
      <c r="V34" s="705" t="s">
        <v>14</v>
      </c>
      <c r="W34" s="706">
        <f t="shared" si="14"/>
        <v>100</v>
      </c>
      <c r="X34" s="1355"/>
      <c r="Y34" s="370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0"/>
      <c r="Q35" s="707">
        <f t="shared" si="11"/>
        <v>111</v>
      </c>
      <c r="R35" s="708" t="s">
        <v>14</v>
      </c>
      <c r="S35" s="709">
        <f t="shared" si="12"/>
        <v>100</v>
      </c>
      <c r="T35" s="708" t="s">
        <v>14</v>
      </c>
      <c r="U35" s="709">
        <f t="shared" si="13"/>
        <v>100</v>
      </c>
      <c r="V35" s="708" t="s">
        <v>14</v>
      </c>
      <c r="W35" s="709">
        <f t="shared" si="14"/>
        <v>100</v>
      </c>
      <c r="X35" s="710"/>
      <c r="Y35" s="3700"/>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0"/>
      <c r="Q36" s="1352">
        <f t="shared" si="11"/>
        <v>111</v>
      </c>
      <c r="R36" s="705" t="s">
        <v>14</v>
      </c>
      <c r="S36" s="706">
        <f t="shared" si="12"/>
        <v>100</v>
      </c>
      <c r="T36" s="705" t="s">
        <v>14</v>
      </c>
      <c r="U36" s="706">
        <f t="shared" si="13"/>
        <v>100</v>
      </c>
      <c r="V36" s="705" t="s">
        <v>14</v>
      </c>
      <c r="W36" s="706">
        <f t="shared" si="14"/>
        <v>100</v>
      </c>
      <c r="X36" s="1355"/>
      <c r="Y36" s="3700"/>
      <c r="Z36" s="1356">
        <f t="shared" si="15"/>
        <v>111</v>
      </c>
      <c r="AA36" s="1353">
        <f t="shared" si="3"/>
        <v>1</v>
      </c>
      <c r="AB36" s="1353">
        <f t="shared" si="4"/>
        <v>1</v>
      </c>
      <c r="AC36" s="1353">
        <f t="shared" si="5"/>
        <v>1</v>
      </c>
    </row>
    <row r="37" spans="1:29" ht="14.4">
      <c r="A37" s="430" t="s">
        <v>1844</v>
      </c>
      <c r="B37" s="1973" t="s">
        <v>3352</v>
      </c>
      <c r="C37" s="1154" t="s">
        <v>0</v>
      </c>
      <c r="D37" s="1155"/>
      <c r="E37" s="1156"/>
      <c r="F37" s="1157"/>
      <c r="G37" s="1158"/>
      <c r="H37" s="1159"/>
      <c r="I37" s="1156"/>
      <c r="J37" s="1159"/>
      <c r="K37" s="568"/>
      <c r="L37" s="2724"/>
      <c r="M37" s="2725"/>
      <c r="N37" s="2716"/>
      <c r="O37" s="2725"/>
      <c r="P37" s="3693" t="str">
        <f>A37</f>
        <v>成交单价</v>
      </c>
      <c r="Q37" s="3693"/>
      <c r="R37" s="3694">
        <f>E37</f>
        <v>0</v>
      </c>
      <c r="S37" s="3694"/>
      <c r="T37" s="3694">
        <f>G37</f>
        <v>0</v>
      </c>
      <c r="U37" s="3694"/>
      <c r="V37" s="3694">
        <f>I37</f>
        <v>0</v>
      </c>
      <c r="W37" s="3694"/>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3" t="str">
        <f>A38</f>
        <v>比较价值（元/平方米）</v>
      </c>
      <c r="Q38" s="3693"/>
      <c r="R38" s="3694" t="e">
        <f>IF(F1="售价",ROUND(PRODUCT(R37,AA7:AA36),0),ROUND(PRODUCT(R37,AA7:AA36),1))</f>
        <v>#DIV/0!</v>
      </c>
      <c r="S38" s="3694"/>
      <c r="T38" s="3694" t="e">
        <f>IF(F1="售价",ROUND(PRODUCT(T37,AB7:AB36),0),ROUND(PRODUCT(T37,AB7:AB36),1))</f>
        <v>#DIV/0!</v>
      </c>
      <c r="U38" s="3694"/>
      <c r="V38" s="3694" t="e">
        <f>IF(F1="售价",ROUND(PRODUCT(V37,AC7:AC36),0),ROUND(PRODUCT(V37,AC7:AC36),1))</f>
        <v>#DIV/0!</v>
      </c>
      <c r="W38" s="3694"/>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4"/>
      <c r="M39" s="2725"/>
      <c r="N39" s="2725"/>
      <c r="O39" s="2725"/>
      <c r="P39" s="3690" t="str">
        <f>A39</f>
        <v>估价对象XX用房的比较价值（楼面单价，元/平方米）</v>
      </c>
      <c r="Q39" s="3691"/>
      <c r="R39" s="3752" t="e">
        <f>IF(F1="售价",ROUND(IF(D38="简单平均",AVERAGE(R38:W38),R38*F38+T38*H38+V38*J38),0),ROUND(IF(D38="简单平均",AVERAGE(R38:V38),R38*F38+T38*H38+V38*J38),1))</f>
        <v>#DIV/0!</v>
      </c>
      <c r="S39" s="3752"/>
      <c r="T39" s="3752"/>
      <c r="U39" s="3752"/>
      <c r="V39" s="3752"/>
      <c r="W39" s="3752"/>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1851</v>
      </c>
      <c r="B48" s="455"/>
      <c r="C48" s="1184" t="str">
        <f>YEAR(C7)&amp;"-"&amp;MONTH(C7)</f>
        <v>2025-12</v>
      </c>
      <c r="D48" s="1185">
        <f>EDATE(C48,-1)</f>
        <v>45962</v>
      </c>
      <c r="E48" s="1185">
        <f t="shared" ref="E48:O48" si="16">EDATE(D48,-1)</f>
        <v>45931</v>
      </c>
      <c r="F48" s="1185">
        <f t="shared" si="16"/>
        <v>45901</v>
      </c>
      <c r="G48" s="1185">
        <f t="shared" si="16"/>
        <v>45870</v>
      </c>
      <c r="H48" s="1185">
        <f t="shared" si="16"/>
        <v>45839</v>
      </c>
      <c r="I48" s="1185">
        <f t="shared" si="16"/>
        <v>45809</v>
      </c>
      <c r="J48" s="1185">
        <f t="shared" si="16"/>
        <v>45778</v>
      </c>
      <c r="K48" s="1185">
        <f t="shared" si="16"/>
        <v>45748</v>
      </c>
      <c r="L48" s="1185">
        <f t="shared" si="16"/>
        <v>45717</v>
      </c>
      <c r="M48" s="1185">
        <f t="shared" si="16"/>
        <v>45689</v>
      </c>
      <c r="N48" s="1185">
        <f t="shared" si="16"/>
        <v>45658</v>
      </c>
      <c r="O48" s="1185">
        <f t="shared" si="16"/>
        <v>45627</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3332</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08" t="s">
        <v>1770</v>
      </c>
      <c r="D4" s="3709"/>
      <c r="E4" s="3710" t="s">
        <v>1771</v>
      </c>
      <c r="F4" s="3711"/>
      <c r="G4" s="3708" t="s">
        <v>1772</v>
      </c>
      <c r="H4" s="3709"/>
      <c r="I4" s="3708" t="s">
        <v>1773</v>
      </c>
      <c r="J4" s="3709"/>
      <c r="K4" s="559" t="s">
        <v>1774</v>
      </c>
      <c r="L4" s="2715"/>
      <c r="M4" s="2716"/>
      <c r="N4" s="2716"/>
      <c r="O4" s="2716"/>
      <c r="P4" s="3712" t="s">
        <v>1775</v>
      </c>
      <c r="Q4" s="3713"/>
      <c r="R4" s="3718" t="s">
        <v>1771</v>
      </c>
      <c r="S4" s="3719"/>
      <c r="T4" s="3718" t="s">
        <v>1772</v>
      </c>
      <c r="U4" s="3719"/>
      <c r="V4" s="3724" t="s">
        <v>1773</v>
      </c>
      <c r="W4" s="3724"/>
      <c r="X4" s="1355"/>
      <c r="Y4" s="3718" t="s">
        <v>1775</v>
      </c>
      <c r="Z4" s="3719"/>
      <c r="AA4" s="3705" t="s">
        <v>1771</v>
      </c>
      <c r="AB4" s="3706" t="s">
        <v>1772</v>
      </c>
      <c r="AC4" s="3705" t="s">
        <v>1773</v>
      </c>
    </row>
    <row r="5" spans="1:29">
      <c r="A5" s="358"/>
      <c r="B5" s="359"/>
      <c r="C5" s="3727" t="s">
        <v>1673</v>
      </c>
      <c r="D5" s="3728"/>
      <c r="E5" s="3734" t="s">
        <v>1674</v>
      </c>
      <c r="F5" s="3735"/>
      <c r="G5" s="3727" t="s">
        <v>1675</v>
      </c>
      <c r="H5" s="3728"/>
      <c r="I5" s="3727" t="s">
        <v>1676</v>
      </c>
      <c r="J5" s="3728"/>
      <c r="K5" s="559"/>
      <c r="L5" s="2715"/>
      <c r="M5" s="2716"/>
      <c r="N5" s="2716"/>
      <c r="O5" s="2716"/>
      <c r="P5" s="3714"/>
      <c r="Q5" s="3715"/>
      <c r="R5" s="3720"/>
      <c r="S5" s="3721"/>
      <c r="T5" s="3720"/>
      <c r="U5" s="3721"/>
      <c r="V5" s="3724"/>
      <c r="W5" s="3724"/>
      <c r="X5" s="1355"/>
      <c r="Y5" s="3720"/>
      <c r="Z5" s="3721"/>
      <c r="AA5" s="3706"/>
      <c r="AB5" s="3706"/>
      <c r="AC5" s="3706"/>
    </row>
    <row r="6" spans="1:29" ht="15" thickBot="1">
      <c r="A6" s="360"/>
      <c r="B6" s="361"/>
      <c r="C6" s="3725" t="s">
        <v>1677</v>
      </c>
      <c r="D6" s="3726"/>
      <c r="E6" s="3732" t="s">
        <v>1677</v>
      </c>
      <c r="F6" s="3733"/>
      <c r="G6" s="3725" t="s">
        <v>1677</v>
      </c>
      <c r="H6" s="3726"/>
      <c r="I6" s="3725" t="s">
        <v>1677</v>
      </c>
      <c r="J6" s="3726"/>
      <c r="K6" s="559" t="s">
        <v>1678</v>
      </c>
      <c r="L6" s="2715"/>
      <c r="M6" s="2716"/>
      <c r="N6" s="2716"/>
      <c r="O6" s="2716"/>
      <c r="P6" s="3716"/>
      <c r="Q6" s="3717"/>
      <c r="R6" s="3720"/>
      <c r="S6" s="3721"/>
      <c r="T6" s="3722"/>
      <c r="U6" s="3723"/>
      <c r="V6" s="3724"/>
      <c r="W6" s="3724"/>
      <c r="X6" s="1355"/>
      <c r="Y6" s="3722"/>
      <c r="Z6" s="3723"/>
      <c r="AA6" s="3707"/>
      <c r="AB6" s="3707"/>
      <c r="AC6" s="3707"/>
    </row>
    <row r="7" spans="1:29" s="108" customFormat="1" ht="15" thickBot="1">
      <c r="A7" s="362" t="s">
        <v>1679</v>
      </c>
      <c r="B7" s="363"/>
      <c r="C7" s="364">
        <f>'数据-取费表'!B2</f>
        <v>46022</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29" t="s">
        <v>1680</v>
      </c>
      <c r="Q7" s="3731"/>
      <c r="R7" s="701" t="s">
        <v>14</v>
      </c>
      <c r="S7" s="702">
        <f t="shared" ref="S7:S14" si="0">F7</f>
        <v>0</v>
      </c>
      <c r="T7" s="701" t="s">
        <v>14</v>
      </c>
      <c r="U7" s="702">
        <f t="shared" ref="U7:U14" si="1">H7</f>
        <v>0</v>
      </c>
      <c r="V7" s="701" t="s">
        <v>14</v>
      </c>
      <c r="W7" s="702">
        <f t="shared" ref="W7:W14" si="2">J7</f>
        <v>0</v>
      </c>
      <c r="X7" s="703"/>
      <c r="Y7" s="3729" t="s">
        <v>1680</v>
      </c>
      <c r="Z7" s="3730"/>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29" t="s">
        <v>1683</v>
      </c>
      <c r="Q8" s="3730"/>
      <c r="R8" s="701" t="s">
        <v>14</v>
      </c>
      <c r="S8" s="702">
        <f t="shared" si="0"/>
        <v>100</v>
      </c>
      <c r="T8" s="701" t="s">
        <v>14</v>
      </c>
      <c r="U8" s="702">
        <f t="shared" si="1"/>
        <v>100</v>
      </c>
      <c r="V8" s="701" t="s">
        <v>14</v>
      </c>
      <c r="W8" s="702">
        <f t="shared" si="2"/>
        <v>100</v>
      </c>
      <c r="X8" s="703"/>
      <c r="Y8" s="3729" t="s">
        <v>1683</v>
      </c>
      <c r="Z8" s="3730"/>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3" t="s">
        <v>1686</v>
      </c>
      <c r="Q9" s="1343" t="str">
        <f t="shared" ref="Q9:Q14" si="6">B9</f>
        <v>用途</v>
      </c>
      <c r="R9" s="701" t="s">
        <v>14</v>
      </c>
      <c r="S9" s="702">
        <f t="shared" si="0"/>
        <v>100</v>
      </c>
      <c r="T9" s="701" t="s">
        <v>14</v>
      </c>
      <c r="U9" s="702">
        <f t="shared" si="1"/>
        <v>100</v>
      </c>
      <c r="V9" s="701" t="s">
        <v>14</v>
      </c>
      <c r="W9" s="702">
        <f t="shared" si="2"/>
        <v>100</v>
      </c>
      <c r="X9" s="703"/>
      <c r="Y9" s="3568"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3"/>
      <c r="Q10" s="1343" t="str">
        <f t="shared" si="6"/>
        <v>土地使用年限（年）</v>
      </c>
      <c r="R10" s="701" t="s">
        <v>14</v>
      </c>
      <c r="S10" s="702">
        <f t="shared" si="0"/>
        <v>100</v>
      </c>
      <c r="T10" s="701" t="s">
        <v>14</v>
      </c>
      <c r="U10" s="702">
        <f t="shared" si="1"/>
        <v>100</v>
      </c>
      <c r="V10" s="701" t="s">
        <v>14</v>
      </c>
      <c r="W10" s="702">
        <f t="shared" si="2"/>
        <v>100</v>
      </c>
      <c r="X10" s="703"/>
      <c r="Y10" s="356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3"/>
      <c r="Q11" s="1343">
        <f t="shared" si="6"/>
        <v>111</v>
      </c>
      <c r="R11" s="701" t="s">
        <v>14</v>
      </c>
      <c r="S11" s="702">
        <f t="shared" si="0"/>
        <v>100</v>
      </c>
      <c r="T11" s="701" t="s">
        <v>14</v>
      </c>
      <c r="U11" s="702">
        <f t="shared" si="1"/>
        <v>100</v>
      </c>
      <c r="V11" s="701" t="s">
        <v>14</v>
      </c>
      <c r="W11" s="702">
        <f t="shared" si="2"/>
        <v>100</v>
      </c>
      <c r="X11" s="703"/>
      <c r="Y11" s="356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3"/>
      <c r="Q12" s="1343">
        <f t="shared" si="6"/>
        <v>111</v>
      </c>
      <c r="R12" s="701" t="s">
        <v>14</v>
      </c>
      <c r="S12" s="702">
        <f t="shared" si="0"/>
        <v>100</v>
      </c>
      <c r="T12" s="701" t="s">
        <v>14</v>
      </c>
      <c r="U12" s="702">
        <f t="shared" si="1"/>
        <v>100</v>
      </c>
      <c r="V12" s="701" t="s">
        <v>14</v>
      </c>
      <c r="W12" s="702">
        <f t="shared" si="2"/>
        <v>100</v>
      </c>
      <c r="X12" s="703"/>
      <c r="Y12" s="3568"/>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3"/>
      <c r="Q13" s="1343">
        <f t="shared" si="6"/>
        <v>111</v>
      </c>
      <c r="R13" s="701" t="s">
        <v>14</v>
      </c>
      <c r="S13" s="702">
        <f t="shared" si="0"/>
        <v>100</v>
      </c>
      <c r="T13" s="701" t="s">
        <v>14</v>
      </c>
      <c r="U13" s="702">
        <f t="shared" si="1"/>
        <v>100</v>
      </c>
      <c r="V13" s="701" t="s">
        <v>14</v>
      </c>
      <c r="W13" s="702">
        <f t="shared" si="2"/>
        <v>100</v>
      </c>
      <c r="X13" s="703"/>
      <c r="Y13" s="3568"/>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5" t="s">
        <v>1691</v>
      </c>
      <c r="Q14" s="1352" t="str">
        <f t="shared" si="6"/>
        <v>交通便捷度</v>
      </c>
      <c r="R14" s="705" t="s">
        <v>14</v>
      </c>
      <c r="S14" s="706">
        <f t="shared" si="0"/>
        <v>100</v>
      </c>
      <c r="T14" s="705" t="s">
        <v>14</v>
      </c>
      <c r="U14" s="706">
        <f t="shared" si="1"/>
        <v>100</v>
      </c>
      <c r="V14" s="705" t="s">
        <v>14</v>
      </c>
      <c r="W14" s="706">
        <f t="shared" si="2"/>
        <v>100</v>
      </c>
      <c r="X14" s="1355"/>
      <c r="Y14" s="3695"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6"/>
      <c r="Q15" s="1352"/>
      <c r="R15" s="705"/>
      <c r="S15" s="706"/>
      <c r="T15" s="705"/>
      <c r="U15" s="706"/>
      <c r="V15" s="705"/>
      <c r="W15" s="706"/>
      <c r="X15" s="1355"/>
      <c r="Y15" s="3696"/>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6"/>
      <c r="Q16" s="1352" t="str">
        <f>B16</f>
        <v>公共配套设施</v>
      </c>
      <c r="R16" s="705" t="s">
        <v>14</v>
      </c>
      <c r="S16" s="706">
        <f>F16</f>
        <v>100</v>
      </c>
      <c r="T16" s="705" t="s">
        <v>14</v>
      </c>
      <c r="U16" s="706">
        <f>H16</f>
        <v>100</v>
      </c>
      <c r="V16" s="705" t="s">
        <v>14</v>
      </c>
      <c r="W16" s="706">
        <f>J16</f>
        <v>100</v>
      </c>
      <c r="X16" s="1355"/>
      <c r="Y16" s="369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6"/>
      <c r="Q17" s="1352"/>
      <c r="R17" s="705"/>
      <c r="S17" s="706"/>
      <c r="T17" s="705"/>
      <c r="U17" s="706"/>
      <c r="V17" s="705"/>
      <c r="W17" s="706"/>
      <c r="X17" s="1355"/>
      <c r="Y17" s="3696"/>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6"/>
      <c r="Q18" s="1352" t="str">
        <f>B18</f>
        <v>基础设施水平</v>
      </c>
      <c r="R18" s="705" t="s">
        <v>14</v>
      </c>
      <c r="S18" s="706">
        <f>F18</f>
        <v>100</v>
      </c>
      <c r="T18" s="705" t="s">
        <v>14</v>
      </c>
      <c r="U18" s="706">
        <f>H18</f>
        <v>100</v>
      </c>
      <c r="V18" s="705" t="s">
        <v>14</v>
      </c>
      <c r="W18" s="706">
        <f>J18</f>
        <v>100</v>
      </c>
      <c r="X18" s="1355"/>
      <c r="Y18" s="369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6"/>
      <c r="Q19" s="1352"/>
      <c r="R19" s="705"/>
      <c r="S19" s="706"/>
      <c r="T19" s="705"/>
      <c r="U19" s="706"/>
      <c r="V19" s="705"/>
      <c r="W19" s="706"/>
      <c r="X19" s="1355"/>
      <c r="Y19" s="3696"/>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6"/>
      <c r="Q20" s="1352" t="str">
        <f>B20</f>
        <v>自然及人文环境</v>
      </c>
      <c r="R20" s="705" t="s">
        <v>14</v>
      </c>
      <c r="S20" s="706">
        <f>F20</f>
        <v>100</v>
      </c>
      <c r="T20" s="705" t="s">
        <v>14</v>
      </c>
      <c r="U20" s="706">
        <f>H20</f>
        <v>100</v>
      </c>
      <c r="V20" s="705" t="s">
        <v>14</v>
      </c>
      <c r="W20" s="706">
        <f>J20</f>
        <v>100</v>
      </c>
      <c r="X20" s="1355"/>
      <c r="Y20" s="369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6"/>
      <c r="Q21" s="1352"/>
      <c r="R21" s="705"/>
      <c r="S21" s="706"/>
      <c r="T21" s="705"/>
      <c r="U21" s="706"/>
      <c r="V21" s="705"/>
      <c r="W21" s="706"/>
      <c r="X21" s="1355"/>
      <c r="Y21" s="3696"/>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6"/>
      <c r="Q22" s="1352" t="str">
        <f>B22</f>
        <v>楼层</v>
      </c>
      <c r="R22" s="705" t="s">
        <v>14</v>
      </c>
      <c r="S22" s="706">
        <f>F22</f>
        <v>100</v>
      </c>
      <c r="T22" s="705" t="s">
        <v>14</v>
      </c>
      <c r="U22" s="706">
        <f>H22</f>
        <v>100</v>
      </c>
      <c r="V22" s="705" t="s">
        <v>14</v>
      </c>
      <c r="W22" s="706">
        <f>J22</f>
        <v>100</v>
      </c>
      <c r="X22" s="1355"/>
      <c r="Y22" s="369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6"/>
      <c r="Q23" s="1352">
        <f>B23</f>
        <v>111</v>
      </c>
      <c r="R23" s="705" t="s">
        <v>14</v>
      </c>
      <c r="S23" s="706">
        <f>F23</f>
        <v>100</v>
      </c>
      <c r="T23" s="705" t="s">
        <v>14</v>
      </c>
      <c r="U23" s="706">
        <f>H23</f>
        <v>100</v>
      </c>
      <c r="V23" s="705" t="s">
        <v>14</v>
      </c>
      <c r="W23" s="706">
        <f>J23</f>
        <v>100</v>
      </c>
      <c r="X23" s="1355"/>
      <c r="Y23" s="369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6"/>
      <c r="Q24" s="1352">
        <f t="shared" ref="Q24:Q34" si="11">B24</f>
        <v>111</v>
      </c>
      <c r="R24" s="705" t="s">
        <v>14</v>
      </c>
      <c r="S24" s="706">
        <f>F24</f>
        <v>100</v>
      </c>
      <c r="T24" s="705" t="s">
        <v>14</v>
      </c>
      <c r="U24" s="706">
        <f>H24</f>
        <v>100</v>
      </c>
      <c r="V24" s="705" t="s">
        <v>14</v>
      </c>
      <c r="W24" s="706">
        <f>J24</f>
        <v>100</v>
      </c>
      <c r="X24" s="1355"/>
      <c r="Y24" s="3696"/>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6"/>
      <c r="Q25" s="1343">
        <f t="shared" si="11"/>
        <v>111</v>
      </c>
      <c r="R25" s="701" t="s">
        <v>14</v>
      </c>
      <c r="S25" s="702">
        <f>F25</f>
        <v>100</v>
      </c>
      <c r="T25" s="701" t="s">
        <v>14</v>
      </c>
      <c r="U25" s="702">
        <f>H25</f>
        <v>100</v>
      </c>
      <c r="V25" s="701" t="s">
        <v>14</v>
      </c>
      <c r="W25" s="702">
        <f>J25</f>
        <v>100</v>
      </c>
      <c r="X25" s="703"/>
      <c r="Y25" s="3696"/>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0"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0"/>
      <c r="Q27" s="707" t="str">
        <f t="shared" si="11"/>
        <v>成新率</v>
      </c>
      <c r="R27" s="708" t="s">
        <v>14</v>
      </c>
      <c r="S27" s="709" t="e">
        <f t="shared" si="12"/>
        <v>#N/A</v>
      </c>
      <c r="T27" s="708" t="s">
        <v>14</v>
      </c>
      <c r="U27" s="709" t="e">
        <f t="shared" si="13"/>
        <v>#N/A</v>
      </c>
      <c r="V27" s="708" t="s">
        <v>14</v>
      </c>
      <c r="W27" s="709" t="e">
        <f t="shared" si="14"/>
        <v>#N/A</v>
      </c>
      <c r="X27" s="710"/>
      <c r="Y27" s="3700"/>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0"/>
      <c r="Q28" s="1352" t="str">
        <f t="shared" si="11"/>
        <v>物业等级</v>
      </c>
      <c r="R28" s="705" t="s">
        <v>14</v>
      </c>
      <c r="S28" s="706">
        <f t="shared" si="12"/>
        <v>100</v>
      </c>
      <c r="T28" s="705" t="s">
        <v>14</v>
      </c>
      <c r="U28" s="706">
        <f t="shared" si="13"/>
        <v>100</v>
      </c>
      <c r="V28" s="705" t="s">
        <v>14</v>
      </c>
      <c r="W28" s="706">
        <f t="shared" si="14"/>
        <v>100</v>
      </c>
      <c r="X28" s="1355"/>
      <c r="Y28" s="3700"/>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0"/>
      <c r="Q29" s="1352" t="str">
        <f t="shared" si="11"/>
        <v>有无电梯</v>
      </c>
      <c r="R29" s="705" t="s">
        <v>14</v>
      </c>
      <c r="S29" s="706">
        <f t="shared" si="12"/>
        <v>100</v>
      </c>
      <c r="T29" s="705" t="s">
        <v>14</v>
      </c>
      <c r="U29" s="706">
        <f t="shared" si="13"/>
        <v>100</v>
      </c>
      <c r="V29" s="705" t="s">
        <v>14</v>
      </c>
      <c r="W29" s="706">
        <f t="shared" si="14"/>
        <v>100</v>
      </c>
      <c r="X29" s="1355"/>
      <c r="Y29" s="3700"/>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0"/>
      <c r="Q30" s="1352" t="str">
        <f t="shared" si="11"/>
        <v>建筑面积</v>
      </c>
      <c r="R30" s="705" t="s">
        <v>14</v>
      </c>
      <c r="S30" s="706" t="e">
        <f t="shared" si="12"/>
        <v>#N/A</v>
      </c>
      <c r="T30" s="705" t="s">
        <v>14</v>
      </c>
      <c r="U30" s="706" t="e">
        <f t="shared" si="13"/>
        <v>#N/A</v>
      </c>
      <c r="V30" s="705" t="s">
        <v>14</v>
      </c>
      <c r="W30" s="706" t="e">
        <f t="shared" si="14"/>
        <v>#N/A</v>
      </c>
      <c r="X30" s="1355"/>
      <c r="Y30" s="3700"/>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0"/>
      <c r="Q31" s="1343" t="str">
        <f t="shared" si="11"/>
        <v>是否封闭</v>
      </c>
      <c r="R31" s="701" t="s">
        <v>14</v>
      </c>
      <c r="S31" s="702">
        <f t="shared" si="12"/>
        <v>100</v>
      </c>
      <c r="T31" s="701" t="s">
        <v>14</v>
      </c>
      <c r="U31" s="702">
        <f t="shared" si="13"/>
        <v>100</v>
      </c>
      <c r="V31" s="701" t="s">
        <v>14</v>
      </c>
      <c r="W31" s="702">
        <f t="shared" si="14"/>
        <v>100</v>
      </c>
      <c r="X31" s="703"/>
      <c r="Y31" s="370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0" t="s">
        <v>1696</v>
      </c>
      <c r="Q32" s="1352">
        <f t="shared" si="11"/>
        <v>111</v>
      </c>
      <c r="R32" s="705" t="s">
        <v>14</v>
      </c>
      <c r="S32" s="706">
        <f t="shared" si="12"/>
        <v>100</v>
      </c>
      <c r="T32" s="705" t="s">
        <v>14</v>
      </c>
      <c r="U32" s="706">
        <f t="shared" si="13"/>
        <v>100</v>
      </c>
      <c r="V32" s="705" t="s">
        <v>14</v>
      </c>
      <c r="W32" s="706">
        <f t="shared" si="14"/>
        <v>100</v>
      </c>
      <c r="X32" s="1355"/>
      <c r="Y32" s="3700"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0"/>
      <c r="Q33" s="1352">
        <f t="shared" si="11"/>
        <v>111</v>
      </c>
      <c r="R33" s="705" t="s">
        <v>14</v>
      </c>
      <c r="S33" s="706">
        <f t="shared" si="12"/>
        <v>100</v>
      </c>
      <c r="T33" s="705" t="s">
        <v>14</v>
      </c>
      <c r="U33" s="706">
        <f t="shared" si="13"/>
        <v>100</v>
      </c>
      <c r="V33" s="705" t="s">
        <v>14</v>
      </c>
      <c r="W33" s="706">
        <f t="shared" si="14"/>
        <v>100</v>
      </c>
      <c r="X33" s="1355"/>
      <c r="Y33" s="3700"/>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0"/>
      <c r="Q34" s="1352">
        <f t="shared" si="11"/>
        <v>111</v>
      </c>
      <c r="R34" s="705" t="s">
        <v>14</v>
      </c>
      <c r="S34" s="706">
        <f t="shared" si="12"/>
        <v>100</v>
      </c>
      <c r="T34" s="705" t="s">
        <v>14</v>
      </c>
      <c r="U34" s="706">
        <f t="shared" si="13"/>
        <v>100</v>
      </c>
      <c r="V34" s="705" t="s">
        <v>14</v>
      </c>
      <c r="W34" s="706">
        <f t="shared" si="14"/>
        <v>100</v>
      </c>
      <c r="X34" s="1355"/>
      <c r="Y34" s="3700"/>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4"/>
      <c r="M35" s="2725"/>
      <c r="N35" s="2716"/>
      <c r="O35" s="2725"/>
      <c r="P35" s="3693" t="str">
        <f>A35</f>
        <v>成交单价（元/平方米）</v>
      </c>
      <c r="Q35" s="3693"/>
      <c r="R35" s="3694">
        <f>E35</f>
        <v>0</v>
      </c>
      <c r="S35" s="3694"/>
      <c r="T35" s="3694">
        <f>G35</f>
        <v>0</v>
      </c>
      <c r="U35" s="3694"/>
      <c r="V35" s="3694">
        <f>I35</f>
        <v>0</v>
      </c>
      <c r="W35" s="3694"/>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3" t="str">
        <f>A36</f>
        <v>比较价值（元/平方米）</v>
      </c>
      <c r="Q36" s="3693"/>
      <c r="R36" s="3694" t="e">
        <f>IF(F1="售价",ROUND(PRODUCT(R35,AA7:AA34),0),ROUND(PRODUCT(R35,AA7:AA34),1))</f>
        <v>#DIV/0!</v>
      </c>
      <c r="S36" s="3694"/>
      <c r="T36" s="3694" t="e">
        <f>IF(F1="售价",ROUND(PRODUCT(T35,AB7:AB34),0),ROUND(PRODUCT(T35,AB7:AB34),1))</f>
        <v>#DIV/0!</v>
      </c>
      <c r="U36" s="3694"/>
      <c r="V36" s="3694" t="e">
        <f>IF(F1="售价",ROUND(PRODUCT(V35,AC7:AC34),0),ROUND(PRODUCT(V35,AC7:AC34),1))</f>
        <v>#DIV/0!</v>
      </c>
      <c r="W36" s="3694"/>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4"/>
      <c r="M37" s="2725"/>
      <c r="N37" s="2725"/>
      <c r="O37" s="2725"/>
      <c r="P37" s="3690" t="str">
        <f>A37</f>
        <v>估价对象XX用房的比较价值（楼面单价，元/平方米）</v>
      </c>
      <c r="Q37" s="3691"/>
      <c r="R37" s="3752" t="e">
        <f>IF(F1="售价",ROUND(IF(D36="简单平均",AVERAGE(R36:W36),R36*F36+T36*H36+V36*J36),0),ROUND(IF(D36="简单平均",AVERAGE(R36:V36),R36*F36+T36*H36+V36*J36),1))</f>
        <v>#DIV/0!</v>
      </c>
      <c r="S37" s="3752"/>
      <c r="T37" s="3752"/>
      <c r="U37" s="3752"/>
      <c r="V37" s="3752"/>
      <c r="W37" s="3752"/>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2025-12</v>
      </c>
      <c r="D46" s="1185">
        <f>EDATE(C46,-1)</f>
        <v>45962</v>
      </c>
      <c r="E46" s="1185">
        <f t="shared" ref="E46:O46" si="16">EDATE(D46,-1)</f>
        <v>45931</v>
      </c>
      <c r="F46" s="1185">
        <f t="shared" si="16"/>
        <v>45901</v>
      </c>
      <c r="G46" s="1185">
        <f t="shared" si="16"/>
        <v>45870</v>
      </c>
      <c r="H46" s="1185">
        <f t="shared" si="16"/>
        <v>45839</v>
      </c>
      <c r="I46" s="1185">
        <f t="shared" si="16"/>
        <v>45809</v>
      </c>
      <c r="J46" s="1185">
        <f t="shared" si="16"/>
        <v>45778</v>
      </c>
      <c r="K46" s="1185">
        <f t="shared" si="16"/>
        <v>45748</v>
      </c>
      <c r="L46" s="1185">
        <f t="shared" si="16"/>
        <v>45717</v>
      </c>
      <c r="M46" s="1185">
        <f t="shared" si="16"/>
        <v>45689</v>
      </c>
      <c r="N46" s="1185">
        <f t="shared" si="16"/>
        <v>45658</v>
      </c>
      <c r="O46" s="1185">
        <f t="shared" si="16"/>
        <v>45627</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2" sqref="E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1769</v>
      </c>
      <c r="B4" s="356"/>
      <c r="C4" s="3708" t="s">
        <v>1770</v>
      </c>
      <c r="D4" s="3709"/>
      <c r="E4" s="3710" t="s">
        <v>1771</v>
      </c>
      <c r="F4" s="3711"/>
      <c r="G4" s="3708" t="s">
        <v>1772</v>
      </c>
      <c r="H4" s="3709"/>
      <c r="I4" s="3708" t="s">
        <v>1773</v>
      </c>
      <c r="J4" s="3709"/>
      <c r="K4" s="559" t="s">
        <v>1774</v>
      </c>
      <c r="L4" s="2715"/>
      <c r="M4" s="2716"/>
      <c r="N4" s="2716"/>
      <c r="O4" s="2716"/>
      <c r="P4" s="3712" t="s">
        <v>1775</v>
      </c>
      <c r="Q4" s="3713"/>
      <c r="R4" s="3718" t="s">
        <v>1771</v>
      </c>
      <c r="S4" s="3719"/>
      <c r="T4" s="3718" t="s">
        <v>1772</v>
      </c>
      <c r="U4" s="3719"/>
      <c r="V4" s="3724" t="s">
        <v>1773</v>
      </c>
      <c r="W4" s="3724"/>
      <c r="X4" s="1355"/>
      <c r="Y4" s="3718" t="s">
        <v>1775</v>
      </c>
      <c r="Z4" s="3719"/>
      <c r="AA4" s="3705" t="s">
        <v>1771</v>
      </c>
      <c r="AB4" s="3706" t="s">
        <v>1772</v>
      </c>
      <c r="AC4" s="3705" t="s">
        <v>1773</v>
      </c>
    </row>
    <row r="5" spans="1:30">
      <c r="A5" s="358"/>
      <c r="B5" s="359"/>
      <c r="C5" s="3727" t="s">
        <v>1673</v>
      </c>
      <c r="D5" s="3728"/>
      <c r="E5" s="3734" t="s">
        <v>1674</v>
      </c>
      <c r="F5" s="3735"/>
      <c r="G5" s="3727" t="s">
        <v>1675</v>
      </c>
      <c r="H5" s="3728"/>
      <c r="I5" s="3727" t="s">
        <v>1676</v>
      </c>
      <c r="J5" s="3728"/>
      <c r="K5" s="559"/>
      <c r="L5" s="2715"/>
      <c r="M5" s="2716"/>
      <c r="N5" s="2716"/>
      <c r="O5" s="2716"/>
      <c r="P5" s="3714"/>
      <c r="Q5" s="3715"/>
      <c r="R5" s="3720"/>
      <c r="S5" s="3721"/>
      <c r="T5" s="3720"/>
      <c r="U5" s="3721"/>
      <c r="V5" s="3724"/>
      <c r="W5" s="3724"/>
      <c r="X5" s="1355"/>
      <c r="Y5" s="3720"/>
      <c r="Z5" s="3721"/>
      <c r="AA5" s="3706"/>
      <c r="AB5" s="3706"/>
      <c r="AC5" s="3706"/>
    </row>
    <row r="6" spans="1:30" ht="15" thickBot="1">
      <c r="A6" s="360"/>
      <c r="B6" s="361"/>
      <c r="C6" s="3725" t="s">
        <v>1677</v>
      </c>
      <c r="D6" s="3726"/>
      <c r="E6" s="3732" t="s">
        <v>1677</v>
      </c>
      <c r="F6" s="3733"/>
      <c r="G6" s="3725" t="s">
        <v>1677</v>
      </c>
      <c r="H6" s="3726"/>
      <c r="I6" s="3725" t="s">
        <v>1677</v>
      </c>
      <c r="J6" s="3726"/>
      <c r="K6" s="559" t="s">
        <v>1678</v>
      </c>
      <c r="L6" s="2715"/>
      <c r="M6" s="2716"/>
      <c r="N6" s="2716"/>
      <c r="O6" s="2716"/>
      <c r="P6" s="3716"/>
      <c r="Q6" s="3717"/>
      <c r="R6" s="3720"/>
      <c r="S6" s="3721"/>
      <c r="T6" s="3722"/>
      <c r="U6" s="3723"/>
      <c r="V6" s="3724"/>
      <c r="W6" s="3724"/>
      <c r="X6" s="1355"/>
      <c r="Y6" s="3722"/>
      <c r="Z6" s="3723"/>
      <c r="AA6" s="3707"/>
      <c r="AB6" s="3707"/>
      <c r="AC6" s="3707"/>
    </row>
    <row r="7" spans="1:30" s="108" customFormat="1" ht="15" thickBot="1">
      <c r="A7" s="362" t="s">
        <v>1679</v>
      </c>
      <c r="B7" s="363"/>
      <c r="C7" s="364">
        <f>'数据-取费表'!B2</f>
        <v>46022</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29" t="s">
        <v>1680</v>
      </c>
      <c r="Q7" s="3731"/>
      <c r="R7" s="701" t="s">
        <v>14</v>
      </c>
      <c r="S7" s="702">
        <f t="shared" ref="S7:S15" si="0">F7</f>
        <v>0</v>
      </c>
      <c r="T7" s="701" t="s">
        <v>14</v>
      </c>
      <c r="U7" s="702">
        <f t="shared" ref="U7:U15" si="1">H7</f>
        <v>0</v>
      </c>
      <c r="V7" s="701" t="s">
        <v>14</v>
      </c>
      <c r="W7" s="702">
        <f t="shared" ref="W7:W15" si="2">J7</f>
        <v>0</v>
      </c>
      <c r="X7" s="703"/>
      <c r="Y7" s="3729" t="s">
        <v>1680</v>
      </c>
      <c r="Z7" s="3730"/>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29" t="s">
        <v>1683</v>
      </c>
      <c r="Q8" s="3730"/>
      <c r="R8" s="701" t="s">
        <v>14</v>
      </c>
      <c r="S8" s="702">
        <f t="shared" si="0"/>
        <v>0</v>
      </c>
      <c r="T8" s="701" t="s">
        <v>14</v>
      </c>
      <c r="U8" s="702">
        <f t="shared" si="1"/>
        <v>0</v>
      </c>
      <c r="V8" s="701" t="s">
        <v>14</v>
      </c>
      <c r="W8" s="702">
        <f t="shared" si="2"/>
        <v>0</v>
      </c>
      <c r="X8" s="703"/>
      <c r="Y8" s="3729" t="s">
        <v>1683</v>
      </c>
      <c r="Z8" s="3730"/>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3" t="s">
        <v>1686</v>
      </c>
      <c r="Q9" s="1343" t="str">
        <f t="shared" ref="Q9:Q15" si="6">B9</f>
        <v>用途</v>
      </c>
      <c r="R9" s="701" t="s">
        <v>14</v>
      </c>
      <c r="S9" s="702">
        <f t="shared" si="0"/>
        <v>100</v>
      </c>
      <c r="T9" s="701" t="s">
        <v>14</v>
      </c>
      <c r="U9" s="702">
        <f t="shared" si="1"/>
        <v>100</v>
      </c>
      <c r="V9" s="701" t="s">
        <v>14</v>
      </c>
      <c r="W9" s="702">
        <f t="shared" si="2"/>
        <v>100</v>
      </c>
      <c r="X9" s="703"/>
      <c r="Y9" s="3568"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f>ROUND(100/'数据-取费表'!G16,0)</f>
        <v>111</v>
      </c>
      <c r="G10" s="414"/>
      <c r="H10" s="127">
        <f>ROUND(100/'数据-取费表'!G16,0)</f>
        <v>111</v>
      </c>
      <c r="I10" s="414"/>
      <c r="J10" s="127">
        <f>ROUND(100/'数据-取费表'!G16,0)</f>
        <v>111</v>
      </c>
      <c r="K10" s="620"/>
      <c r="L10" s="2719"/>
      <c r="M10" s="2720"/>
      <c r="N10" s="2720"/>
      <c r="O10" s="2773"/>
      <c r="P10" s="3693"/>
      <c r="Q10" s="1343" t="str">
        <f t="shared" si="6"/>
        <v>土地使用年限（年）</v>
      </c>
      <c r="R10" s="701" t="s">
        <v>14</v>
      </c>
      <c r="S10" s="702">
        <f t="shared" si="0"/>
        <v>111</v>
      </c>
      <c r="T10" s="701" t="s">
        <v>14</v>
      </c>
      <c r="U10" s="702">
        <f t="shared" si="1"/>
        <v>111</v>
      </c>
      <c r="V10" s="701" t="s">
        <v>14</v>
      </c>
      <c r="W10" s="702">
        <f t="shared" si="2"/>
        <v>111</v>
      </c>
      <c r="X10" s="703"/>
      <c r="Y10" s="3568"/>
      <c r="Z10" s="52" t="str">
        <f t="shared" si="7"/>
        <v>土地使用年限（年）</v>
      </c>
      <c r="AA10" s="704">
        <f t="shared" si="3"/>
        <v>0.90090090090090091</v>
      </c>
      <c r="AB10" s="704">
        <f t="shared" si="4"/>
        <v>0.90090090090090091</v>
      </c>
      <c r="AC10" s="704">
        <f t="shared" si="5"/>
        <v>0.90090090090090091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3"/>
      <c r="Q11" s="1343" t="str">
        <f t="shared" si="6"/>
        <v>容积率</v>
      </c>
      <c r="R11" s="701" t="s">
        <v>14</v>
      </c>
      <c r="S11" s="702" t="e">
        <f t="shared" si="0"/>
        <v>#N/A</v>
      </c>
      <c r="T11" s="701" t="s">
        <v>14</v>
      </c>
      <c r="U11" s="702" t="e">
        <f t="shared" si="1"/>
        <v>#N/A</v>
      </c>
      <c r="V11" s="701" t="s">
        <v>14</v>
      </c>
      <c r="W11" s="702" t="e">
        <f t="shared" si="2"/>
        <v>#N/A</v>
      </c>
      <c r="X11" s="703"/>
      <c r="Y11" s="356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3"/>
      <c r="Q12" s="1343" t="str">
        <f t="shared" si="6"/>
        <v>配建</v>
      </c>
      <c r="R12" s="701" t="s">
        <v>14</v>
      </c>
      <c r="S12" s="702">
        <f t="shared" si="0"/>
        <v>100</v>
      </c>
      <c r="T12" s="701" t="s">
        <v>14</v>
      </c>
      <c r="U12" s="702">
        <f t="shared" si="1"/>
        <v>100</v>
      </c>
      <c r="V12" s="701" t="s">
        <v>14</v>
      </c>
      <c r="W12" s="702">
        <f t="shared" si="2"/>
        <v>100</v>
      </c>
      <c r="X12" s="703"/>
      <c r="Y12" s="356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3"/>
      <c r="Q13" s="1343">
        <f t="shared" si="6"/>
        <v>111</v>
      </c>
      <c r="R13" s="701" t="s">
        <v>14</v>
      </c>
      <c r="S13" s="702">
        <f t="shared" si="0"/>
        <v>100</v>
      </c>
      <c r="T13" s="701" t="s">
        <v>14</v>
      </c>
      <c r="U13" s="702">
        <f t="shared" si="1"/>
        <v>100</v>
      </c>
      <c r="V13" s="701" t="s">
        <v>14</v>
      </c>
      <c r="W13" s="702">
        <f t="shared" si="2"/>
        <v>100</v>
      </c>
      <c r="X13" s="703"/>
      <c r="Y13" s="3568"/>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3"/>
      <c r="Q14" s="1343">
        <f t="shared" si="6"/>
        <v>111</v>
      </c>
      <c r="R14" s="701" t="s">
        <v>14</v>
      </c>
      <c r="S14" s="702">
        <f t="shared" si="0"/>
        <v>100</v>
      </c>
      <c r="T14" s="701" t="s">
        <v>14</v>
      </c>
      <c r="U14" s="702">
        <f t="shared" si="1"/>
        <v>100</v>
      </c>
      <c r="V14" s="701" t="s">
        <v>14</v>
      </c>
      <c r="W14" s="702">
        <f t="shared" si="2"/>
        <v>100</v>
      </c>
      <c r="X14" s="703"/>
      <c r="Y14" s="3568"/>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5" t="s">
        <v>1691</v>
      </c>
      <c r="Q15" s="1352" t="str">
        <f t="shared" si="6"/>
        <v>居住社区成熟度</v>
      </c>
      <c r="R15" s="705" t="s">
        <v>14</v>
      </c>
      <c r="S15" s="706">
        <f t="shared" si="0"/>
        <v>100</v>
      </c>
      <c r="T15" s="705" t="s">
        <v>14</v>
      </c>
      <c r="U15" s="706">
        <f t="shared" si="1"/>
        <v>100</v>
      </c>
      <c r="V15" s="705" t="s">
        <v>14</v>
      </c>
      <c r="W15" s="706">
        <f t="shared" si="2"/>
        <v>100</v>
      </c>
      <c r="X15" s="1355"/>
      <c r="Y15" s="3695"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6"/>
      <c r="Q16" s="1352"/>
      <c r="R16" s="705"/>
      <c r="S16" s="706"/>
      <c r="T16" s="705"/>
      <c r="U16" s="706"/>
      <c r="V16" s="705"/>
      <c r="W16" s="706"/>
      <c r="X16" s="1355"/>
      <c r="Y16" s="3696"/>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6"/>
      <c r="Q17" s="1352" t="str">
        <f>B17</f>
        <v>商业繁华度</v>
      </c>
      <c r="R17" s="705" t="s">
        <v>14</v>
      </c>
      <c r="S17" s="706">
        <f>F17</f>
        <v>100</v>
      </c>
      <c r="T17" s="705" t="s">
        <v>14</v>
      </c>
      <c r="U17" s="706">
        <f>H17</f>
        <v>100</v>
      </c>
      <c r="V17" s="705" t="s">
        <v>14</v>
      </c>
      <c r="W17" s="706">
        <f>J17</f>
        <v>100</v>
      </c>
      <c r="X17" s="1355"/>
      <c r="Y17" s="369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6"/>
      <c r="Q18" s="1352"/>
      <c r="R18" s="705"/>
      <c r="S18" s="706"/>
      <c r="T18" s="705"/>
      <c r="U18" s="706"/>
      <c r="V18" s="705"/>
      <c r="W18" s="706"/>
      <c r="X18" s="1355"/>
      <c r="Y18" s="3696"/>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6"/>
      <c r="Q19" s="1352" t="str">
        <f>B19</f>
        <v>办公集聚程度</v>
      </c>
      <c r="R19" s="705" t="s">
        <v>14</v>
      </c>
      <c r="S19" s="706">
        <f>F19</f>
        <v>100</v>
      </c>
      <c r="T19" s="705" t="s">
        <v>14</v>
      </c>
      <c r="U19" s="706">
        <f>H19</f>
        <v>100</v>
      </c>
      <c r="V19" s="705" t="s">
        <v>14</v>
      </c>
      <c r="W19" s="706">
        <f>J19</f>
        <v>100</v>
      </c>
      <c r="X19" s="1355"/>
      <c r="Y19" s="369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6"/>
      <c r="Q20" s="1352"/>
      <c r="R20" s="705"/>
      <c r="S20" s="706"/>
      <c r="T20" s="705"/>
      <c r="U20" s="706"/>
      <c r="V20" s="705"/>
      <c r="W20" s="706"/>
      <c r="X20" s="1355"/>
      <c r="Y20" s="3696"/>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6"/>
      <c r="Q21" s="1352" t="str">
        <f>B21</f>
        <v>交通便捷度</v>
      </c>
      <c r="R21" s="705" t="s">
        <v>14</v>
      </c>
      <c r="S21" s="706">
        <f>F21</f>
        <v>100</v>
      </c>
      <c r="T21" s="705" t="s">
        <v>14</v>
      </c>
      <c r="U21" s="706">
        <f>H21</f>
        <v>100</v>
      </c>
      <c r="V21" s="705" t="s">
        <v>14</v>
      </c>
      <c r="W21" s="706">
        <f>J21</f>
        <v>100</v>
      </c>
      <c r="X21" s="1355"/>
      <c r="Y21" s="369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6"/>
      <c r="Q22" s="1352"/>
      <c r="R22" s="705"/>
      <c r="S22" s="706"/>
      <c r="T22" s="705"/>
      <c r="U22" s="706"/>
      <c r="V22" s="705"/>
      <c r="W22" s="706"/>
      <c r="X22" s="1355"/>
      <c r="Y22" s="3696"/>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6"/>
      <c r="Q23" s="1352" t="str">
        <f t="shared" ref="Q23:Q37" si="8">B23</f>
        <v>区域土地利用方向</v>
      </c>
      <c r="R23" s="705" t="s">
        <v>14</v>
      </c>
      <c r="S23" s="706">
        <f>F23</f>
        <v>100</v>
      </c>
      <c r="T23" s="705" t="s">
        <v>14</v>
      </c>
      <c r="U23" s="706">
        <f>H23</f>
        <v>100</v>
      </c>
      <c r="V23" s="705" t="s">
        <v>14</v>
      </c>
      <c r="W23" s="706">
        <f>J23</f>
        <v>100</v>
      </c>
      <c r="X23" s="1355"/>
      <c r="Y23" s="369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6"/>
      <c r="Q24" s="1352"/>
      <c r="R24" s="705"/>
      <c r="S24" s="706"/>
      <c r="T24" s="705"/>
      <c r="U24" s="706"/>
      <c r="V24" s="705"/>
      <c r="W24" s="706"/>
      <c r="X24" s="1355"/>
      <c r="Y24" s="3696"/>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6"/>
      <c r="Q25" s="1352" t="str">
        <f t="shared" si="8"/>
        <v>自然及人文环境状况</v>
      </c>
      <c r="R25" s="705" t="s">
        <v>14</v>
      </c>
      <c r="S25" s="706">
        <f>F25</f>
        <v>100</v>
      </c>
      <c r="T25" s="705" t="s">
        <v>14</v>
      </c>
      <c r="U25" s="706">
        <f>H25</f>
        <v>100</v>
      </c>
      <c r="V25" s="705" t="s">
        <v>14</v>
      </c>
      <c r="W25" s="706">
        <f>J25</f>
        <v>100</v>
      </c>
      <c r="X25" s="1355"/>
      <c r="Y25" s="369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6"/>
      <c r="Q26" s="1352"/>
      <c r="R26" s="705"/>
      <c r="S26" s="706"/>
      <c r="T26" s="705"/>
      <c r="U26" s="706"/>
      <c r="V26" s="705"/>
      <c r="W26" s="706"/>
      <c r="X26" s="1355"/>
      <c r="Y26" s="3696"/>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6"/>
      <c r="Q27" s="1343" t="str">
        <f t="shared" si="8"/>
        <v>公共配套设施</v>
      </c>
      <c r="R27" s="701" t="s">
        <v>14</v>
      </c>
      <c r="S27" s="702">
        <f>F27</f>
        <v>100</v>
      </c>
      <c r="T27" s="701" t="s">
        <v>14</v>
      </c>
      <c r="U27" s="702">
        <f>H27</f>
        <v>100</v>
      </c>
      <c r="V27" s="701" t="s">
        <v>14</v>
      </c>
      <c r="W27" s="702">
        <f>J27</f>
        <v>100</v>
      </c>
      <c r="X27" s="703"/>
      <c r="Y27" s="369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6"/>
      <c r="Q28" s="1343"/>
      <c r="R28" s="701"/>
      <c r="S28" s="702"/>
      <c r="T28" s="701"/>
      <c r="U28" s="702"/>
      <c r="V28" s="701"/>
      <c r="W28" s="702"/>
      <c r="X28" s="703"/>
      <c r="Y28" s="3696"/>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6"/>
      <c r="Q29" s="1343" t="str">
        <f t="shared" ref="Q29" si="9">B29</f>
        <v>基础设施水平</v>
      </c>
      <c r="R29" s="701" t="s">
        <v>14</v>
      </c>
      <c r="S29" s="702">
        <f>F29</f>
        <v>100</v>
      </c>
      <c r="T29" s="701" t="s">
        <v>14</v>
      </c>
      <c r="U29" s="702">
        <f>H29</f>
        <v>100</v>
      </c>
      <c r="V29" s="701" t="s">
        <v>14</v>
      </c>
      <c r="W29" s="702">
        <f>J29</f>
        <v>100</v>
      </c>
      <c r="X29" s="703"/>
      <c r="Y29" s="369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6"/>
      <c r="Q30" s="1343"/>
      <c r="R30" s="701"/>
      <c r="S30" s="702"/>
      <c r="T30" s="701"/>
      <c r="U30" s="702"/>
      <c r="V30" s="701"/>
      <c r="W30" s="702"/>
      <c r="X30" s="703"/>
      <c r="Y30" s="3696"/>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6"/>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6"/>
      <c r="Q32" s="1352" t="str">
        <f t="shared" si="8"/>
        <v>毗邻道路的类型与等级</v>
      </c>
      <c r="R32" s="705" t="s">
        <v>14</v>
      </c>
      <c r="S32" s="706">
        <f t="shared" si="10"/>
        <v>100</v>
      </c>
      <c r="T32" s="705" t="s">
        <v>14</v>
      </c>
      <c r="U32" s="706">
        <f t="shared" si="11"/>
        <v>100</v>
      </c>
      <c r="V32" s="705" t="s">
        <v>14</v>
      </c>
      <c r="W32" s="706">
        <f t="shared" si="12"/>
        <v>100</v>
      </c>
      <c r="X32" s="1355"/>
      <c r="Y32" s="369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6"/>
      <c r="Q33" s="1352"/>
      <c r="R33" s="705"/>
      <c r="S33" s="706"/>
      <c r="T33" s="705"/>
      <c r="U33" s="706"/>
      <c r="V33" s="705"/>
      <c r="W33" s="706"/>
      <c r="X33" s="1355"/>
      <c r="Y33" s="3696"/>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6"/>
      <c r="Q34" s="1352" t="str">
        <f t="shared" si="8"/>
        <v>土地级别</v>
      </c>
      <c r="R34" s="705" t="s">
        <v>14</v>
      </c>
      <c r="S34" s="706">
        <f t="shared" si="10"/>
        <v>100</v>
      </c>
      <c r="T34" s="705" t="s">
        <v>14</v>
      </c>
      <c r="U34" s="706">
        <f t="shared" si="11"/>
        <v>100</v>
      </c>
      <c r="V34" s="705" t="s">
        <v>14</v>
      </c>
      <c r="W34" s="706">
        <f t="shared" si="12"/>
        <v>100</v>
      </c>
      <c r="X34" s="1355"/>
      <c r="Y34" s="369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6"/>
      <c r="Q35" s="1352">
        <f t="shared" si="8"/>
        <v>111</v>
      </c>
      <c r="R35" s="705" t="s">
        <v>14</v>
      </c>
      <c r="S35" s="706">
        <f t="shared" si="10"/>
        <v>100</v>
      </c>
      <c r="T35" s="705" t="s">
        <v>14</v>
      </c>
      <c r="U35" s="706">
        <f t="shared" si="11"/>
        <v>100</v>
      </c>
      <c r="V35" s="705" t="s">
        <v>14</v>
      </c>
      <c r="W35" s="706">
        <f t="shared" si="12"/>
        <v>100</v>
      </c>
      <c r="X35" s="1355"/>
      <c r="Y35" s="369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1" t="s">
        <v>1696</v>
      </c>
      <c r="Q36" s="1352">
        <f t="shared" si="8"/>
        <v>111</v>
      </c>
      <c r="R36" s="705" t="s">
        <v>14</v>
      </c>
      <c r="S36" s="706">
        <f t="shared" si="10"/>
        <v>100</v>
      </c>
      <c r="T36" s="705" t="s">
        <v>14</v>
      </c>
      <c r="U36" s="706">
        <f t="shared" si="11"/>
        <v>100</v>
      </c>
      <c r="V36" s="705" t="s">
        <v>14</v>
      </c>
      <c r="W36" s="706">
        <f t="shared" si="12"/>
        <v>100</v>
      </c>
      <c r="X36" s="1355"/>
      <c r="Y36" s="3700"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0"/>
      <c r="Q37" s="1352">
        <f t="shared" si="8"/>
        <v>111</v>
      </c>
      <c r="R37" s="708" t="s">
        <v>14</v>
      </c>
      <c r="S37" s="709">
        <f t="shared" si="10"/>
        <v>100</v>
      </c>
      <c r="T37" s="708" t="s">
        <v>14</v>
      </c>
      <c r="U37" s="709">
        <f t="shared" si="11"/>
        <v>100</v>
      </c>
      <c r="V37" s="708" t="s">
        <v>14</v>
      </c>
      <c r="W37" s="709">
        <f t="shared" si="12"/>
        <v>100</v>
      </c>
      <c r="X37" s="710"/>
      <c r="Y37" s="3700"/>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0"/>
      <c r="Q38" s="1352" t="str">
        <f>B38</f>
        <v>宗地面积</v>
      </c>
      <c r="R38" s="705" t="s">
        <v>14</v>
      </c>
      <c r="S38" s="706" t="e">
        <f t="shared" si="10"/>
        <v>#N/A</v>
      </c>
      <c r="T38" s="705" t="s">
        <v>14</v>
      </c>
      <c r="U38" s="706" t="e">
        <f t="shared" si="11"/>
        <v>#N/A</v>
      </c>
      <c r="V38" s="705" t="s">
        <v>14</v>
      </c>
      <c r="W38" s="706" t="e">
        <f t="shared" si="12"/>
        <v>#N/A</v>
      </c>
      <c r="X38" s="1355"/>
      <c r="Y38" s="3700"/>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0"/>
      <c r="Q39" s="1352" t="str">
        <f t="shared" ref="Q39:Q45" si="14">B39</f>
        <v>宗地形状</v>
      </c>
      <c r="R39" s="705" t="s">
        <v>14</v>
      </c>
      <c r="S39" s="706">
        <f t="shared" si="10"/>
        <v>100</v>
      </c>
      <c r="T39" s="705" t="s">
        <v>14</v>
      </c>
      <c r="U39" s="706">
        <f t="shared" si="11"/>
        <v>100</v>
      </c>
      <c r="V39" s="705" t="s">
        <v>14</v>
      </c>
      <c r="W39" s="706">
        <f t="shared" si="12"/>
        <v>100</v>
      </c>
      <c r="X39" s="1355"/>
      <c r="Y39" s="3700"/>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0"/>
      <c r="Q40" s="1352" t="str">
        <f t="shared" si="14"/>
        <v>临街宽度及深度</v>
      </c>
      <c r="R40" s="705" t="s">
        <v>14</v>
      </c>
      <c r="S40" s="706">
        <f t="shared" si="10"/>
        <v>100</v>
      </c>
      <c r="T40" s="705" t="s">
        <v>14</v>
      </c>
      <c r="U40" s="706">
        <f t="shared" si="11"/>
        <v>100</v>
      </c>
      <c r="V40" s="705" t="s">
        <v>14</v>
      </c>
      <c r="W40" s="706">
        <f t="shared" si="12"/>
        <v>100</v>
      </c>
      <c r="X40" s="1355"/>
      <c r="Y40" s="3700"/>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0"/>
      <c r="Q41" s="1352" t="str">
        <f t="shared" si="14"/>
        <v>宗地开发程度</v>
      </c>
      <c r="R41" s="701" t="s">
        <v>14</v>
      </c>
      <c r="S41" s="702">
        <f t="shared" si="10"/>
        <v>100</v>
      </c>
      <c r="T41" s="701" t="s">
        <v>14</v>
      </c>
      <c r="U41" s="702">
        <f t="shared" si="11"/>
        <v>100</v>
      </c>
      <c r="V41" s="701" t="s">
        <v>14</v>
      </c>
      <c r="W41" s="702">
        <f t="shared" si="12"/>
        <v>100</v>
      </c>
      <c r="X41" s="703"/>
      <c r="Y41" s="3700"/>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0" t="s">
        <v>1696</v>
      </c>
      <c r="Q42" s="1352" t="str">
        <f t="shared" si="14"/>
        <v>工程地质条件</v>
      </c>
      <c r="R42" s="705" t="s">
        <v>14</v>
      </c>
      <c r="S42" s="706">
        <f t="shared" si="10"/>
        <v>100</v>
      </c>
      <c r="T42" s="705" t="s">
        <v>14</v>
      </c>
      <c r="U42" s="706">
        <f t="shared" si="11"/>
        <v>100</v>
      </c>
      <c r="V42" s="705" t="s">
        <v>14</v>
      </c>
      <c r="W42" s="706">
        <f t="shared" si="12"/>
        <v>100</v>
      </c>
      <c r="X42" s="1355"/>
      <c r="Y42" s="3700"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0"/>
      <c r="Q43" s="1352">
        <f t="shared" si="14"/>
        <v>111</v>
      </c>
      <c r="R43" s="705" t="s">
        <v>14</v>
      </c>
      <c r="S43" s="706">
        <f t="shared" si="10"/>
        <v>100</v>
      </c>
      <c r="T43" s="705" t="s">
        <v>14</v>
      </c>
      <c r="U43" s="706">
        <f t="shared" si="11"/>
        <v>100</v>
      </c>
      <c r="V43" s="705" t="s">
        <v>14</v>
      </c>
      <c r="W43" s="706">
        <f t="shared" si="12"/>
        <v>100</v>
      </c>
      <c r="X43" s="1355"/>
      <c r="Y43" s="370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0"/>
      <c r="Q44" s="1352">
        <f t="shared" si="14"/>
        <v>111</v>
      </c>
      <c r="R44" s="705" t="s">
        <v>14</v>
      </c>
      <c r="S44" s="706">
        <f t="shared" si="10"/>
        <v>100</v>
      </c>
      <c r="T44" s="705" t="s">
        <v>14</v>
      </c>
      <c r="U44" s="706">
        <f t="shared" si="11"/>
        <v>100</v>
      </c>
      <c r="V44" s="705" t="s">
        <v>14</v>
      </c>
      <c r="W44" s="706">
        <f t="shared" si="12"/>
        <v>100</v>
      </c>
      <c r="X44" s="1355"/>
      <c r="Y44" s="3700"/>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0"/>
      <c r="Q45" s="1352">
        <f t="shared" si="14"/>
        <v>111</v>
      </c>
      <c r="R45" s="708" t="s">
        <v>14</v>
      </c>
      <c r="S45" s="709">
        <f t="shared" si="10"/>
        <v>100</v>
      </c>
      <c r="T45" s="708" t="s">
        <v>14</v>
      </c>
      <c r="U45" s="709">
        <f t="shared" si="11"/>
        <v>100</v>
      </c>
      <c r="V45" s="708" t="s">
        <v>14</v>
      </c>
      <c r="W45" s="709">
        <f t="shared" si="12"/>
        <v>100</v>
      </c>
      <c r="X45" s="710"/>
      <c r="Y45" s="3700"/>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4"/>
      <c r="M46" s="2725"/>
      <c r="N46" s="2716"/>
      <c r="O46" s="2725"/>
      <c r="P46" s="3693" t="str">
        <f>A46</f>
        <v>成交单价</v>
      </c>
      <c r="Q46" s="3693"/>
      <c r="R46" s="3724">
        <f>E46</f>
        <v>0</v>
      </c>
      <c r="S46" s="3724"/>
      <c r="T46" s="3724">
        <f>G46</f>
        <v>0</v>
      </c>
      <c r="U46" s="3724"/>
      <c r="V46" s="3724">
        <f>I46</f>
        <v>0</v>
      </c>
      <c r="W46" s="3724"/>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3" t="str">
        <f>A47</f>
        <v>比较价值（元/平方米）</v>
      </c>
      <c r="Q47" s="3693"/>
      <c r="R47" s="3753" t="e">
        <f>ROUND(PRODUCT(R46,AA7:AA45),0)</f>
        <v>#DIV/0!</v>
      </c>
      <c r="S47" s="3753"/>
      <c r="T47" s="3753" t="e">
        <f>ROUND(PRODUCT(T46,AB7:AB45),0)</f>
        <v>#DIV/0!</v>
      </c>
      <c r="U47" s="3753"/>
      <c r="V47" s="3753" t="e">
        <f>ROUND(PRODUCT(V46,AC7:AC45),0)</f>
        <v>#DIV/0!</v>
      </c>
      <c r="W47" s="3753"/>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4"/>
      <c r="M48" s="2725"/>
      <c r="N48" s="2725"/>
      <c r="O48" s="2725"/>
      <c r="P48" s="3690" t="str">
        <f>A48</f>
        <v>估价对象XX用房的比较价值（楼面单价，元/平方米）</v>
      </c>
      <c r="Q48" s="3691"/>
      <c r="R48" s="3754" t="e">
        <f>ROUND(IF(D47="简单平均",AVERAGE(R47:W47),R47*F47+T47*H47+V47*J47),0)</f>
        <v>#DIV/0!</v>
      </c>
      <c r="S48" s="3754"/>
      <c r="T48" s="3754"/>
      <c r="U48" s="3754"/>
      <c r="V48" s="3754"/>
      <c r="W48" s="3754"/>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08" t="s">
        <v>1887</v>
      </c>
      <c r="H55" s="3755"/>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5672.8</v>
      </c>
      <c r="F56" s="886" t="e">
        <f t="shared" ref="F56:F64" si="15">ROUND(B56*E56/10000,0)</f>
        <v>#DIV/0!</v>
      </c>
      <c r="G56" s="3704"/>
      <c r="H56" s="3693"/>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SUMIF(修正!A59:A70,H57,修正!B59:B70)</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SUMIF(修正!A59:A70,H58,修正!C59:C70)</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SUMIF(修正!A59:A70,H59,修正!D59:D70)</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SUMIF(修正!A59:A70,H60,修正!E59:E70)</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SUMIF(修正!A59:A70,H61,修正!F59:F70)</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SUMIF(修正!A59:A70,H62,修正!G59:G70)</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SUMIF(修正!A59:A70,H63,修正!G59:G70)</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SUMIF(修正!A59:A70,H64,修正!G59:G70)</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1903</v>
      </c>
      <c r="B65" s="644" t="s">
        <v>22</v>
      </c>
      <c r="C65" s="644" t="s">
        <v>23</v>
      </c>
      <c r="D65" s="644" t="s">
        <v>392</v>
      </c>
      <c r="E65" s="644">
        <f>IF(B46="楼面地价",SUM(E56:E64),'数据-汇总表'!D3)</f>
        <v>5672.8</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2025-12-1</v>
      </c>
      <c r="D67" s="692">
        <f>EDATE(C67,-3)</f>
        <v>45901</v>
      </c>
      <c r="E67" s="692">
        <f>EDATE(D67,-3)</f>
        <v>45809</v>
      </c>
      <c r="F67" s="692">
        <f t="shared" ref="F67:O67" si="18">EDATE(E67,-3)</f>
        <v>45717</v>
      </c>
      <c r="G67" s="692">
        <f t="shared" si="18"/>
        <v>45627</v>
      </c>
      <c r="H67" s="692">
        <f t="shared" si="18"/>
        <v>45536</v>
      </c>
      <c r="I67" s="692">
        <f t="shared" si="18"/>
        <v>45444</v>
      </c>
      <c r="J67" s="692">
        <f t="shared" si="18"/>
        <v>45352</v>
      </c>
      <c r="K67" s="692">
        <f t="shared" si="18"/>
        <v>45261</v>
      </c>
      <c r="L67" s="692">
        <f t="shared" si="18"/>
        <v>45170</v>
      </c>
      <c r="M67" s="692">
        <f t="shared" si="18"/>
        <v>45078</v>
      </c>
      <c r="N67" s="692">
        <f t="shared" si="18"/>
        <v>44986</v>
      </c>
      <c r="O67" s="692">
        <f t="shared" si="18"/>
        <v>44896</v>
      </c>
      <c r="P67" s="2725"/>
      <c r="Q67" s="2725"/>
      <c r="R67" s="2725"/>
      <c r="S67" s="2725"/>
      <c r="T67" s="2725"/>
      <c r="U67" s="2725"/>
      <c r="V67" s="2725"/>
      <c r="W67" s="2725"/>
      <c r="X67" s="2725"/>
      <c r="Y67" s="2725"/>
      <c r="Z67" s="2725"/>
      <c r="AA67" s="2725"/>
      <c r="AB67" s="2725"/>
      <c r="AC67" s="2725"/>
    </row>
    <row r="68" spans="1:29" ht="22.2"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1904</v>
      </c>
      <c r="B69" s="1109"/>
      <c r="C69" s="1182" t="str">
        <f>YEAR(C67)&amp;"-"&amp;ROUNDUP(MONTH(C67)/3,0)</f>
        <v>2025-4</v>
      </c>
      <c r="D69" s="1182" t="str">
        <f>YEAR(D67)&amp;"-"&amp;ROUNDUP(MONTH(D67)/3,0)</f>
        <v>2025-3</v>
      </c>
      <c r="E69" s="1182" t="str">
        <f t="shared" ref="E69:O69" si="19">YEAR(E67)&amp;"-"&amp;ROUNDUP(MONTH(E67)/3,0)</f>
        <v>2025-2</v>
      </c>
      <c r="F69" s="1182" t="str">
        <f t="shared" si="19"/>
        <v>2025-1</v>
      </c>
      <c r="G69" s="1182" t="str">
        <f t="shared" si="19"/>
        <v>2024-4</v>
      </c>
      <c r="H69" s="1182" t="str">
        <f t="shared" si="19"/>
        <v>2024-3</v>
      </c>
      <c r="I69" s="1182" t="str">
        <f t="shared" si="19"/>
        <v>2024-2</v>
      </c>
      <c r="J69" s="1182" t="str">
        <f t="shared" si="19"/>
        <v>2024-1</v>
      </c>
      <c r="K69" s="1182" t="str">
        <f t="shared" si="19"/>
        <v>2023-4</v>
      </c>
      <c r="L69" s="1182" t="str">
        <f t="shared" si="19"/>
        <v>2023-3</v>
      </c>
      <c r="M69" s="1182" t="str">
        <f t="shared" si="19"/>
        <v>2023-2</v>
      </c>
      <c r="N69" s="1182" t="str">
        <f t="shared" si="19"/>
        <v>2023-1</v>
      </c>
      <c r="O69" s="1182" t="str">
        <f t="shared" si="19"/>
        <v>2022-4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08" t="s">
        <v>1770</v>
      </c>
      <c r="D4" s="3709"/>
      <c r="E4" s="3710" t="s">
        <v>1771</v>
      </c>
      <c r="F4" s="3711"/>
      <c r="G4" s="3708" t="s">
        <v>1772</v>
      </c>
      <c r="H4" s="3709"/>
      <c r="I4" s="3708" t="s">
        <v>1773</v>
      </c>
      <c r="J4" s="3709"/>
      <c r="K4" s="559" t="s">
        <v>1774</v>
      </c>
      <c r="L4" s="2715"/>
      <c r="M4" s="2716"/>
      <c r="N4" s="2716"/>
      <c r="O4" s="2716"/>
      <c r="P4" s="3712" t="s">
        <v>1775</v>
      </c>
      <c r="Q4" s="3713"/>
      <c r="R4" s="3718" t="s">
        <v>1771</v>
      </c>
      <c r="S4" s="3719"/>
      <c r="T4" s="3718" t="s">
        <v>1772</v>
      </c>
      <c r="U4" s="3719"/>
      <c r="V4" s="3724" t="s">
        <v>1773</v>
      </c>
      <c r="W4" s="3724"/>
      <c r="X4" s="1355"/>
      <c r="Y4" s="3718" t="s">
        <v>1775</v>
      </c>
      <c r="Z4" s="3719"/>
      <c r="AA4" s="3705" t="s">
        <v>1771</v>
      </c>
      <c r="AB4" s="3706" t="s">
        <v>1772</v>
      </c>
      <c r="AC4" s="3705" t="s">
        <v>1773</v>
      </c>
    </row>
    <row r="5" spans="1:29">
      <c r="A5" s="358"/>
      <c r="B5" s="359"/>
      <c r="C5" s="3727" t="s">
        <v>1673</v>
      </c>
      <c r="D5" s="3728"/>
      <c r="E5" s="3734" t="s">
        <v>1674</v>
      </c>
      <c r="F5" s="3735"/>
      <c r="G5" s="3727" t="s">
        <v>1675</v>
      </c>
      <c r="H5" s="3728"/>
      <c r="I5" s="3727" t="s">
        <v>1676</v>
      </c>
      <c r="J5" s="3728"/>
      <c r="K5" s="559"/>
      <c r="L5" s="2715"/>
      <c r="M5" s="2716"/>
      <c r="N5" s="2716"/>
      <c r="O5" s="2716"/>
      <c r="P5" s="3714"/>
      <c r="Q5" s="3715"/>
      <c r="R5" s="3720"/>
      <c r="S5" s="3721"/>
      <c r="T5" s="3720"/>
      <c r="U5" s="3721"/>
      <c r="V5" s="3724"/>
      <c r="W5" s="3724"/>
      <c r="X5" s="1355"/>
      <c r="Y5" s="3720"/>
      <c r="Z5" s="3721"/>
      <c r="AA5" s="3706"/>
      <c r="AB5" s="3706"/>
      <c r="AC5" s="3706"/>
    </row>
    <row r="6" spans="1:29" ht="15" thickBot="1">
      <c r="A6" s="360"/>
      <c r="B6" s="361"/>
      <c r="C6" s="3756" t="s">
        <v>1919</v>
      </c>
      <c r="D6" s="3757"/>
      <c r="E6" s="3758" t="s">
        <v>1919</v>
      </c>
      <c r="F6" s="3759"/>
      <c r="G6" s="3756" t="s">
        <v>1919</v>
      </c>
      <c r="H6" s="3757"/>
      <c r="I6" s="3756" t="s">
        <v>1919</v>
      </c>
      <c r="J6" s="3757"/>
      <c r="K6" s="559" t="s">
        <v>1678</v>
      </c>
      <c r="L6" s="2715"/>
      <c r="M6" s="2716"/>
      <c r="N6" s="2716"/>
      <c r="O6" s="2716"/>
      <c r="P6" s="3716"/>
      <c r="Q6" s="3717"/>
      <c r="R6" s="3720"/>
      <c r="S6" s="3721"/>
      <c r="T6" s="3722"/>
      <c r="U6" s="3723"/>
      <c r="V6" s="3724"/>
      <c r="W6" s="3724"/>
      <c r="X6" s="1355"/>
      <c r="Y6" s="3722"/>
      <c r="Z6" s="3723"/>
      <c r="AA6" s="3707"/>
      <c r="AB6" s="3707"/>
      <c r="AC6" s="3707"/>
    </row>
    <row r="7" spans="1:29" s="108" customFormat="1" ht="15" thickBot="1">
      <c r="A7" s="362" t="s">
        <v>1679</v>
      </c>
      <c r="B7" s="363"/>
      <c r="C7" s="364">
        <f>'数据-取费表'!B2</f>
        <v>46022</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29" t="s">
        <v>1680</v>
      </c>
      <c r="Q7" s="3731"/>
      <c r="R7" s="701" t="s">
        <v>14</v>
      </c>
      <c r="S7" s="702">
        <f t="shared" ref="S7:S15" si="0">F7</f>
        <v>0</v>
      </c>
      <c r="T7" s="701" t="s">
        <v>14</v>
      </c>
      <c r="U7" s="702">
        <f t="shared" ref="U7:U15" si="1">H7</f>
        <v>0</v>
      </c>
      <c r="V7" s="701" t="s">
        <v>14</v>
      </c>
      <c r="W7" s="702">
        <f t="shared" ref="W7:W15" si="2">J7</f>
        <v>0</v>
      </c>
      <c r="X7" s="703"/>
      <c r="Y7" s="3729" t="s">
        <v>1680</v>
      </c>
      <c r="Z7" s="3730"/>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29" t="s">
        <v>1683</v>
      </c>
      <c r="Q8" s="3730"/>
      <c r="R8" s="701" t="s">
        <v>14</v>
      </c>
      <c r="S8" s="702">
        <f t="shared" si="0"/>
        <v>0</v>
      </c>
      <c r="T8" s="701" t="s">
        <v>14</v>
      </c>
      <c r="U8" s="702">
        <f t="shared" si="1"/>
        <v>0</v>
      </c>
      <c r="V8" s="701" t="s">
        <v>14</v>
      </c>
      <c r="W8" s="702">
        <f t="shared" si="2"/>
        <v>0</v>
      </c>
      <c r="X8" s="703"/>
      <c r="Y8" s="3729" t="s">
        <v>1683</v>
      </c>
      <c r="Z8" s="3730"/>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3" t="s">
        <v>1686</v>
      </c>
      <c r="Q9" s="1343" t="str">
        <f t="shared" ref="Q9:Q15" si="6">B9</f>
        <v>用途</v>
      </c>
      <c r="R9" s="701" t="s">
        <v>14</v>
      </c>
      <c r="S9" s="702">
        <f t="shared" si="0"/>
        <v>100</v>
      </c>
      <c r="T9" s="701" t="s">
        <v>14</v>
      </c>
      <c r="U9" s="702">
        <f t="shared" si="1"/>
        <v>100</v>
      </c>
      <c r="V9" s="701" t="s">
        <v>14</v>
      </c>
      <c r="W9" s="702">
        <f t="shared" si="2"/>
        <v>100</v>
      </c>
      <c r="X9" s="703"/>
      <c r="Y9" s="3568"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f>ROUND(100/'数据-取费表'!G16,0)</f>
        <v>111</v>
      </c>
      <c r="G10" s="383"/>
      <c r="H10" s="127">
        <f>ROUND(100/'数据-取费表'!G16,0)</f>
        <v>111</v>
      </c>
      <c r="I10" s="383"/>
      <c r="J10" s="127">
        <f>ROUND(100/'数据-取费表'!G16,0)</f>
        <v>111</v>
      </c>
      <c r="K10" s="620"/>
      <c r="L10" s="2719"/>
      <c r="M10" s="2720"/>
      <c r="N10" s="2720"/>
      <c r="O10" s="2773"/>
      <c r="P10" s="3693"/>
      <c r="Q10" s="1343" t="str">
        <f t="shared" si="6"/>
        <v>土地使用年限（年）</v>
      </c>
      <c r="R10" s="701" t="s">
        <v>14</v>
      </c>
      <c r="S10" s="702">
        <f t="shared" si="0"/>
        <v>111</v>
      </c>
      <c r="T10" s="701" t="s">
        <v>14</v>
      </c>
      <c r="U10" s="702">
        <f t="shared" si="1"/>
        <v>111</v>
      </c>
      <c r="V10" s="701" t="s">
        <v>14</v>
      </c>
      <c r="W10" s="702">
        <f t="shared" si="2"/>
        <v>111</v>
      </c>
      <c r="X10" s="703"/>
      <c r="Y10" s="3568"/>
      <c r="Z10" s="52" t="str">
        <f t="shared" si="7"/>
        <v>土地使用年限（年）</v>
      </c>
      <c r="AA10" s="704">
        <f t="shared" si="3"/>
        <v>0.90090090090090091</v>
      </c>
      <c r="AB10" s="704">
        <f t="shared" si="4"/>
        <v>0.90090090090090091</v>
      </c>
      <c r="AC10" s="704">
        <f t="shared" si="5"/>
        <v>0.90090090090090091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3"/>
      <c r="Q11" s="1343" t="str">
        <f t="shared" si="6"/>
        <v>容积率</v>
      </c>
      <c r="R11" s="701" t="s">
        <v>14</v>
      </c>
      <c r="S11" s="702" t="e">
        <f t="shared" si="0"/>
        <v>#N/A</v>
      </c>
      <c r="T11" s="701" t="s">
        <v>14</v>
      </c>
      <c r="U11" s="702" t="e">
        <f t="shared" si="1"/>
        <v>#N/A</v>
      </c>
      <c r="V11" s="701" t="s">
        <v>14</v>
      </c>
      <c r="W11" s="702" t="e">
        <f t="shared" si="2"/>
        <v>#N/A</v>
      </c>
      <c r="X11" s="703"/>
      <c r="Y11" s="356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3"/>
      <c r="Q12" s="1343">
        <f t="shared" si="6"/>
        <v>111</v>
      </c>
      <c r="R12" s="701" t="s">
        <v>14</v>
      </c>
      <c r="S12" s="702">
        <f t="shared" si="0"/>
        <v>100</v>
      </c>
      <c r="T12" s="701" t="s">
        <v>14</v>
      </c>
      <c r="U12" s="702">
        <f t="shared" si="1"/>
        <v>100</v>
      </c>
      <c r="V12" s="701" t="s">
        <v>14</v>
      </c>
      <c r="W12" s="702">
        <f t="shared" si="2"/>
        <v>100</v>
      </c>
      <c r="X12" s="703"/>
      <c r="Y12" s="356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3"/>
      <c r="Q13" s="1343">
        <f t="shared" si="6"/>
        <v>111</v>
      </c>
      <c r="R13" s="701" t="s">
        <v>14</v>
      </c>
      <c r="S13" s="702">
        <f t="shared" si="0"/>
        <v>100</v>
      </c>
      <c r="T13" s="701" t="s">
        <v>14</v>
      </c>
      <c r="U13" s="702">
        <f t="shared" si="1"/>
        <v>100</v>
      </c>
      <c r="V13" s="701" t="s">
        <v>14</v>
      </c>
      <c r="W13" s="702">
        <f t="shared" si="2"/>
        <v>100</v>
      </c>
      <c r="X13" s="703"/>
      <c r="Y13" s="3568"/>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3"/>
      <c r="Q14" s="1343">
        <f t="shared" si="6"/>
        <v>111</v>
      </c>
      <c r="R14" s="701" t="s">
        <v>14</v>
      </c>
      <c r="S14" s="702">
        <f t="shared" si="0"/>
        <v>100</v>
      </c>
      <c r="T14" s="701" t="s">
        <v>14</v>
      </c>
      <c r="U14" s="702">
        <f t="shared" si="1"/>
        <v>100</v>
      </c>
      <c r="V14" s="701" t="s">
        <v>14</v>
      </c>
      <c r="W14" s="702">
        <f t="shared" si="2"/>
        <v>100</v>
      </c>
      <c r="X14" s="703"/>
      <c r="Y14" s="3568"/>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5" t="s">
        <v>1691</v>
      </c>
      <c r="Q15" s="1352" t="str">
        <f t="shared" si="6"/>
        <v>产业集聚程度</v>
      </c>
      <c r="R15" s="705" t="s">
        <v>14</v>
      </c>
      <c r="S15" s="706">
        <f t="shared" si="0"/>
        <v>100</v>
      </c>
      <c r="T15" s="705" t="s">
        <v>14</v>
      </c>
      <c r="U15" s="706">
        <f t="shared" si="1"/>
        <v>100</v>
      </c>
      <c r="V15" s="705" t="s">
        <v>14</v>
      </c>
      <c r="W15" s="706">
        <f t="shared" si="2"/>
        <v>100</v>
      </c>
      <c r="X15" s="1355"/>
      <c r="Y15" s="3695"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6"/>
      <c r="Q16" s="1352"/>
      <c r="R16" s="705"/>
      <c r="S16" s="706"/>
      <c r="T16" s="705"/>
      <c r="U16" s="706"/>
      <c r="V16" s="705"/>
      <c r="W16" s="706"/>
      <c r="X16" s="1355"/>
      <c r="Y16" s="3696"/>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6"/>
      <c r="Q17" s="1352" t="str">
        <f>B17</f>
        <v>交通便捷度</v>
      </c>
      <c r="R17" s="705" t="s">
        <v>14</v>
      </c>
      <c r="S17" s="706">
        <f>F17</f>
        <v>100</v>
      </c>
      <c r="T17" s="705" t="s">
        <v>14</v>
      </c>
      <c r="U17" s="706">
        <f>H17</f>
        <v>100</v>
      </c>
      <c r="V17" s="705" t="s">
        <v>14</v>
      </c>
      <c r="W17" s="706">
        <f>J17</f>
        <v>100</v>
      </c>
      <c r="X17" s="1355"/>
      <c r="Y17" s="369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6"/>
      <c r="Q18" s="1352"/>
      <c r="R18" s="705"/>
      <c r="S18" s="706"/>
      <c r="T18" s="705"/>
      <c r="U18" s="706"/>
      <c r="V18" s="705"/>
      <c r="W18" s="706"/>
      <c r="X18" s="1355"/>
      <c r="Y18" s="3696"/>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6"/>
      <c r="Q19" s="1352" t="str">
        <f t="shared" ref="Q19:Q33" si="8">B19</f>
        <v>区域土地利用方向</v>
      </c>
      <c r="R19" s="705" t="s">
        <v>14</v>
      </c>
      <c r="S19" s="706">
        <f>F19</f>
        <v>100</v>
      </c>
      <c r="T19" s="705" t="s">
        <v>14</v>
      </c>
      <c r="U19" s="706">
        <f>H19</f>
        <v>100</v>
      </c>
      <c r="V19" s="705" t="s">
        <v>14</v>
      </c>
      <c r="W19" s="706">
        <f>J19</f>
        <v>100</v>
      </c>
      <c r="X19" s="1355"/>
      <c r="Y19" s="369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6"/>
      <c r="Q20" s="1352"/>
      <c r="R20" s="705"/>
      <c r="S20" s="706"/>
      <c r="T20" s="705"/>
      <c r="U20" s="706"/>
      <c r="V20" s="705"/>
      <c r="W20" s="706"/>
      <c r="X20" s="1355"/>
      <c r="Y20" s="3696"/>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6"/>
      <c r="Q21" s="1352" t="str">
        <f t="shared" si="8"/>
        <v>环境状况</v>
      </c>
      <c r="R21" s="705" t="s">
        <v>14</v>
      </c>
      <c r="S21" s="706">
        <f>F21</f>
        <v>100</v>
      </c>
      <c r="T21" s="705" t="s">
        <v>14</v>
      </c>
      <c r="U21" s="706">
        <f>H21</f>
        <v>100</v>
      </c>
      <c r="V21" s="705" t="s">
        <v>14</v>
      </c>
      <c r="W21" s="706">
        <f>J21</f>
        <v>100</v>
      </c>
      <c r="X21" s="1355"/>
      <c r="Y21" s="369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6"/>
      <c r="Q22" s="1352"/>
      <c r="R22" s="705"/>
      <c r="S22" s="706"/>
      <c r="T22" s="705"/>
      <c r="U22" s="706"/>
      <c r="V22" s="705"/>
      <c r="W22" s="706"/>
      <c r="X22" s="1355"/>
      <c r="Y22" s="3696"/>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6"/>
      <c r="Q23" s="1343" t="str">
        <f t="shared" si="8"/>
        <v>公共配套设施</v>
      </c>
      <c r="R23" s="701" t="s">
        <v>14</v>
      </c>
      <c r="S23" s="702">
        <f>F23</f>
        <v>100</v>
      </c>
      <c r="T23" s="701" t="s">
        <v>14</v>
      </c>
      <c r="U23" s="702">
        <f>H23</f>
        <v>100</v>
      </c>
      <c r="V23" s="701" t="s">
        <v>14</v>
      </c>
      <c r="W23" s="702">
        <f>J23</f>
        <v>100</v>
      </c>
      <c r="X23" s="703"/>
      <c r="Y23" s="369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6"/>
      <c r="Q24" s="1343"/>
      <c r="R24" s="701"/>
      <c r="S24" s="702"/>
      <c r="T24" s="701"/>
      <c r="U24" s="702"/>
      <c r="V24" s="701"/>
      <c r="W24" s="702"/>
      <c r="X24" s="703"/>
      <c r="Y24" s="3696"/>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6"/>
      <c r="Q25" s="1343" t="str">
        <f t="shared" ref="Q25" si="9">B25</f>
        <v>基础设施水平</v>
      </c>
      <c r="R25" s="701" t="s">
        <v>14</v>
      </c>
      <c r="S25" s="702">
        <f>F25</f>
        <v>100</v>
      </c>
      <c r="T25" s="701" t="s">
        <v>14</v>
      </c>
      <c r="U25" s="702">
        <f>H25</f>
        <v>100</v>
      </c>
      <c r="V25" s="701" t="s">
        <v>14</v>
      </c>
      <c r="W25" s="702">
        <f>J25</f>
        <v>100</v>
      </c>
      <c r="X25" s="703"/>
      <c r="Y25" s="369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6"/>
      <c r="Q26" s="1343"/>
      <c r="R26" s="701"/>
      <c r="S26" s="702"/>
      <c r="T26" s="701"/>
      <c r="U26" s="702"/>
      <c r="V26" s="701"/>
      <c r="W26" s="702"/>
      <c r="X26" s="703"/>
      <c r="Y26" s="369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6"/>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6"/>
      <c r="Q28" s="1352" t="str">
        <f t="shared" si="8"/>
        <v>毗邻道路的类型与等级</v>
      </c>
      <c r="R28" s="705" t="s">
        <v>14</v>
      </c>
      <c r="S28" s="706">
        <f t="shared" si="10"/>
        <v>100</v>
      </c>
      <c r="T28" s="705" t="s">
        <v>14</v>
      </c>
      <c r="U28" s="706">
        <f t="shared" si="11"/>
        <v>100</v>
      </c>
      <c r="V28" s="705" t="s">
        <v>14</v>
      </c>
      <c r="W28" s="706">
        <f t="shared" si="12"/>
        <v>100</v>
      </c>
      <c r="X28" s="1355"/>
      <c r="Y28" s="369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6"/>
      <c r="Q29" s="1352"/>
      <c r="R29" s="705"/>
      <c r="S29" s="706"/>
      <c r="T29" s="705"/>
      <c r="U29" s="706"/>
      <c r="V29" s="705"/>
      <c r="W29" s="706"/>
      <c r="X29" s="1355"/>
      <c r="Y29" s="3696"/>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6"/>
      <c r="Q30" s="1352" t="str">
        <f t="shared" si="8"/>
        <v>土地级别</v>
      </c>
      <c r="R30" s="705" t="s">
        <v>14</v>
      </c>
      <c r="S30" s="706">
        <f t="shared" si="10"/>
        <v>100</v>
      </c>
      <c r="T30" s="705" t="s">
        <v>14</v>
      </c>
      <c r="U30" s="706">
        <f t="shared" si="11"/>
        <v>100</v>
      </c>
      <c r="V30" s="705" t="s">
        <v>14</v>
      </c>
      <c r="W30" s="706">
        <f t="shared" si="12"/>
        <v>100</v>
      </c>
      <c r="X30" s="1355"/>
      <c r="Y30" s="369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6"/>
      <c r="Q31" s="1352">
        <f t="shared" si="8"/>
        <v>111</v>
      </c>
      <c r="R31" s="705" t="s">
        <v>14</v>
      </c>
      <c r="S31" s="706">
        <f t="shared" si="10"/>
        <v>100</v>
      </c>
      <c r="T31" s="705" t="s">
        <v>14</v>
      </c>
      <c r="U31" s="706">
        <f t="shared" si="11"/>
        <v>100</v>
      </c>
      <c r="V31" s="705" t="s">
        <v>14</v>
      </c>
      <c r="W31" s="706">
        <f t="shared" si="12"/>
        <v>100</v>
      </c>
      <c r="X31" s="1355"/>
      <c r="Y31" s="369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1" t="s">
        <v>1696</v>
      </c>
      <c r="Q32" s="1352">
        <f t="shared" si="8"/>
        <v>111</v>
      </c>
      <c r="R32" s="705" t="s">
        <v>14</v>
      </c>
      <c r="S32" s="706">
        <f t="shared" si="10"/>
        <v>100</v>
      </c>
      <c r="T32" s="705" t="s">
        <v>14</v>
      </c>
      <c r="U32" s="706">
        <f t="shared" si="11"/>
        <v>100</v>
      </c>
      <c r="V32" s="705" t="s">
        <v>14</v>
      </c>
      <c r="W32" s="706">
        <f t="shared" si="12"/>
        <v>100</v>
      </c>
      <c r="X32" s="1355"/>
      <c r="Y32" s="3700"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0"/>
      <c r="Q33" s="1352">
        <f t="shared" si="8"/>
        <v>111</v>
      </c>
      <c r="R33" s="708" t="s">
        <v>14</v>
      </c>
      <c r="S33" s="709">
        <f t="shared" si="10"/>
        <v>100</v>
      </c>
      <c r="T33" s="708" t="s">
        <v>14</v>
      </c>
      <c r="U33" s="709">
        <f t="shared" si="11"/>
        <v>100</v>
      </c>
      <c r="V33" s="708" t="s">
        <v>14</v>
      </c>
      <c r="W33" s="709">
        <f t="shared" si="12"/>
        <v>100</v>
      </c>
      <c r="X33" s="710"/>
      <c r="Y33" s="3700"/>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0"/>
      <c r="Q34" s="1352" t="str">
        <f>B34</f>
        <v>宗地面积</v>
      </c>
      <c r="R34" s="705" t="s">
        <v>14</v>
      </c>
      <c r="S34" s="706" t="e">
        <f t="shared" si="10"/>
        <v>#N/A</v>
      </c>
      <c r="T34" s="705" t="s">
        <v>14</v>
      </c>
      <c r="U34" s="706" t="e">
        <f t="shared" si="11"/>
        <v>#N/A</v>
      </c>
      <c r="V34" s="705" t="s">
        <v>14</v>
      </c>
      <c r="W34" s="706" t="e">
        <f t="shared" si="12"/>
        <v>#N/A</v>
      </c>
      <c r="X34" s="1355"/>
      <c r="Y34" s="3700"/>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0"/>
      <c r="Q35" s="1352" t="str">
        <f t="shared" ref="Q35:Q40" si="14">B35</f>
        <v>宗地形状</v>
      </c>
      <c r="R35" s="705" t="s">
        <v>14</v>
      </c>
      <c r="S35" s="706">
        <f t="shared" si="10"/>
        <v>100</v>
      </c>
      <c r="T35" s="705" t="s">
        <v>14</v>
      </c>
      <c r="U35" s="706">
        <f t="shared" si="11"/>
        <v>100</v>
      </c>
      <c r="V35" s="705" t="s">
        <v>14</v>
      </c>
      <c r="W35" s="706">
        <f t="shared" si="12"/>
        <v>100</v>
      </c>
      <c r="X35" s="1355"/>
      <c r="Y35" s="3700"/>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0"/>
      <c r="Q36" s="1352" t="str">
        <f t="shared" si="14"/>
        <v>宗地开发程度</v>
      </c>
      <c r="R36" s="701" t="s">
        <v>14</v>
      </c>
      <c r="S36" s="702">
        <f t="shared" si="10"/>
        <v>100</v>
      </c>
      <c r="T36" s="701" t="s">
        <v>14</v>
      </c>
      <c r="U36" s="702">
        <f t="shared" si="11"/>
        <v>100</v>
      </c>
      <c r="V36" s="701" t="s">
        <v>14</v>
      </c>
      <c r="W36" s="702">
        <f t="shared" si="12"/>
        <v>100</v>
      </c>
      <c r="X36" s="703"/>
      <c r="Y36" s="3700"/>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0" t="s">
        <v>1696</v>
      </c>
      <c r="Q37" s="1352" t="str">
        <f t="shared" si="14"/>
        <v>工程地质条件</v>
      </c>
      <c r="R37" s="705" t="s">
        <v>14</v>
      </c>
      <c r="S37" s="706">
        <f t="shared" si="10"/>
        <v>100</v>
      </c>
      <c r="T37" s="705" t="s">
        <v>14</v>
      </c>
      <c r="U37" s="706">
        <f t="shared" si="11"/>
        <v>100</v>
      </c>
      <c r="V37" s="705" t="s">
        <v>14</v>
      </c>
      <c r="W37" s="706">
        <f t="shared" si="12"/>
        <v>100</v>
      </c>
      <c r="X37" s="1355"/>
      <c r="Y37" s="3700"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0"/>
      <c r="Q38" s="1352">
        <f t="shared" si="14"/>
        <v>111</v>
      </c>
      <c r="R38" s="705" t="s">
        <v>14</v>
      </c>
      <c r="S38" s="706">
        <f t="shared" si="10"/>
        <v>100</v>
      </c>
      <c r="T38" s="705" t="s">
        <v>14</v>
      </c>
      <c r="U38" s="706">
        <f t="shared" si="11"/>
        <v>100</v>
      </c>
      <c r="V38" s="705" t="s">
        <v>14</v>
      </c>
      <c r="W38" s="706">
        <f t="shared" si="12"/>
        <v>100</v>
      </c>
      <c r="X38" s="1355"/>
      <c r="Y38" s="370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0"/>
      <c r="Q39" s="1352">
        <f t="shared" si="14"/>
        <v>111</v>
      </c>
      <c r="R39" s="705" t="s">
        <v>14</v>
      </c>
      <c r="S39" s="706">
        <f t="shared" si="10"/>
        <v>100</v>
      </c>
      <c r="T39" s="705" t="s">
        <v>14</v>
      </c>
      <c r="U39" s="706">
        <f t="shared" si="11"/>
        <v>100</v>
      </c>
      <c r="V39" s="705" t="s">
        <v>14</v>
      </c>
      <c r="W39" s="706">
        <f t="shared" si="12"/>
        <v>100</v>
      </c>
      <c r="X39" s="1355"/>
      <c r="Y39" s="3700"/>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0"/>
      <c r="Q40" s="1352">
        <f t="shared" si="14"/>
        <v>111</v>
      </c>
      <c r="R40" s="708" t="s">
        <v>14</v>
      </c>
      <c r="S40" s="709">
        <f t="shared" si="10"/>
        <v>100</v>
      </c>
      <c r="T40" s="708" t="s">
        <v>14</v>
      </c>
      <c r="U40" s="709">
        <f t="shared" si="11"/>
        <v>100</v>
      </c>
      <c r="V40" s="708" t="s">
        <v>14</v>
      </c>
      <c r="W40" s="709">
        <f t="shared" si="12"/>
        <v>100</v>
      </c>
      <c r="X40" s="710"/>
      <c r="Y40" s="3700"/>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4"/>
      <c r="M41" s="2716"/>
      <c r="N41" s="2716"/>
      <c r="O41" s="2725"/>
      <c r="P41" s="3693" t="str">
        <f>A41</f>
        <v>成交单价</v>
      </c>
      <c r="Q41" s="3693"/>
      <c r="R41" s="3724">
        <f>E41</f>
        <v>0</v>
      </c>
      <c r="S41" s="3724"/>
      <c r="T41" s="3724">
        <f>G41</f>
        <v>0</v>
      </c>
      <c r="U41" s="3724"/>
      <c r="V41" s="3724">
        <f>I41</f>
        <v>0</v>
      </c>
      <c r="W41" s="3724"/>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3" t="str">
        <f>A42</f>
        <v>比较价值（元/平方米）</v>
      </c>
      <c r="Q42" s="3693"/>
      <c r="R42" s="3753" t="e">
        <f>ROUND(PRODUCT(R41,AA7:AA40),0)</f>
        <v>#DIV/0!</v>
      </c>
      <c r="S42" s="3753"/>
      <c r="T42" s="3753" t="e">
        <f>ROUND(PRODUCT(T41,AB7:AB40),0)</f>
        <v>#DIV/0!</v>
      </c>
      <c r="U42" s="3753"/>
      <c r="V42" s="3753" t="e">
        <f>ROUND(PRODUCT(V41,AC7:AC40),0)</f>
        <v>#DIV/0!</v>
      </c>
      <c r="W42" s="3753"/>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4"/>
      <c r="M43" s="2716"/>
      <c r="N43" s="2716"/>
      <c r="O43" s="2725"/>
      <c r="P43" s="3690" t="str">
        <f>A43</f>
        <v>估价对象XX用房的比较价值（楼面单价，元/平方米）</v>
      </c>
      <c r="Q43" s="3691"/>
      <c r="R43" s="3754" t="e">
        <f>ROUND(IF(D42="简单平均",AVERAGE(R42:W42),R42*F42+T42*H42+V42*J42),0)</f>
        <v>#DIV/0!</v>
      </c>
      <c r="S43" s="3754"/>
      <c r="T43" s="3754"/>
      <c r="U43" s="3754"/>
      <c r="V43" s="3754"/>
      <c r="W43" s="3754"/>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1881</v>
      </c>
      <c r="B50" s="633" t="s">
        <v>1882</v>
      </c>
      <c r="C50" s="1983" t="s">
        <v>1883</v>
      </c>
      <c r="D50" s="1984" t="s">
        <v>1884</v>
      </c>
      <c r="E50" s="634" t="s">
        <v>1885</v>
      </c>
      <c r="F50" s="635" t="s">
        <v>1886</v>
      </c>
      <c r="G50" s="3708" t="s">
        <v>1887</v>
      </c>
      <c r="H50" s="3755"/>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5672.8</v>
      </c>
      <c r="F51" s="639" t="e">
        <f t="shared" ref="F51:F60" si="15">ROUND(B51*E51/10000,0)</f>
        <v>#DIV/0!</v>
      </c>
      <c r="G51" s="3704"/>
      <c r="H51" s="3693"/>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SUMIF(修正!A59:A70,H52,修正!B59:B70)</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SUMIF(修正!A59:A70,H53,修正!C59:C70)</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SUMIF(修正!A59:A70,H54,修正!D59:D70)</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SUMIF(修正!A59:A70,H56,修正!E59:E70)</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SUMIF(修正!A59:A70,H57,修正!F59:F70)</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SUMIF(修正!A59:A70,H58,修正!G59:G70)</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SUMIF(修正!A59:A70,H59,修正!G59:G70)</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SUMIF(修正!A59:A70,H60,修正!G59:G70)</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1903</v>
      </c>
      <c r="B61" s="644" t="s">
        <v>22</v>
      </c>
      <c r="C61" s="644" t="s">
        <v>23</v>
      </c>
      <c r="D61" s="644" t="s">
        <v>392</v>
      </c>
      <c r="E61" s="644">
        <f>IF(B41="楼面地价",SUM(E51:E60),'数据-汇总表'!D3)</f>
        <v>9300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2025-12-1</v>
      </c>
      <c r="D63" s="692">
        <f>EDATE(C63,-3)</f>
        <v>45901</v>
      </c>
      <c r="E63" s="692">
        <f>EDATE(D63,-3)</f>
        <v>45809</v>
      </c>
      <c r="F63" s="692">
        <f t="shared" ref="F63:O63" si="18">EDATE(E63,-3)</f>
        <v>45717</v>
      </c>
      <c r="G63" s="692">
        <f t="shared" si="18"/>
        <v>45627</v>
      </c>
      <c r="H63" s="692">
        <f t="shared" si="18"/>
        <v>45536</v>
      </c>
      <c r="I63" s="692">
        <f t="shared" si="18"/>
        <v>45444</v>
      </c>
      <c r="J63" s="692">
        <f t="shared" si="18"/>
        <v>45352</v>
      </c>
      <c r="K63" s="692">
        <f t="shared" si="18"/>
        <v>45261</v>
      </c>
      <c r="L63" s="692">
        <f t="shared" si="18"/>
        <v>45170</v>
      </c>
      <c r="M63" s="692">
        <f t="shared" si="18"/>
        <v>45078</v>
      </c>
      <c r="N63" s="692">
        <f t="shared" si="18"/>
        <v>44986</v>
      </c>
      <c r="O63" s="692">
        <f t="shared" si="18"/>
        <v>44896</v>
      </c>
      <c r="P63" s="2725"/>
      <c r="Q63" s="2725"/>
      <c r="R63" s="2725"/>
      <c r="S63" s="2725"/>
      <c r="T63" s="2725"/>
      <c r="U63" s="2725"/>
      <c r="V63" s="2725"/>
      <c r="W63" s="2725"/>
      <c r="X63" s="2725"/>
      <c r="Y63" s="2725"/>
      <c r="Z63" s="2725"/>
      <c r="AA63" s="2725"/>
      <c r="AB63" s="2725"/>
      <c r="AC63" s="2725"/>
      <c r="AD63" s="2725"/>
      <c r="AE63" s="2725"/>
    </row>
    <row r="64" spans="1:31" ht="22.2"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1904</v>
      </c>
      <c r="B65" s="1109"/>
      <c r="C65" s="1182" t="str">
        <f>YEAR(C63)&amp;"-"&amp;ROUNDUP(MONTH(C63)/3,0)</f>
        <v>2025-4</v>
      </c>
      <c r="D65" s="1182" t="str">
        <f t="shared" ref="D65:O65" si="19">YEAR(D63)&amp;"-"&amp;ROUNDUP(MONTH(D63)/3,0)</f>
        <v>2025-3</v>
      </c>
      <c r="E65" s="1182" t="str">
        <f t="shared" si="19"/>
        <v>2025-2</v>
      </c>
      <c r="F65" s="1182" t="str">
        <f t="shared" si="19"/>
        <v>2025-1</v>
      </c>
      <c r="G65" s="1182" t="str">
        <f t="shared" si="19"/>
        <v>2024-4</v>
      </c>
      <c r="H65" s="1182" t="str">
        <f t="shared" si="19"/>
        <v>2024-3</v>
      </c>
      <c r="I65" s="1182" t="str">
        <f t="shared" si="19"/>
        <v>2024-2</v>
      </c>
      <c r="J65" s="1182" t="str">
        <f t="shared" si="19"/>
        <v>2024-1</v>
      </c>
      <c r="K65" s="1182" t="str">
        <f t="shared" si="19"/>
        <v>2023-4</v>
      </c>
      <c r="L65" s="1182" t="str">
        <f t="shared" si="19"/>
        <v>2023-3</v>
      </c>
      <c r="M65" s="1182" t="str">
        <f t="shared" si="19"/>
        <v>2023-2</v>
      </c>
      <c r="N65" s="1182" t="str">
        <f t="shared" si="19"/>
        <v>2023-1</v>
      </c>
      <c r="O65" s="1182" t="str">
        <f t="shared" si="19"/>
        <v>2022-4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3" t="s">
        <v>2084</v>
      </c>
      <c r="D1" s="3764"/>
      <c r="E1" s="3764"/>
      <c r="F1" s="3764"/>
      <c r="G1" s="3764"/>
      <c r="H1" s="3764"/>
      <c r="I1" s="3764"/>
      <c r="J1" s="3764"/>
      <c r="K1" s="3764"/>
      <c r="L1" s="3764"/>
      <c r="M1" s="3764"/>
      <c r="N1" s="3764"/>
      <c r="O1" s="3764"/>
      <c r="P1" s="3764"/>
      <c r="Q1" s="3764"/>
      <c r="R1" s="3764"/>
      <c r="S1" s="376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0" t="s">
        <v>27</v>
      </c>
      <c r="D22" s="3761"/>
      <c r="E22" s="3761"/>
      <c r="F22" s="3761"/>
      <c r="G22" s="3761"/>
      <c r="H22" s="3761"/>
      <c r="I22" s="3761"/>
      <c r="J22" s="3761"/>
      <c r="K22" s="3761"/>
      <c r="L22" s="3761"/>
      <c r="M22" s="3761"/>
      <c r="N22" s="3761"/>
      <c r="O22" s="3761"/>
      <c r="P22" s="3761"/>
      <c r="Q22" s="376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3"/>
      <c r="G1" s="2793"/>
      <c r="H1" s="2793"/>
      <c r="I1" s="2793"/>
      <c r="J1" s="2793"/>
      <c r="K1" s="2793"/>
      <c r="L1" s="2793"/>
      <c r="M1" s="2793"/>
      <c r="N1" s="2793"/>
      <c r="O1" s="2793"/>
      <c r="P1" s="2793"/>
    </row>
    <row r="2" spans="1:16" ht="15.6">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6">
      <c r="A3" s="2145" t="s">
        <v>2076</v>
      </c>
      <c r="B3" s="2602" t="e">
        <f ca="1">ROUND(B2*10000/E2,0)</f>
        <v>#DIV/0!</v>
      </c>
      <c r="C3" s="2145" t="s">
        <v>2082</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2077</v>
      </c>
      <c r="B5" s="2610" t="s">
        <v>2078</v>
      </c>
      <c r="C5" s="2146"/>
      <c r="D5" s="2793"/>
      <c r="E5" s="2611" t="s">
        <v>2079</v>
      </c>
      <c r="F5" s="2793"/>
      <c r="G5" s="2793"/>
      <c r="H5" s="2793"/>
      <c r="I5" s="2793"/>
      <c r="J5" s="2793"/>
      <c r="K5" s="2793"/>
      <c r="L5" s="2793"/>
      <c r="M5" s="2793"/>
      <c r="N5" s="2793"/>
      <c r="O5" s="2793"/>
      <c r="P5" s="2793"/>
    </row>
    <row r="6" spans="1:16" ht="15.6">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6">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H20" sqref="H20"/>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6">
      <c r="A4" s="3773"/>
      <c r="B4" s="3774"/>
      <c r="C4" s="3774"/>
      <c r="D4" s="3775"/>
      <c r="E4" s="3775"/>
      <c r="F4" s="3775"/>
      <c r="G4" s="3775"/>
      <c r="H4" s="3775"/>
      <c r="I4" s="3775"/>
      <c r="J4" s="3776"/>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6"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70" t="s">
        <v>1960</v>
      </c>
      <c r="X8" s="377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SUMIF(修正!C73:C140,C8,修正!E73:E140)</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72"/>
      <c r="X9" s="3362" t="s">
        <v>3266</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SUMIF(修正!C73:C140,C8,修正!F73:F140)</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72"/>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8"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24.6"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24">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6"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ht="24">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777" t="s">
        <v>3254</v>
      </c>
      <c r="B20" s="167" t="s">
        <v>1994</v>
      </c>
      <c r="C20" s="3325" t="e">
        <f>ROUND(IF(F21="与级别开发程度一致",0,(G21-E21)/C21),0)</f>
        <v>#DIV/0!</v>
      </c>
      <c r="D20" s="3341" t="s">
        <v>1998</v>
      </c>
      <c r="E20" s="3342"/>
      <c r="F20" s="3783" t="s">
        <v>1995</v>
      </c>
      <c r="G20" s="3784"/>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4.4" thickBot="1">
      <c r="A21" s="3778"/>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2000</v>
      </c>
      <c r="C22" s="2160">
        <f>SUMIF(修正!C20:C53,E3,修正!E20:E53)</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4.6"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4" t="s">
        <v>2002</v>
      </c>
      <c r="E23" s="761">
        <v>44197</v>
      </c>
      <c r="F23" s="2054" t="s">
        <v>2003</v>
      </c>
      <c r="G23" s="762">
        <f>'数据-取费表'!B2</f>
        <v>46022</v>
      </c>
      <c r="H23" s="3343"/>
      <c r="I23" s="3344" t="str">
        <f>IF(H23="季度增幅（自定义）",SUMIF(N25:N28,E2,O25:O28),"")</f>
        <v/>
      </c>
      <c r="J23" s="3446"/>
      <c r="K23" s="1125"/>
      <c r="L23" s="2055" t="s">
        <v>2004</v>
      </c>
      <c r="M23" s="1328">
        <f>ROUND(SUMIF(地价!B2:G2,E2,地价!B16:G16),0)</f>
        <v>0</v>
      </c>
      <c r="N23" s="2056" t="s">
        <v>2005</v>
      </c>
      <c r="O23" s="763">
        <f>ROUNDDOWN(DATEDIF(E23,G23,"M")/3,0)</f>
        <v>19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t="e">
        <f>ROUND(POWER(1+G24,J24-I24)*(POWER(1+G24,I24)-1)/(POWER(1+G24,J24)-1),4)</f>
        <v>#DIV/0!</v>
      </c>
      <c r="D24" s="2060" t="s">
        <v>2007</v>
      </c>
      <c r="E24" s="1335">
        <f>存贷款利率!E28/100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3333</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5" t="s">
        <v>3255</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3256</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t="e">
        <f>ROUND(C5*C22*C23*C24*C25*C28,0)</f>
        <v>#DIV/0!</v>
      </c>
      <c r="D33" s="2098"/>
      <c r="E33" s="773" t="e">
        <f>ROUND(C33*D33/10000,0)</f>
        <v>#DIV/0!</v>
      </c>
      <c r="F33" s="3346" t="s">
        <v>3258</v>
      </c>
      <c r="G33" s="2099"/>
      <c r="H33" s="2099"/>
      <c r="I33" s="2099"/>
      <c r="J33" s="2100"/>
      <c r="K33" s="1119"/>
      <c r="L33" s="3349" t="s">
        <v>3261</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3262</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3259</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7" t="s">
        <v>3263</v>
      </c>
      <c r="L36" s="3447">
        <f ca="1">'数据-取费表'!B40</f>
        <v>3.1300000000000001E-2</v>
      </c>
      <c r="M36" s="3358">
        <f ca="1">ROUND($L$36*(1+M31),3)</f>
        <v>3.9E-2</v>
      </c>
      <c r="N36" s="3358">
        <f ca="1">ROUND($L$36*(1+N31),3)</f>
        <v>3.7999999999999999E-2</v>
      </c>
      <c r="O36" s="3358">
        <f ca="1">ROUND($L$36*(1+O31),3)</f>
        <v>3.5999999999999997E-2</v>
      </c>
      <c r="P36" s="3358">
        <f ca="1">ROUND($L$36*(1+P31),3)</f>
        <v>3.4000000000000002E-2</v>
      </c>
      <c r="Q36" s="3358">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81"/>
      <c r="B37" s="2113" t="s">
        <v>2036</v>
      </c>
      <c r="C37" s="175" t="e">
        <f>ROUND(D5*C22*C23*C24*C28*F37,0)</f>
        <v>#DIV/0!</v>
      </c>
      <c r="D37" s="2098"/>
      <c r="E37" s="171" t="e">
        <f>ROUND(C37*D37/10000,0)</f>
        <v>#DIV/0!</v>
      </c>
      <c r="F37" s="171">
        <f>SUMIF(修正!A59:A70,G2,修正!B59:B70)</f>
        <v>0</v>
      </c>
      <c r="G37" s="171" t="e">
        <f>ROUND(IF(E2="工业",C37*$M$42,C37*$M$41),0)</f>
        <v>#DIV/0!</v>
      </c>
      <c r="H37" s="171">
        <f>D37</f>
        <v>0</v>
      </c>
      <c r="I37" s="171" t="e">
        <f>ROUND(G37*H37/10000,0)</f>
        <v>#DIV/0!</v>
      </c>
      <c r="J37" s="3012"/>
      <c r="K37" s="3359" t="s">
        <v>3264</v>
      </c>
      <c r="L37" s="3357">
        <f ca="1">L36+K38</f>
        <v>3.6299999999999999E-2</v>
      </c>
      <c r="M37" s="3358">
        <f ca="1">ROUND($L$37*(1+M31),3)</f>
        <v>4.4999999999999998E-2</v>
      </c>
      <c r="N37" s="3358">
        <f t="shared" ref="N37:Q37" ca="1" si="3">ROUND($L$37*(1+N31),3)</f>
        <v>4.3999999999999997E-2</v>
      </c>
      <c r="O37" s="3358">
        <f t="shared" ca="1" si="3"/>
        <v>4.2000000000000003E-2</v>
      </c>
      <c r="P37" s="3358">
        <f t="shared" ca="1" si="3"/>
        <v>0.04</v>
      </c>
      <c r="Q37" s="3358">
        <f t="shared" ca="1" si="3"/>
        <v>4.2000000000000003E-2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2"/>
      <c r="B38" s="2041" t="s">
        <v>2037</v>
      </c>
      <c r="C38" s="175" t="e">
        <f>ROUND(D5*C22*C23*C24*C28*F38,0)</f>
        <v>#DIV/0!</v>
      </c>
      <c r="D38" s="2098"/>
      <c r="E38" s="171" t="e">
        <f t="shared" ref="E38:E42" si="4">ROUND(C38*D38/10000,0)</f>
        <v>#DIV/0!</v>
      </c>
      <c r="F38" s="171">
        <f>SUMIF(修正!A59:A70,G2,修正!C59:C70)</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782"/>
      <c r="B39" s="2041" t="s">
        <v>3257</v>
      </c>
      <c r="C39" s="175" t="e">
        <f>ROUND(D5*C22*C23*C24*C28*F39,0)</f>
        <v>#DIV/0!</v>
      </c>
      <c r="D39" s="2098"/>
      <c r="E39" s="171" t="e">
        <f t="shared" si="4"/>
        <v>#DIV/0!</v>
      </c>
      <c r="F39" s="171">
        <f>SUMIF(修正!A59:A70,G2,修正!D59:D70)</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SUMIF(修正!A59:A70,G2,修正!E59:E70)</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SUMIF(修正!A59:A70,G2,修正!F59:F70)</f>
        <v>0</v>
      </c>
      <c r="G41" s="171" t="e">
        <f>ROUND(IF(E2="工业",C41*$M$42,C41*$M$41),0)</f>
        <v>#DIV/0!</v>
      </c>
      <c r="H41" s="171">
        <f t="shared" si="5"/>
        <v>0</v>
      </c>
      <c r="I41" s="171" t="e">
        <f t="shared" si="6"/>
        <v>#DIV/0!</v>
      </c>
      <c r="J41" s="2114"/>
      <c r="L41" s="3360" t="s">
        <v>3265</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t="e">
        <f>ROUND(D5*C22*C23*C44*C28*F42,0)</f>
        <v>#DIV/0!</v>
      </c>
      <c r="D42" s="2103"/>
      <c r="E42" s="187" t="e">
        <f t="shared" si="4"/>
        <v>#DIV/0!</v>
      </c>
      <c r="F42" s="767">
        <f>SUMIF(修正!A59:A70,G2,修正!G59:G70)</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9" t="s">
        <v>3267</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9" t="s">
        <v>3267</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9" t="s">
        <v>3267</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36.6"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4.4">
      <c r="A81" s="2126" t="s">
        <v>2069</v>
      </c>
      <c r="B81" s="2127">
        <f>1+E83</f>
        <v>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c r="A85" s="3369" t="s">
        <v>3268</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c r="A91" s="3377" t="s">
        <v>2612</v>
      </c>
      <c r="B91" s="3378">
        <f>1+E93</f>
        <v>1</v>
      </c>
      <c r="C91" s="3371"/>
      <c r="D91" s="3372"/>
      <c r="E91" s="1814"/>
      <c r="F91" s="1814"/>
      <c r="G91" s="3373"/>
      <c r="H91" s="3374"/>
      <c r="I91" s="3375"/>
      <c r="J91" s="3376"/>
      <c r="K91" s="3376"/>
      <c r="L91" s="3376"/>
      <c r="M91" s="3376"/>
      <c r="N91" s="3376"/>
    </row>
    <row r="92" spans="1:37" ht="25.2">
      <c r="A92" s="3379" t="s">
        <v>3269</v>
      </c>
      <c r="B92" s="3366"/>
      <c r="C92" s="3366" t="s">
        <v>3278</v>
      </c>
      <c r="D92" s="3366" t="s">
        <v>3279</v>
      </c>
      <c r="E92" s="3348" t="s">
        <v>3280</v>
      </c>
      <c r="F92" s="3381" t="s">
        <v>3281</v>
      </c>
      <c r="G92" s="3366" t="s">
        <v>3282</v>
      </c>
      <c r="H92" s="3388" t="s">
        <v>3285</v>
      </c>
      <c r="I92" s="3366" t="s">
        <v>3286</v>
      </c>
      <c r="J92" s="3389" t="s">
        <v>3287</v>
      </c>
      <c r="K92" s="3389" t="s">
        <v>3288</v>
      </c>
      <c r="L92" s="3389" t="s">
        <v>3289</v>
      </c>
      <c r="M92" s="3389" t="s">
        <v>3290</v>
      </c>
      <c r="N92" s="3389" t="s">
        <v>3291</v>
      </c>
    </row>
    <row r="93" spans="1:37" ht="24">
      <c r="A93" s="3369" t="s">
        <v>3270</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3271</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3267</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3272</v>
      </c>
      <c r="B96" s="3385" t="s">
        <v>3283</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3273</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3274</v>
      </c>
      <c r="B98" s="3386" t="s">
        <v>3284</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3275</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3276</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3277</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79" t="s">
        <v>3292</v>
      </c>
      <c r="B103" s="3779"/>
      <c r="C103" s="3779"/>
      <c r="D103" s="3779"/>
      <c r="E103" s="3779"/>
      <c r="F103" s="3779"/>
      <c r="G103" s="3779"/>
      <c r="H103" s="3779"/>
      <c r="I103" s="3779"/>
      <c r="J103" s="3779"/>
      <c r="K103" s="3390"/>
      <c r="L103" s="3390"/>
      <c r="M103" s="3390"/>
      <c r="N103" s="3390"/>
    </row>
    <row r="104" spans="1:14">
      <c r="A104" s="3780" t="s">
        <v>3293</v>
      </c>
      <c r="B104" s="3780" t="s">
        <v>3294</v>
      </c>
      <c r="C104" s="3391" t="s">
        <v>3295</v>
      </c>
      <c r="D104" s="3392"/>
      <c r="E104" s="3392"/>
      <c r="F104" s="3392"/>
      <c r="G104" s="3392"/>
      <c r="H104" s="3392"/>
      <c r="I104" s="3392"/>
      <c r="J104" s="3393"/>
      <c r="K104" s="3394"/>
      <c r="L104" s="3394"/>
      <c r="M104" s="3394"/>
      <c r="N104" s="3394"/>
    </row>
    <row r="105" spans="1:14">
      <c r="A105" s="3780"/>
      <c r="B105" s="3780"/>
      <c r="C105" s="3395" t="s">
        <v>3296</v>
      </c>
      <c r="D105" s="3395" t="s">
        <v>3297</v>
      </c>
      <c r="E105" s="3395" t="s">
        <v>3298</v>
      </c>
      <c r="F105" s="3395" t="s">
        <v>3299</v>
      </c>
      <c r="G105" s="3395" t="s">
        <v>3300</v>
      </c>
      <c r="H105" s="3395" t="s">
        <v>3301</v>
      </c>
      <c r="I105" s="3395" t="s">
        <v>3302</v>
      </c>
      <c r="J105" s="3395" t="s">
        <v>3303</v>
      </c>
      <c r="K105" s="3395" t="s">
        <v>3304</v>
      </c>
      <c r="L105" s="3395" t="s">
        <v>3305</v>
      </c>
      <c r="M105" s="3395" t="s">
        <v>3306</v>
      </c>
      <c r="N105" s="3395" t="s">
        <v>3307</v>
      </c>
    </row>
    <row r="106" spans="1:14">
      <c r="A106" s="3766" t="s">
        <v>3308</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7"/>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7"/>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7"/>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7"/>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7"/>
      <c r="B111" s="3395" t="s">
        <v>3266</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68"/>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69" t="s">
        <v>3309</v>
      </c>
      <c r="B113" s="3769"/>
      <c r="C113" s="3769"/>
      <c r="D113" s="3769"/>
      <c r="E113" s="3769"/>
      <c r="F113" s="3769"/>
      <c r="G113" s="3769"/>
      <c r="H113" s="3769"/>
      <c r="I113" s="3769"/>
      <c r="J113" s="3769"/>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3310</v>
      </c>
      <c r="B116" s="3416">
        <f>G3</f>
        <v>0</v>
      </c>
      <c r="C116" s="3400" t="s">
        <v>3311</v>
      </c>
      <c r="D116" s="3401">
        <f>SUMPRODUCT((A118:A122=F116)*(B117:M117=H116)*B118:M122)</f>
        <v>0</v>
      </c>
      <c r="E116" s="2000" t="s">
        <v>3312</v>
      </c>
      <c r="F116" s="3402">
        <f>E2</f>
        <v>0</v>
      </c>
      <c r="G116" s="2000" t="s">
        <v>3313</v>
      </c>
      <c r="H116" s="3402">
        <f>G2</f>
        <v>0</v>
      </c>
      <c r="I116" s="2000"/>
      <c r="J116" s="3403"/>
      <c r="K116" s="3403"/>
      <c r="L116" s="3403"/>
      <c r="M116" s="3403"/>
      <c r="N116" s="3398"/>
    </row>
    <row r="117" spans="1:14">
      <c r="A117" s="3404"/>
      <c r="B117" s="3405" t="s">
        <v>3314</v>
      </c>
      <c r="C117" s="3405" t="s">
        <v>3315</v>
      </c>
      <c r="D117" s="3405" t="s">
        <v>3316</v>
      </c>
      <c r="E117" s="3406" t="s">
        <v>3317</v>
      </c>
      <c r="F117" s="3406" t="s">
        <v>3318</v>
      </c>
      <c r="G117" s="3406" t="s">
        <v>3319</v>
      </c>
      <c r="H117" s="3407" t="s">
        <v>3320</v>
      </c>
      <c r="I117" s="3407" t="s">
        <v>3321</v>
      </c>
      <c r="J117" s="3408" t="s">
        <v>3322</v>
      </c>
      <c r="K117" s="3408" t="s">
        <v>3323</v>
      </c>
      <c r="L117" s="3408" t="s">
        <v>3324</v>
      </c>
      <c r="M117" s="3409" t="s">
        <v>3325</v>
      </c>
      <c r="N117" s="3398"/>
    </row>
    <row r="118" spans="1:14">
      <c r="A118" s="3410" t="s">
        <v>3326</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3327</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3328</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8" thickBot="1">
      <c r="A121" s="3412" t="s">
        <v>3329</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96" t="s">
        <v>2607</v>
      </c>
      <c r="B20" s="3789" t="s">
        <v>2628</v>
      </c>
      <c r="C20" s="3477" t="s">
        <v>2439</v>
      </c>
      <c r="D20" s="3477"/>
      <c r="E20" s="3105">
        <v>1</v>
      </c>
      <c r="F20" s="3106" t="s">
        <v>2440</v>
      </c>
      <c r="G20" s="3106"/>
    </row>
    <row r="21" spans="1:13" ht="19.5" customHeight="1">
      <c r="A21" s="3797"/>
      <c r="B21" s="3785"/>
      <c r="C21" s="3467" t="s">
        <v>2441</v>
      </c>
      <c r="D21" s="3467"/>
      <c r="E21" s="3109">
        <v>1</v>
      </c>
      <c r="F21" s="3106" t="s">
        <v>2442</v>
      </c>
      <c r="G21" s="3106"/>
    </row>
    <row r="22" spans="1:13" ht="19.5" customHeight="1">
      <c r="A22" s="3797"/>
      <c r="B22" s="3785"/>
      <c r="C22" s="3467" t="s">
        <v>2443</v>
      </c>
      <c r="D22" s="3467"/>
      <c r="E22" s="3109">
        <v>0.9</v>
      </c>
      <c r="F22" s="3106" t="s">
        <v>2444</v>
      </c>
      <c r="G22" s="3106"/>
    </row>
    <row r="23" spans="1:13" ht="19.5" customHeight="1">
      <c r="A23" s="3797"/>
      <c r="B23" s="3785"/>
      <c r="C23" s="3467" t="s">
        <v>2445</v>
      </c>
      <c r="D23" s="3467"/>
      <c r="E23" s="3109">
        <v>0.9</v>
      </c>
      <c r="F23" s="3106" t="s">
        <v>2446</v>
      </c>
      <c r="G23" s="3106"/>
    </row>
    <row r="24" spans="1:13" ht="19.5" customHeight="1">
      <c r="A24" s="3797"/>
      <c r="B24" s="3785"/>
      <c r="C24" s="3467" t="s">
        <v>2447</v>
      </c>
      <c r="D24" s="3467"/>
      <c r="E24" s="3109">
        <v>0.8</v>
      </c>
      <c r="F24" s="3106" t="s">
        <v>2448</v>
      </c>
      <c r="G24" s="3106"/>
    </row>
    <row r="25" spans="1:13" ht="19.5" customHeight="1">
      <c r="A25" s="3797"/>
      <c r="B25" s="3785"/>
      <c r="C25" s="3467" t="s">
        <v>2449</v>
      </c>
      <c r="D25" s="3467"/>
      <c r="E25" s="3109">
        <v>0.8</v>
      </c>
      <c r="F25" s="3106"/>
      <c r="G25" s="3106"/>
    </row>
    <row r="26" spans="1:13" ht="19.5" customHeight="1">
      <c r="A26" s="3797"/>
      <c r="B26" s="3785"/>
      <c r="C26" s="3470" t="s">
        <v>3407</v>
      </c>
      <c r="D26" s="3470"/>
      <c r="E26" s="3471">
        <v>0.43</v>
      </c>
      <c r="F26" s="3106"/>
      <c r="G26" s="3106"/>
    </row>
    <row r="27" spans="1:13" ht="19.5" customHeight="1" thickBot="1">
      <c r="A27" s="3798"/>
      <c r="B27" s="3790"/>
      <c r="C27" s="3472" t="s">
        <v>3408</v>
      </c>
      <c r="D27" s="3472"/>
      <c r="E27" s="3473">
        <f>E26*0.9</f>
        <v>0.38700000000000001</v>
      </c>
      <c r="F27" s="3106" t="s">
        <v>2450</v>
      </c>
      <c r="G27" s="3106"/>
    </row>
    <row r="28" spans="1:13" ht="19.5" customHeight="1" thickBot="1">
      <c r="A28" s="3469" t="s">
        <v>2629</v>
      </c>
      <c r="B28" s="3468" t="s">
        <v>2628</v>
      </c>
      <c r="C28" s="3474" t="s">
        <v>2630</v>
      </c>
      <c r="D28" s="3475"/>
      <c r="E28" s="3476">
        <v>1</v>
      </c>
      <c r="F28" s="3106" t="s">
        <v>2451</v>
      </c>
      <c r="G28" s="3106"/>
    </row>
    <row r="29" spans="1:13" ht="19.5" customHeight="1">
      <c r="A29" s="3791" t="s">
        <v>2631</v>
      </c>
      <c r="B29" s="3794" t="s">
        <v>2612</v>
      </c>
      <c r="C29" s="3103" t="s">
        <v>2452</v>
      </c>
      <c r="D29" s="3104"/>
      <c r="E29" s="3105">
        <v>1</v>
      </c>
      <c r="F29" s="3106" t="s">
        <v>2453</v>
      </c>
      <c r="G29" s="3106"/>
    </row>
    <row r="30" spans="1:13" ht="19.5" customHeight="1">
      <c r="A30" s="3792"/>
      <c r="B30" s="3788"/>
      <c r="C30" s="3107" t="s">
        <v>2454</v>
      </c>
      <c r="D30" s="3108"/>
      <c r="E30" s="3109">
        <v>1</v>
      </c>
      <c r="F30" s="3106" t="s">
        <v>2455</v>
      </c>
      <c r="G30" s="3106"/>
    </row>
    <row r="31" spans="1:13" ht="19.5" customHeight="1">
      <c r="A31" s="3792"/>
      <c r="B31" s="3788"/>
      <c r="C31" s="3107" t="s">
        <v>2456</v>
      </c>
      <c r="D31" s="3108"/>
      <c r="E31" s="3109">
        <v>0.8</v>
      </c>
      <c r="F31" s="3106" t="s">
        <v>2457</v>
      </c>
      <c r="G31" s="3106"/>
    </row>
    <row r="32" spans="1:13" ht="19.5" customHeight="1">
      <c r="A32" s="3792"/>
      <c r="B32" s="3788"/>
      <c r="C32" s="3107" t="s">
        <v>2458</v>
      </c>
      <c r="D32" s="3108"/>
      <c r="E32" s="3109">
        <v>0.8</v>
      </c>
      <c r="F32" s="3106" t="s">
        <v>2459</v>
      </c>
      <c r="G32" s="3106"/>
    </row>
    <row r="33" spans="1:7" ht="19.5" customHeight="1">
      <c r="A33" s="3792"/>
      <c r="B33" s="3788"/>
      <c r="C33" s="3107" t="s">
        <v>2460</v>
      </c>
      <c r="D33" s="3108"/>
      <c r="E33" s="3109">
        <v>0.8</v>
      </c>
      <c r="F33" s="3106" t="s">
        <v>2461</v>
      </c>
      <c r="G33" s="3106"/>
    </row>
    <row r="34" spans="1:7" ht="19.5" customHeight="1">
      <c r="A34" s="3792"/>
      <c r="B34" s="3788"/>
      <c r="C34" s="3107" t="s">
        <v>2462</v>
      </c>
      <c r="D34" s="3108"/>
      <c r="E34" s="3109">
        <v>0.7</v>
      </c>
      <c r="F34" s="3106" t="s">
        <v>2463</v>
      </c>
      <c r="G34" s="3106"/>
    </row>
    <row r="35" spans="1:7" ht="19.5" customHeight="1">
      <c r="A35" s="3792"/>
      <c r="B35" s="3788"/>
      <c r="C35" s="3107" t="s">
        <v>2464</v>
      </c>
      <c r="D35" s="3108"/>
      <c r="E35" s="3109">
        <v>0.8</v>
      </c>
      <c r="F35" s="3106" t="s">
        <v>2465</v>
      </c>
      <c r="G35" s="3106"/>
    </row>
    <row r="36" spans="1:7" ht="19.5" customHeight="1">
      <c r="A36" s="3792"/>
      <c r="B36" s="3788"/>
      <c r="C36" s="3107" t="s">
        <v>2466</v>
      </c>
      <c r="D36" s="3108"/>
      <c r="E36" s="3109">
        <v>0.6</v>
      </c>
      <c r="F36" s="3106" t="s">
        <v>2467</v>
      </c>
      <c r="G36" s="3106"/>
    </row>
    <row r="37" spans="1:7" ht="19.5" customHeight="1">
      <c r="A37" s="3792"/>
      <c r="B37" s="3788"/>
      <c r="C37" s="3107" t="s">
        <v>2468</v>
      </c>
      <c r="D37" s="3108"/>
      <c r="E37" s="3109">
        <v>0.2</v>
      </c>
      <c r="F37" s="3106" t="s">
        <v>2469</v>
      </c>
      <c r="G37" s="3106"/>
    </row>
    <row r="38" spans="1:7" ht="19.5" customHeight="1">
      <c r="A38" s="3792"/>
      <c r="B38" s="3788"/>
      <c r="C38" s="3107" t="s">
        <v>2470</v>
      </c>
      <c r="D38" s="3108"/>
      <c r="E38" s="3109">
        <v>0.2</v>
      </c>
      <c r="F38" s="3106" t="s">
        <v>2471</v>
      </c>
      <c r="G38" s="3106"/>
    </row>
    <row r="39" spans="1:7" ht="19.5" customHeight="1">
      <c r="A39" s="3792"/>
      <c r="B39" s="3786" t="s">
        <v>2632</v>
      </c>
      <c r="C39" s="3107" t="s">
        <v>2472</v>
      </c>
      <c r="D39" s="3108"/>
      <c r="E39" s="3109">
        <v>0.6</v>
      </c>
      <c r="F39" s="3106" t="s">
        <v>2473</v>
      </c>
      <c r="G39" s="3106"/>
    </row>
    <row r="40" spans="1:7" ht="19.5" customHeight="1">
      <c r="A40" s="3792"/>
      <c r="B40" s="3788"/>
      <c r="C40" s="3107" t="s">
        <v>2474</v>
      </c>
      <c r="D40" s="3108"/>
      <c r="E40" s="3109">
        <v>0.6</v>
      </c>
      <c r="F40" s="3106" t="s">
        <v>2475</v>
      </c>
      <c r="G40" s="3106"/>
    </row>
    <row r="41" spans="1:7" ht="19.5" customHeight="1" thickBot="1">
      <c r="A41" s="3793"/>
      <c r="B41" s="3795"/>
      <c r="C41" s="3110" t="s">
        <v>2476</v>
      </c>
      <c r="D41" s="3111"/>
      <c r="E41" s="3112">
        <v>0.6</v>
      </c>
      <c r="F41" s="3106" t="s">
        <v>2477</v>
      </c>
      <c r="G41" s="3106"/>
    </row>
    <row r="42" spans="1:7" ht="19.5" customHeight="1" thickBot="1">
      <c r="A42" s="3113" t="s">
        <v>2609</v>
      </c>
      <c r="B42" s="3114" t="s">
        <v>2609</v>
      </c>
      <c r="C42" s="3115" t="s">
        <v>2633</v>
      </c>
      <c r="D42" s="3116"/>
      <c r="E42" s="3117">
        <v>1</v>
      </c>
      <c r="F42" s="3106" t="s">
        <v>2478</v>
      </c>
      <c r="G42" s="3106"/>
    </row>
    <row r="43" spans="1:7" ht="19.5" customHeight="1">
      <c r="A43" s="3796" t="s">
        <v>2610</v>
      </c>
      <c r="B43" s="3794" t="s">
        <v>2634</v>
      </c>
      <c r="C43" s="3103" t="s">
        <v>2479</v>
      </c>
      <c r="D43" s="3104"/>
      <c r="E43" s="3105">
        <v>1</v>
      </c>
      <c r="F43" s="3106" t="s">
        <v>2480</v>
      </c>
      <c r="G43" s="3106"/>
    </row>
    <row r="44" spans="1:7" ht="19.5" customHeight="1">
      <c r="A44" s="3797"/>
      <c r="B44" s="3788"/>
      <c r="C44" s="3107" t="s">
        <v>2481</v>
      </c>
      <c r="D44" s="3108"/>
      <c r="E44" s="3109">
        <v>1</v>
      </c>
      <c r="F44" s="3106" t="s">
        <v>2482</v>
      </c>
      <c r="G44" s="3106"/>
    </row>
    <row r="45" spans="1:7" ht="19.5" customHeight="1">
      <c r="A45" s="3797"/>
      <c r="B45" s="3787"/>
      <c r="C45" s="3107" t="s">
        <v>2483</v>
      </c>
      <c r="D45" s="3108"/>
      <c r="E45" s="3109">
        <v>1.5</v>
      </c>
      <c r="F45" s="3106" t="s">
        <v>2484</v>
      </c>
      <c r="G45" s="3106"/>
    </row>
    <row r="46" spans="1:7" ht="19.5" customHeight="1">
      <c r="A46" s="3797"/>
      <c r="B46" s="3118" t="s">
        <v>2635</v>
      </c>
      <c r="C46" s="3107" t="s">
        <v>2636</v>
      </c>
      <c r="D46" s="3108"/>
      <c r="E46" s="3109">
        <v>2</v>
      </c>
      <c r="F46" s="3106" t="s">
        <v>2485</v>
      </c>
      <c r="G46" s="3106"/>
    </row>
    <row r="47" spans="1:7" ht="19.5" customHeight="1">
      <c r="A47" s="3797"/>
      <c r="B47" s="3786" t="s">
        <v>2637</v>
      </c>
      <c r="C47" s="3107" t="s">
        <v>2486</v>
      </c>
      <c r="D47" s="3108"/>
      <c r="E47" s="3109">
        <v>1</v>
      </c>
      <c r="F47" s="3106" t="s">
        <v>2487</v>
      </c>
      <c r="G47" s="3106"/>
    </row>
    <row r="48" spans="1:7" ht="19.5" customHeight="1">
      <c r="A48" s="3797"/>
      <c r="B48" s="3788"/>
      <c r="C48" s="3107" t="s">
        <v>2488</v>
      </c>
      <c r="D48" s="3108"/>
      <c r="E48" s="3109">
        <v>1</v>
      </c>
      <c r="F48" s="3106" t="s">
        <v>2489</v>
      </c>
      <c r="G48" s="3106"/>
    </row>
    <row r="49" spans="1:7" ht="19.5" customHeight="1">
      <c r="A49" s="3797"/>
      <c r="B49" s="3788"/>
      <c r="C49" s="3107" t="s">
        <v>2490</v>
      </c>
      <c r="D49" s="3108"/>
      <c r="E49" s="3109">
        <v>1</v>
      </c>
      <c r="F49" s="3106" t="s">
        <v>2491</v>
      </c>
      <c r="G49" s="3106"/>
    </row>
    <row r="50" spans="1:7" ht="19.5" customHeight="1">
      <c r="A50" s="3797"/>
      <c r="B50" s="3788"/>
      <c r="C50" s="3107" t="s">
        <v>2492</v>
      </c>
      <c r="D50" s="3108"/>
      <c r="E50" s="3109">
        <v>1</v>
      </c>
      <c r="F50" s="3106" t="s">
        <v>2493</v>
      </c>
      <c r="G50" s="3106"/>
    </row>
    <row r="51" spans="1:7" ht="19.5" customHeight="1">
      <c r="A51" s="3797"/>
      <c r="B51" s="3788"/>
      <c r="C51" s="3107" t="s">
        <v>2494</v>
      </c>
      <c r="D51" s="3108"/>
      <c r="E51" s="3109">
        <v>1</v>
      </c>
      <c r="F51" s="3106" t="s">
        <v>2495</v>
      </c>
      <c r="G51" s="3106"/>
    </row>
    <row r="52" spans="1:7" ht="19.5" customHeight="1">
      <c r="A52" s="3797"/>
      <c r="B52" s="3788"/>
      <c r="C52" s="3107" t="s">
        <v>2496</v>
      </c>
      <c r="D52" s="3108"/>
      <c r="E52" s="3109">
        <v>1</v>
      </c>
      <c r="F52" s="3106" t="s">
        <v>2497</v>
      </c>
      <c r="G52" s="3106"/>
    </row>
    <row r="53" spans="1:7" ht="19.5" customHeight="1" thickBot="1">
      <c r="A53" s="3798"/>
      <c r="B53" s="3795"/>
      <c r="C53" s="3110" t="s">
        <v>2498</v>
      </c>
      <c r="D53" s="3111"/>
      <c r="E53" s="3112">
        <v>1</v>
      </c>
      <c r="F53" s="3106" t="s">
        <v>2499</v>
      </c>
      <c r="G53" s="3106"/>
    </row>
    <row r="54" spans="1:7" ht="19.5" customHeight="1">
      <c r="A54" s="3119"/>
      <c r="B54" s="3119"/>
      <c r="C54" s="3119"/>
      <c r="D54" s="3119"/>
      <c r="E54" s="3119"/>
      <c r="F54" s="3119"/>
      <c r="G54" s="3119"/>
    </row>
    <row r="56" spans="1:7" ht="19.5" customHeight="1">
      <c r="A56" s="3120"/>
      <c r="B56" s="3092" t="s">
        <v>2638</v>
      </c>
      <c r="C56" s="3092" t="s">
        <v>2638</v>
      </c>
      <c r="D56" s="3092" t="s">
        <v>2638</v>
      </c>
      <c r="E56" s="3095" t="s">
        <v>2638</v>
      </c>
      <c r="F56" s="3095" t="s">
        <v>2639</v>
      </c>
      <c r="G56" s="3095" t="s">
        <v>2640</v>
      </c>
    </row>
    <row r="57" spans="1:7" ht="19.5" customHeight="1">
      <c r="A57" s="3121"/>
      <c r="B57" s="3095" t="s">
        <v>2607</v>
      </c>
      <c r="C57" s="3095" t="s">
        <v>2607</v>
      </c>
      <c r="D57" s="3095" t="s">
        <v>2607</v>
      </c>
      <c r="E57" s="3092" t="s">
        <v>2608</v>
      </c>
      <c r="F57" s="3092" t="s">
        <v>2610</v>
      </c>
      <c r="G57" s="3092" t="s">
        <v>2641</v>
      </c>
    </row>
    <row r="58" spans="1:7" ht="19.5" customHeight="1">
      <c r="A58" s="3122"/>
      <c r="B58" s="3092">
        <v>1</v>
      </c>
      <c r="C58" s="3092">
        <v>2</v>
      </c>
      <c r="D58" s="3092">
        <v>3</v>
      </c>
      <c r="E58" s="3123" t="s">
        <v>2642</v>
      </c>
      <c r="F58" s="3123" t="s">
        <v>2642</v>
      </c>
      <c r="G58" s="3123" t="s">
        <v>2642</v>
      </c>
    </row>
    <row r="59" spans="1:7" ht="19.5" customHeight="1">
      <c r="A59" s="3124" t="s">
        <v>2595</v>
      </c>
      <c r="B59" s="3092">
        <v>0.7</v>
      </c>
      <c r="C59" s="3092">
        <v>0.4</v>
      </c>
      <c r="D59" s="3092">
        <v>0.3</v>
      </c>
      <c r="E59" s="3123">
        <v>0.3</v>
      </c>
      <c r="F59" s="3092">
        <v>0.3</v>
      </c>
      <c r="G59" s="3092">
        <v>0.2</v>
      </c>
    </row>
    <row r="60" spans="1:7" ht="19.5" customHeight="1">
      <c r="A60" s="3124" t="s">
        <v>2596</v>
      </c>
      <c r="B60" s="3092">
        <v>0.7</v>
      </c>
      <c r="C60" s="3092">
        <v>0.4</v>
      </c>
      <c r="D60" s="3092">
        <v>0.3</v>
      </c>
      <c r="E60" s="3092">
        <v>0.3</v>
      </c>
      <c r="F60" s="3092">
        <v>0.3</v>
      </c>
      <c r="G60" s="3092">
        <v>0.2</v>
      </c>
    </row>
    <row r="61" spans="1:7" ht="19.5" customHeight="1">
      <c r="A61" s="3124" t="s">
        <v>2597</v>
      </c>
      <c r="B61" s="3092">
        <v>0.6</v>
      </c>
      <c r="C61" s="3092">
        <v>0.3</v>
      </c>
      <c r="D61" s="3092">
        <v>0.25</v>
      </c>
      <c r="E61" s="3092">
        <v>0.25</v>
      </c>
      <c r="F61" s="3092">
        <v>0.25</v>
      </c>
      <c r="G61" s="3092">
        <v>0.15</v>
      </c>
    </row>
    <row r="62" spans="1:7" ht="19.5" customHeight="1">
      <c r="A62" s="3124" t="s">
        <v>2598</v>
      </c>
      <c r="B62" s="3092">
        <v>0.6</v>
      </c>
      <c r="C62" s="3092">
        <v>0.3</v>
      </c>
      <c r="D62" s="3092">
        <v>0.25</v>
      </c>
      <c r="E62" s="3092">
        <v>0.25</v>
      </c>
      <c r="F62" s="3092">
        <v>0.25</v>
      </c>
      <c r="G62" s="3092">
        <v>0.15</v>
      </c>
    </row>
    <row r="63" spans="1:7" ht="19.5" customHeight="1">
      <c r="A63" s="3124" t="s">
        <v>2599</v>
      </c>
      <c r="B63" s="3092">
        <v>0.6</v>
      </c>
      <c r="C63" s="3092">
        <v>0.3</v>
      </c>
      <c r="D63" s="3092">
        <v>0.25</v>
      </c>
      <c r="E63" s="3092">
        <v>0.25</v>
      </c>
      <c r="F63" s="3092">
        <v>0.25</v>
      </c>
      <c r="G63" s="3092">
        <v>0.15</v>
      </c>
    </row>
    <row r="64" spans="1:7" ht="19.5" customHeight="1">
      <c r="A64" s="3124" t="s">
        <v>2600</v>
      </c>
      <c r="B64" s="3092">
        <v>0.6</v>
      </c>
      <c r="C64" s="3092">
        <v>0.3</v>
      </c>
      <c r="D64" s="3092">
        <v>0.25</v>
      </c>
      <c r="E64" s="3092">
        <v>0.25</v>
      </c>
      <c r="F64" s="3092">
        <v>0.25</v>
      </c>
      <c r="G64" s="3092">
        <v>0.15</v>
      </c>
    </row>
    <row r="65" spans="1:7" ht="19.5" customHeight="1">
      <c r="A65" s="3124" t="s">
        <v>2601</v>
      </c>
      <c r="B65" s="3092">
        <v>0.6</v>
      </c>
      <c r="C65" s="3092">
        <v>0.3</v>
      </c>
      <c r="D65" s="3092">
        <v>0.25</v>
      </c>
      <c r="E65" s="3092">
        <v>0.25</v>
      </c>
      <c r="F65" s="3092">
        <v>0.25</v>
      </c>
      <c r="G65" s="3092">
        <v>0.15</v>
      </c>
    </row>
    <row r="66" spans="1:7" ht="19.5" customHeight="1">
      <c r="A66" s="3124" t="s">
        <v>2602</v>
      </c>
      <c r="B66" s="3092">
        <v>0.5</v>
      </c>
      <c r="C66" s="3092">
        <v>0.2</v>
      </c>
      <c r="D66" s="3092">
        <v>0.2</v>
      </c>
      <c r="E66" s="3092">
        <v>0.2</v>
      </c>
      <c r="F66" s="3092">
        <v>0.2</v>
      </c>
      <c r="G66" s="3092">
        <v>0.1</v>
      </c>
    </row>
    <row r="67" spans="1:7" ht="19.5" customHeight="1">
      <c r="A67" s="3124" t="s">
        <v>2603</v>
      </c>
      <c r="B67" s="3092">
        <v>0.5</v>
      </c>
      <c r="C67" s="3092">
        <v>0.2</v>
      </c>
      <c r="D67" s="3092">
        <v>0.2</v>
      </c>
      <c r="E67" s="3092">
        <v>0.2</v>
      </c>
      <c r="F67" s="3092">
        <v>0.2</v>
      </c>
      <c r="G67" s="3092">
        <v>0.1</v>
      </c>
    </row>
    <row r="68" spans="1:7" ht="19.5" customHeight="1">
      <c r="A68" s="3124" t="s">
        <v>2604</v>
      </c>
      <c r="B68" s="3092">
        <v>0.5</v>
      </c>
      <c r="C68" s="3092">
        <v>0.2</v>
      </c>
      <c r="D68" s="3092">
        <v>0.2</v>
      </c>
      <c r="E68" s="3092">
        <v>0.2</v>
      </c>
      <c r="F68" s="3092">
        <v>0.2</v>
      </c>
      <c r="G68" s="3092">
        <v>0.1</v>
      </c>
    </row>
    <row r="69" spans="1:7" ht="19.5" customHeight="1">
      <c r="A69" s="3124" t="s">
        <v>2605</v>
      </c>
      <c r="B69" s="3092">
        <v>0.5</v>
      </c>
      <c r="C69" s="3092">
        <v>0.2</v>
      </c>
      <c r="D69" s="3092">
        <v>0.2</v>
      </c>
      <c r="E69" s="3092">
        <v>0.2</v>
      </c>
      <c r="F69" s="3092">
        <v>0.2</v>
      </c>
      <c r="G69" s="3092">
        <v>0.1</v>
      </c>
    </row>
    <row r="70" spans="1:7" ht="19.5" customHeight="1">
      <c r="A70" s="3124" t="s">
        <v>2606</v>
      </c>
      <c r="B70" s="3092">
        <v>0.5</v>
      </c>
      <c r="C70" s="3092">
        <v>0.2</v>
      </c>
      <c r="D70" s="3092">
        <v>0.2</v>
      </c>
      <c r="E70" s="3092">
        <v>0.2</v>
      </c>
      <c r="F70" s="3092">
        <v>0.2</v>
      </c>
      <c r="G70" s="3092">
        <v>0.1</v>
      </c>
    </row>
    <row r="72" spans="1:7" ht="19.5" customHeight="1">
      <c r="A72" s="3125"/>
      <c r="B72" s="3126"/>
      <c r="C72" s="3126"/>
      <c r="D72" s="3126" t="s">
        <v>2643</v>
      </c>
      <c r="E72" s="3126"/>
      <c r="F72" s="3126"/>
    </row>
    <row r="73" spans="1:7" ht="19.5" customHeight="1">
      <c r="A73" s="3118" t="s">
        <v>2644</v>
      </c>
      <c r="B73" s="3118" t="s">
        <v>2645</v>
      </c>
      <c r="C73" s="3118" t="s">
        <v>2646</v>
      </c>
      <c r="D73" s="3118" t="s">
        <v>2647</v>
      </c>
      <c r="E73" s="3118" t="s">
        <v>2648</v>
      </c>
      <c r="F73" s="3118" t="s">
        <v>2649</v>
      </c>
    </row>
    <row r="74" spans="1:7" ht="14.4">
      <c r="A74" s="3118"/>
      <c r="B74" s="3118"/>
      <c r="C74" s="3118" t="s">
        <v>2650</v>
      </c>
      <c r="D74" s="3118"/>
      <c r="E74" s="3118" t="s">
        <v>2621</v>
      </c>
      <c r="F74" s="3118" t="s">
        <v>2621</v>
      </c>
    </row>
    <row r="75" spans="1:7" ht="14.4">
      <c r="A75" s="3118">
        <v>1</v>
      </c>
      <c r="B75" s="3786" t="s">
        <v>2651</v>
      </c>
      <c r="C75" s="3092" t="s">
        <v>2652</v>
      </c>
      <c r="D75" s="3092" t="s">
        <v>2653</v>
      </c>
      <c r="E75" s="3118">
        <v>0.2</v>
      </c>
      <c r="F75" s="3118">
        <v>25</v>
      </c>
    </row>
    <row r="76" spans="1:7" ht="24">
      <c r="A76" s="3118">
        <v>2</v>
      </c>
      <c r="B76" s="3788"/>
      <c r="C76" s="3092" t="s">
        <v>2654</v>
      </c>
      <c r="D76" s="3092" t="s">
        <v>2655</v>
      </c>
      <c r="E76" s="3118">
        <v>0.2</v>
      </c>
      <c r="F76" s="3118">
        <v>25</v>
      </c>
    </row>
    <row r="77" spans="1:7" ht="24">
      <c r="A77" s="3118">
        <v>3</v>
      </c>
      <c r="B77" s="3788"/>
      <c r="C77" s="3092" t="s">
        <v>2656</v>
      </c>
      <c r="D77" s="3092" t="s">
        <v>2657</v>
      </c>
      <c r="E77" s="3118">
        <v>0.2</v>
      </c>
      <c r="F77" s="3118">
        <v>25</v>
      </c>
    </row>
    <row r="78" spans="1:7" ht="14.4">
      <c r="A78" s="3118">
        <v>4</v>
      </c>
      <c r="B78" s="3788"/>
      <c r="C78" s="3092" t="s">
        <v>2658</v>
      </c>
      <c r="D78" s="3092" t="s">
        <v>2659</v>
      </c>
      <c r="E78" s="3118">
        <v>0.15</v>
      </c>
      <c r="F78" s="3118">
        <v>20</v>
      </c>
    </row>
    <row r="79" spans="1:7" ht="24">
      <c r="A79" s="3118">
        <v>5</v>
      </c>
      <c r="B79" s="3788"/>
      <c r="C79" s="3092" t="s">
        <v>2660</v>
      </c>
      <c r="D79" s="3092" t="s">
        <v>2661</v>
      </c>
      <c r="E79" s="3118">
        <v>0.15</v>
      </c>
      <c r="F79" s="3118">
        <v>20</v>
      </c>
    </row>
    <row r="80" spans="1:7" ht="24">
      <c r="A80" s="3118">
        <v>6</v>
      </c>
      <c r="B80" s="3788"/>
      <c r="C80" s="3092" t="s">
        <v>2662</v>
      </c>
      <c r="D80" s="3092" t="s">
        <v>2663</v>
      </c>
      <c r="E80" s="3118">
        <v>0.15</v>
      </c>
      <c r="F80" s="3118">
        <v>20</v>
      </c>
    </row>
    <row r="81" spans="1:6" ht="24">
      <c r="A81" s="3118">
        <v>7</v>
      </c>
      <c r="B81" s="3788"/>
      <c r="C81" s="3092" t="s">
        <v>2664</v>
      </c>
      <c r="D81" s="3092" t="s">
        <v>2665</v>
      </c>
      <c r="E81" s="3118">
        <v>0.15</v>
      </c>
      <c r="F81" s="3118">
        <v>20</v>
      </c>
    </row>
    <row r="82" spans="1:6" ht="24">
      <c r="A82" s="3118">
        <v>8</v>
      </c>
      <c r="B82" s="3788"/>
      <c r="C82" s="3092" t="s">
        <v>2666</v>
      </c>
      <c r="D82" s="3092" t="s">
        <v>2667</v>
      </c>
      <c r="E82" s="3118">
        <v>0.1</v>
      </c>
      <c r="F82" s="3118">
        <v>15</v>
      </c>
    </row>
    <row r="83" spans="1:6" ht="24">
      <c r="A83" s="3118">
        <v>9</v>
      </c>
      <c r="B83" s="3788"/>
      <c r="C83" s="3092" t="s">
        <v>2668</v>
      </c>
      <c r="D83" s="3092" t="s">
        <v>2669</v>
      </c>
      <c r="E83" s="3118">
        <v>0.1</v>
      </c>
      <c r="F83" s="3118">
        <v>15</v>
      </c>
    </row>
    <row r="84" spans="1:6" ht="24">
      <c r="A84" s="3118">
        <v>10</v>
      </c>
      <c r="B84" s="3788"/>
      <c r="C84" s="3092" t="s">
        <v>2670</v>
      </c>
      <c r="D84" s="3092" t="s">
        <v>2671</v>
      </c>
      <c r="E84" s="3118">
        <v>0.1</v>
      </c>
      <c r="F84" s="3118">
        <v>15</v>
      </c>
    </row>
    <row r="85" spans="1:6" ht="24">
      <c r="A85" s="3118">
        <v>11</v>
      </c>
      <c r="B85" s="3788"/>
      <c r="C85" s="3092" t="s">
        <v>2672</v>
      </c>
      <c r="D85" s="3092" t="s">
        <v>2673</v>
      </c>
      <c r="E85" s="3118">
        <v>0.1</v>
      </c>
      <c r="F85" s="3118">
        <v>15</v>
      </c>
    </row>
    <row r="86" spans="1:6" ht="24">
      <c r="A86" s="3118">
        <v>12</v>
      </c>
      <c r="B86" s="3788"/>
      <c r="C86" s="3092" t="s">
        <v>2674</v>
      </c>
      <c r="D86" s="3092" t="s">
        <v>2675</v>
      </c>
      <c r="E86" s="3118">
        <v>0.1</v>
      </c>
      <c r="F86" s="3118">
        <v>15</v>
      </c>
    </row>
    <row r="87" spans="1:6" ht="24">
      <c r="A87" s="3118">
        <v>13</v>
      </c>
      <c r="B87" s="3788"/>
      <c r="C87" s="3092" t="s">
        <v>2676</v>
      </c>
      <c r="D87" s="3092" t="s">
        <v>2677</v>
      </c>
      <c r="E87" s="3118">
        <v>0.1</v>
      </c>
      <c r="F87" s="3118">
        <v>15</v>
      </c>
    </row>
    <row r="88" spans="1:6" ht="24">
      <c r="A88" s="3118">
        <v>14</v>
      </c>
      <c r="B88" s="3788"/>
      <c r="C88" s="3092" t="s">
        <v>2678</v>
      </c>
      <c r="D88" s="3092" t="s">
        <v>2679</v>
      </c>
      <c r="E88" s="3118">
        <v>0.1</v>
      </c>
      <c r="F88" s="3118">
        <v>15</v>
      </c>
    </row>
    <row r="89" spans="1:6" ht="24">
      <c r="A89" s="3118">
        <v>15</v>
      </c>
      <c r="B89" s="3788"/>
      <c r="C89" s="3092" t="s">
        <v>2680</v>
      </c>
      <c r="D89" s="3092" t="s">
        <v>2681</v>
      </c>
      <c r="E89" s="3118">
        <v>0.1</v>
      </c>
      <c r="F89" s="3118">
        <v>15</v>
      </c>
    </row>
    <row r="90" spans="1:6" ht="24">
      <c r="A90" s="3118">
        <v>16</v>
      </c>
      <c r="B90" s="3788"/>
      <c r="C90" s="3092" t="s">
        <v>2682</v>
      </c>
      <c r="D90" s="3092" t="s">
        <v>2683</v>
      </c>
      <c r="E90" s="3118">
        <v>0.1</v>
      </c>
      <c r="F90" s="3118">
        <v>15</v>
      </c>
    </row>
    <row r="91" spans="1:6" ht="24">
      <c r="A91" s="3118">
        <v>17</v>
      </c>
      <c r="B91" s="3787"/>
      <c r="C91" s="3092" t="s">
        <v>2684</v>
      </c>
      <c r="D91" s="3092" t="s">
        <v>2685</v>
      </c>
      <c r="E91" s="3118">
        <v>0.1</v>
      </c>
      <c r="F91" s="3118">
        <v>15</v>
      </c>
    </row>
    <row r="92" spans="1:6" ht="14.4">
      <c r="A92" s="3118">
        <v>18</v>
      </c>
      <c r="B92" s="3786" t="s">
        <v>2686</v>
      </c>
      <c r="C92" s="3092" t="s">
        <v>2687</v>
      </c>
      <c r="D92" s="3092" t="s">
        <v>2688</v>
      </c>
      <c r="E92" s="3118">
        <v>0.2</v>
      </c>
      <c r="F92" s="3118">
        <v>25</v>
      </c>
    </row>
    <row r="93" spans="1:6" ht="24">
      <c r="A93" s="3118">
        <v>19</v>
      </c>
      <c r="B93" s="3788"/>
      <c r="C93" s="3092" t="s">
        <v>2689</v>
      </c>
      <c r="D93" s="3092" t="s">
        <v>2690</v>
      </c>
      <c r="E93" s="3118">
        <v>0.2</v>
      </c>
      <c r="F93" s="3118">
        <v>25</v>
      </c>
    </row>
    <row r="94" spans="1:6" ht="14.4">
      <c r="A94" s="3118">
        <v>20</v>
      </c>
      <c r="B94" s="3788"/>
      <c r="C94" s="3092" t="s">
        <v>2691</v>
      </c>
      <c r="D94" s="3092" t="s">
        <v>2692</v>
      </c>
      <c r="E94" s="3118">
        <v>0.15</v>
      </c>
      <c r="F94" s="3118">
        <v>20</v>
      </c>
    </row>
    <row r="95" spans="1:6" ht="24">
      <c r="A95" s="3118">
        <v>21</v>
      </c>
      <c r="B95" s="3788"/>
      <c r="C95" s="3092" t="s">
        <v>2693</v>
      </c>
      <c r="D95" s="3092" t="s">
        <v>2694</v>
      </c>
      <c r="E95" s="3118">
        <v>0.15</v>
      </c>
      <c r="F95" s="3118">
        <v>20</v>
      </c>
    </row>
    <row r="96" spans="1:6" ht="24">
      <c r="A96" s="3118">
        <v>22</v>
      </c>
      <c r="B96" s="3788"/>
      <c r="C96" s="3092" t="s">
        <v>2695</v>
      </c>
      <c r="D96" s="3092" t="s">
        <v>2696</v>
      </c>
      <c r="E96" s="3118">
        <v>0.15</v>
      </c>
      <c r="F96" s="3118">
        <v>20</v>
      </c>
    </row>
    <row r="97" spans="1:6" ht="36">
      <c r="A97" s="3118">
        <v>23</v>
      </c>
      <c r="B97" s="3788"/>
      <c r="C97" s="3092" t="s">
        <v>2697</v>
      </c>
      <c r="D97" s="3092" t="s">
        <v>2698</v>
      </c>
      <c r="E97" s="3118">
        <v>0.15</v>
      </c>
      <c r="F97" s="3118">
        <v>20</v>
      </c>
    </row>
    <row r="98" spans="1:6" ht="24">
      <c r="A98" s="3118">
        <v>24</v>
      </c>
      <c r="B98" s="3788"/>
      <c r="C98" s="3092" t="s">
        <v>2699</v>
      </c>
      <c r="D98" s="3092" t="s">
        <v>2700</v>
      </c>
      <c r="E98" s="3118">
        <v>0.1</v>
      </c>
      <c r="F98" s="3118">
        <v>15</v>
      </c>
    </row>
    <row r="99" spans="1:6" ht="24">
      <c r="A99" s="3118">
        <v>25</v>
      </c>
      <c r="B99" s="3788"/>
      <c r="C99" s="3092" t="s">
        <v>2701</v>
      </c>
      <c r="D99" s="3092" t="s">
        <v>2702</v>
      </c>
      <c r="E99" s="3118">
        <v>0.1</v>
      </c>
      <c r="F99" s="3118">
        <v>15</v>
      </c>
    </row>
    <row r="100" spans="1:6" ht="24">
      <c r="A100" s="3118">
        <v>26</v>
      </c>
      <c r="B100" s="3788"/>
      <c r="C100" s="3092" t="s">
        <v>2703</v>
      </c>
      <c r="D100" s="3092" t="s">
        <v>2704</v>
      </c>
      <c r="E100" s="3118">
        <v>0.1</v>
      </c>
      <c r="F100" s="3118">
        <v>15</v>
      </c>
    </row>
    <row r="101" spans="1:6" ht="24">
      <c r="A101" s="3118">
        <v>27</v>
      </c>
      <c r="B101" s="3788"/>
      <c r="C101" s="3092" t="s">
        <v>2705</v>
      </c>
      <c r="D101" s="3092" t="s">
        <v>2706</v>
      </c>
      <c r="E101" s="3118">
        <v>0.1</v>
      </c>
      <c r="F101" s="3118">
        <v>15</v>
      </c>
    </row>
    <row r="102" spans="1:6" ht="24">
      <c r="A102" s="3118">
        <v>28</v>
      </c>
      <c r="B102" s="3788"/>
      <c r="C102" s="3092" t="s">
        <v>2707</v>
      </c>
      <c r="D102" s="3092" t="s">
        <v>2708</v>
      </c>
      <c r="E102" s="3118">
        <v>0.1</v>
      </c>
      <c r="F102" s="3118">
        <v>15</v>
      </c>
    </row>
    <row r="103" spans="1:6" ht="24">
      <c r="A103" s="3118">
        <v>29</v>
      </c>
      <c r="B103" s="3788"/>
      <c r="C103" s="3092" t="s">
        <v>2709</v>
      </c>
      <c r="D103" s="3092" t="s">
        <v>2710</v>
      </c>
      <c r="E103" s="3118">
        <v>0.1</v>
      </c>
      <c r="F103" s="3118">
        <v>15</v>
      </c>
    </row>
    <row r="104" spans="1:6" ht="24">
      <c r="A104" s="3118">
        <v>30</v>
      </c>
      <c r="B104" s="3788"/>
      <c r="C104" s="3092" t="s">
        <v>2711</v>
      </c>
      <c r="D104" s="3092" t="s">
        <v>2712</v>
      </c>
      <c r="E104" s="3118">
        <v>0.1</v>
      </c>
      <c r="F104" s="3118">
        <v>15</v>
      </c>
    </row>
    <row r="105" spans="1:6" ht="24">
      <c r="A105" s="3118">
        <v>31</v>
      </c>
      <c r="B105" s="3788"/>
      <c r="C105" s="3092" t="s">
        <v>2713</v>
      </c>
      <c r="D105" s="3092" t="s">
        <v>2714</v>
      </c>
      <c r="E105" s="3118">
        <v>0.1</v>
      </c>
      <c r="F105" s="3118">
        <v>15</v>
      </c>
    </row>
    <row r="106" spans="1:6" ht="24">
      <c r="A106" s="3118">
        <v>32</v>
      </c>
      <c r="B106" s="3788"/>
      <c r="C106" s="3092" t="s">
        <v>2715</v>
      </c>
      <c r="D106" s="3092" t="s">
        <v>2716</v>
      </c>
      <c r="E106" s="3118">
        <v>0.1</v>
      </c>
      <c r="F106" s="3118">
        <v>15</v>
      </c>
    </row>
    <row r="107" spans="1:6" ht="24">
      <c r="A107" s="3118">
        <v>33</v>
      </c>
      <c r="B107" s="3788"/>
      <c r="C107" s="3092" t="s">
        <v>2717</v>
      </c>
      <c r="D107" s="3092" t="s">
        <v>2718</v>
      </c>
      <c r="E107" s="3118">
        <v>0.1</v>
      </c>
      <c r="F107" s="3118">
        <v>15</v>
      </c>
    </row>
    <row r="108" spans="1:6" ht="24">
      <c r="A108" s="3118">
        <v>34</v>
      </c>
      <c r="B108" s="3787"/>
      <c r="C108" s="3092" t="s">
        <v>2719</v>
      </c>
      <c r="D108" s="3092" t="s">
        <v>2720</v>
      </c>
      <c r="E108" s="3118">
        <v>0.1</v>
      </c>
      <c r="F108" s="3118">
        <v>15</v>
      </c>
    </row>
    <row r="109" spans="1:6" ht="36">
      <c r="A109" s="3118">
        <v>35</v>
      </c>
      <c r="B109" s="3786" t="s">
        <v>2721</v>
      </c>
      <c r="C109" s="3118" t="s">
        <v>2722</v>
      </c>
      <c r="D109" s="3092" t="s">
        <v>2723</v>
      </c>
      <c r="E109" s="3118">
        <v>0.15</v>
      </c>
      <c r="F109" s="3118">
        <v>20</v>
      </c>
    </row>
    <row r="110" spans="1:6" ht="24">
      <c r="A110" s="3118">
        <v>36</v>
      </c>
      <c r="B110" s="3788"/>
      <c r="C110" s="3118" t="s">
        <v>2724</v>
      </c>
      <c r="D110" s="3092" t="s">
        <v>2725</v>
      </c>
      <c r="E110" s="3118">
        <v>0.15</v>
      </c>
      <c r="F110" s="3118">
        <v>20</v>
      </c>
    </row>
    <row r="111" spans="1:6" ht="24">
      <c r="A111" s="3118">
        <v>37</v>
      </c>
      <c r="B111" s="3788"/>
      <c r="C111" s="3118" t="s">
        <v>2726</v>
      </c>
      <c r="D111" s="3092" t="s">
        <v>2727</v>
      </c>
      <c r="E111" s="3118">
        <v>0.15</v>
      </c>
      <c r="F111" s="3118">
        <v>20</v>
      </c>
    </row>
    <row r="112" spans="1:6" ht="24">
      <c r="A112" s="3118">
        <v>38</v>
      </c>
      <c r="B112" s="3788"/>
      <c r="C112" s="3118" t="s">
        <v>2728</v>
      </c>
      <c r="D112" s="3092" t="s">
        <v>2729</v>
      </c>
      <c r="E112" s="3118">
        <v>0.1</v>
      </c>
      <c r="F112" s="3118">
        <v>15</v>
      </c>
    </row>
    <row r="113" spans="1:6" ht="24">
      <c r="A113" s="3118">
        <v>39</v>
      </c>
      <c r="B113" s="3788"/>
      <c r="C113" s="3118" t="s">
        <v>2730</v>
      </c>
      <c r="D113" s="3092" t="s">
        <v>2731</v>
      </c>
      <c r="E113" s="3118">
        <v>0.1</v>
      </c>
      <c r="F113" s="3118">
        <v>15</v>
      </c>
    </row>
    <row r="114" spans="1:6" ht="24">
      <c r="A114" s="3118">
        <v>40</v>
      </c>
      <c r="B114" s="3787"/>
      <c r="C114" s="3118" t="s">
        <v>2732</v>
      </c>
      <c r="D114" s="3092" t="s">
        <v>2733</v>
      </c>
      <c r="E114" s="3118">
        <v>0.1</v>
      </c>
      <c r="F114" s="3118">
        <v>15</v>
      </c>
    </row>
    <row r="115" spans="1:6" ht="24">
      <c r="A115" s="3118">
        <v>41</v>
      </c>
      <c r="B115" s="3785" t="s">
        <v>2734</v>
      </c>
      <c r="C115" s="3118" t="s">
        <v>2735</v>
      </c>
      <c r="D115" s="3092" t="s">
        <v>2736</v>
      </c>
      <c r="E115" s="3118">
        <v>0.1</v>
      </c>
      <c r="F115" s="3118">
        <v>15</v>
      </c>
    </row>
    <row r="116" spans="1:6" ht="24">
      <c r="A116" s="3118">
        <v>42</v>
      </c>
      <c r="B116" s="3785"/>
      <c r="C116" s="3118" t="s">
        <v>2737</v>
      </c>
      <c r="D116" s="3092" t="s">
        <v>2738</v>
      </c>
      <c r="E116" s="3118">
        <v>0.1</v>
      </c>
      <c r="F116" s="3118">
        <v>15</v>
      </c>
    </row>
    <row r="117" spans="1:6" ht="24">
      <c r="A117" s="3118">
        <v>43</v>
      </c>
      <c r="B117" s="3785"/>
      <c r="C117" s="3118" t="s">
        <v>2739</v>
      </c>
      <c r="D117" s="3092" t="s">
        <v>2740</v>
      </c>
      <c r="E117" s="3118">
        <v>0.1</v>
      </c>
      <c r="F117" s="3118">
        <v>15</v>
      </c>
    </row>
    <row r="118" spans="1:6" ht="24">
      <c r="A118" s="3118">
        <v>44</v>
      </c>
      <c r="B118" s="3786" t="s">
        <v>2741</v>
      </c>
      <c r="C118" s="3118" t="s">
        <v>2742</v>
      </c>
      <c r="D118" s="3092" t="s">
        <v>2743</v>
      </c>
      <c r="E118" s="3118">
        <v>0.1</v>
      </c>
      <c r="F118" s="3118">
        <v>15</v>
      </c>
    </row>
    <row r="119" spans="1:6" ht="24">
      <c r="A119" s="3118">
        <v>45</v>
      </c>
      <c r="B119" s="3787"/>
      <c r="C119" s="3092" t="s">
        <v>2744</v>
      </c>
      <c r="D119" s="3092" t="s">
        <v>2745</v>
      </c>
      <c r="E119" s="3118">
        <v>0.1</v>
      </c>
      <c r="F119" s="3118">
        <v>15</v>
      </c>
    </row>
    <row r="120" spans="1:6" ht="24">
      <c r="A120" s="3118">
        <v>46</v>
      </c>
      <c r="B120" s="3786" t="s">
        <v>2746</v>
      </c>
      <c r="C120" s="3118" t="s">
        <v>2747</v>
      </c>
      <c r="D120" s="3092" t="s">
        <v>2748</v>
      </c>
      <c r="E120" s="3118">
        <v>0.1</v>
      </c>
      <c r="F120" s="3118">
        <v>15</v>
      </c>
    </row>
    <row r="121" spans="1:6" ht="24">
      <c r="A121" s="3118">
        <v>47</v>
      </c>
      <c r="B121" s="3787"/>
      <c r="C121" s="3118" t="s">
        <v>2749</v>
      </c>
      <c r="D121" s="3092" t="s">
        <v>2750</v>
      </c>
      <c r="E121" s="3118">
        <v>0.1</v>
      </c>
      <c r="F121" s="3118">
        <v>15</v>
      </c>
    </row>
    <row r="122" spans="1:6" ht="24">
      <c r="A122" s="3118">
        <v>48</v>
      </c>
      <c r="B122" s="3786" t="s">
        <v>2751</v>
      </c>
      <c r="C122" s="3118" t="s">
        <v>2752</v>
      </c>
      <c r="D122" s="3092" t="s">
        <v>2753</v>
      </c>
      <c r="E122" s="3118">
        <v>0.1</v>
      </c>
      <c r="F122" s="3118">
        <v>15</v>
      </c>
    </row>
    <row r="123" spans="1:6" ht="24">
      <c r="A123" s="3118">
        <v>49</v>
      </c>
      <c r="B123" s="3787"/>
      <c r="C123" s="3118" t="s">
        <v>2754</v>
      </c>
      <c r="D123" s="3092" t="s">
        <v>2755</v>
      </c>
      <c r="E123" s="3118">
        <v>0.1</v>
      </c>
      <c r="F123" s="3118">
        <v>15</v>
      </c>
    </row>
    <row r="124" spans="1:6" ht="24">
      <c r="A124" s="3118">
        <v>50</v>
      </c>
      <c r="B124" s="3785" t="s">
        <v>2756</v>
      </c>
      <c r="C124" s="3118" t="s">
        <v>2757</v>
      </c>
      <c r="D124" s="3092" t="s">
        <v>2758</v>
      </c>
      <c r="E124" s="3118">
        <v>0.1</v>
      </c>
      <c r="F124" s="3118">
        <v>15</v>
      </c>
    </row>
    <row r="125" spans="1:6" ht="24">
      <c r="A125" s="3118">
        <v>51</v>
      </c>
      <c r="B125" s="3785"/>
      <c r="C125" s="3118" t="s">
        <v>2759</v>
      </c>
      <c r="D125" s="3092" t="s">
        <v>2760</v>
      </c>
      <c r="E125" s="3118">
        <v>0.1</v>
      </c>
      <c r="F125" s="3118">
        <v>15</v>
      </c>
    </row>
    <row r="126" spans="1:6" ht="24">
      <c r="A126" s="3118">
        <v>52</v>
      </c>
      <c r="B126" s="3785" t="s">
        <v>2761</v>
      </c>
      <c r="C126" s="3118" t="s">
        <v>2762</v>
      </c>
      <c r="D126" s="3092" t="s">
        <v>2763</v>
      </c>
      <c r="E126" s="3118">
        <v>0.1</v>
      </c>
      <c r="F126" s="3118">
        <v>15</v>
      </c>
    </row>
    <row r="127" spans="1:6" ht="24">
      <c r="A127" s="3118">
        <v>53</v>
      </c>
      <c r="B127" s="3785"/>
      <c r="C127" s="3118" t="s">
        <v>2764</v>
      </c>
      <c r="D127" s="3092" t="s">
        <v>2765</v>
      </c>
      <c r="E127" s="3118">
        <v>0.1</v>
      </c>
      <c r="F127" s="3118">
        <v>15</v>
      </c>
    </row>
    <row r="128" spans="1:6" ht="24">
      <c r="A128" s="3118">
        <v>54</v>
      </c>
      <c r="B128" s="3118" t="s">
        <v>2766</v>
      </c>
      <c r="C128" s="3118" t="s">
        <v>2767</v>
      </c>
      <c r="D128" s="3092" t="s">
        <v>2768</v>
      </c>
      <c r="E128" s="3118">
        <v>0.1</v>
      </c>
      <c r="F128" s="3118">
        <v>15</v>
      </c>
    </row>
    <row r="129" spans="1:6" ht="24">
      <c r="A129" s="3118">
        <v>55</v>
      </c>
      <c r="B129" s="3785" t="s">
        <v>2769</v>
      </c>
      <c r="C129" s="3118" t="s">
        <v>2770</v>
      </c>
      <c r="D129" s="3092" t="s">
        <v>2771</v>
      </c>
      <c r="E129" s="3118">
        <v>0.1</v>
      </c>
      <c r="F129" s="3118">
        <v>15</v>
      </c>
    </row>
    <row r="130" spans="1:6" ht="24">
      <c r="A130" s="3118">
        <v>56</v>
      </c>
      <c r="B130" s="3785"/>
      <c r="C130" s="3118" t="s">
        <v>2772</v>
      </c>
      <c r="D130" s="3092" t="s">
        <v>2773</v>
      </c>
      <c r="E130" s="3118">
        <v>0.1</v>
      </c>
      <c r="F130" s="3118">
        <v>15</v>
      </c>
    </row>
    <row r="131" spans="1:6" ht="24">
      <c r="A131" s="3118">
        <v>57</v>
      </c>
      <c r="B131" s="3785"/>
      <c r="C131" s="3118" t="s">
        <v>2774</v>
      </c>
      <c r="D131" s="3092" t="s">
        <v>2775</v>
      </c>
      <c r="E131" s="3118">
        <v>0.1</v>
      </c>
      <c r="F131" s="3118">
        <v>15</v>
      </c>
    </row>
    <row r="132" spans="1:6" ht="24">
      <c r="A132" s="3118">
        <v>58</v>
      </c>
      <c r="B132" s="3785" t="s">
        <v>2776</v>
      </c>
      <c r="C132" s="3118" t="s">
        <v>2777</v>
      </c>
      <c r="D132" s="3092" t="s">
        <v>2778</v>
      </c>
      <c r="E132" s="3118">
        <v>0.1</v>
      </c>
      <c r="F132" s="3118">
        <v>15</v>
      </c>
    </row>
    <row r="133" spans="1:6" ht="24">
      <c r="A133" s="3118">
        <v>59</v>
      </c>
      <c r="B133" s="3785"/>
      <c r="C133" s="3118" t="s">
        <v>2779</v>
      </c>
      <c r="D133" s="3092" t="s">
        <v>2780</v>
      </c>
      <c r="E133" s="3118">
        <v>0.1</v>
      </c>
      <c r="F133" s="3118">
        <v>15</v>
      </c>
    </row>
    <row r="134" spans="1:6" ht="24">
      <c r="A134" s="3118">
        <v>60</v>
      </c>
      <c r="B134" s="3786" t="s">
        <v>2781</v>
      </c>
      <c r="C134" s="3118" t="s">
        <v>2782</v>
      </c>
      <c r="D134" s="3092" t="s">
        <v>2783</v>
      </c>
      <c r="E134" s="3118">
        <v>0.1</v>
      </c>
      <c r="F134" s="3118">
        <v>15</v>
      </c>
    </row>
    <row r="135" spans="1:6" ht="24">
      <c r="A135" s="3118">
        <v>61</v>
      </c>
      <c r="B135" s="3787"/>
      <c r="C135" s="3118" t="s">
        <v>2784</v>
      </c>
      <c r="D135" s="3092" t="s">
        <v>2785</v>
      </c>
      <c r="E135" s="3118">
        <v>0.1</v>
      </c>
      <c r="F135" s="3118">
        <v>15</v>
      </c>
    </row>
    <row r="136" spans="1:6" ht="24">
      <c r="A136" s="3118">
        <v>62</v>
      </c>
      <c r="B136" s="3118" t="s">
        <v>2786</v>
      </c>
      <c r="C136" s="3118" t="s">
        <v>2787</v>
      </c>
      <c r="D136" s="3092" t="s">
        <v>2788</v>
      </c>
      <c r="E136" s="3118">
        <v>0.1</v>
      </c>
      <c r="F136" s="3118">
        <v>15</v>
      </c>
    </row>
    <row r="137" spans="1:6" ht="24">
      <c r="A137" s="3118">
        <v>63</v>
      </c>
      <c r="B137" s="3785" t="s">
        <v>2789</v>
      </c>
      <c r="C137" s="3118" t="s">
        <v>2790</v>
      </c>
      <c r="D137" s="3092" t="s">
        <v>2791</v>
      </c>
      <c r="E137" s="3118">
        <v>0.1</v>
      </c>
      <c r="F137" s="3118">
        <v>15</v>
      </c>
    </row>
    <row r="138" spans="1:6" ht="24">
      <c r="A138" s="3118">
        <v>64</v>
      </c>
      <c r="B138" s="3785"/>
      <c r="C138" s="3118" t="s">
        <v>2792</v>
      </c>
      <c r="D138" s="3092" t="s">
        <v>2793</v>
      </c>
      <c r="E138" s="3118">
        <v>0.1</v>
      </c>
      <c r="F138" s="3118">
        <v>15</v>
      </c>
    </row>
    <row r="139" spans="1:6" ht="24">
      <c r="A139" s="3118">
        <v>65</v>
      </c>
      <c r="B139" s="3118" t="s">
        <v>2794</v>
      </c>
      <c r="C139" s="3118" t="s">
        <v>2795</v>
      </c>
      <c r="D139" s="3092" t="s">
        <v>2796</v>
      </c>
      <c r="E139" s="3118">
        <v>0.1</v>
      </c>
      <c r="F139" s="3118">
        <v>15</v>
      </c>
    </row>
    <row r="140" spans="1:6" ht="14.4">
      <c r="A140" s="3118"/>
      <c r="B140" s="3118"/>
      <c r="C140" s="3118"/>
      <c r="D140" s="3118"/>
      <c r="E140" s="3118" t="s">
        <v>2797</v>
      </c>
      <c r="F140" s="3118"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83"/>
      <c r="C2" s="3483"/>
      <c r="D2" s="3483"/>
      <c r="E2" s="3483"/>
    </row>
    <row r="3" spans="1:5" ht="17.399999999999999">
      <c r="A3" s="3484" t="str">
        <f>IF(项目基本情况!B9="房地产市场价值","估价结果一览表（市场价值不需“结果表-1”）","估价结果一览表")</f>
        <v>估价结果一览表（市场价值不需“结果表-1”）</v>
      </c>
      <c r="B3" s="3484"/>
      <c r="C3" s="3484"/>
      <c r="D3" s="3484"/>
      <c r="E3" s="3484"/>
    </row>
    <row r="4" spans="1:5" ht="18" thickBot="1">
      <c r="A4" s="1493"/>
      <c r="B4" s="3482" t="s">
        <v>917</v>
      </c>
      <c r="C4" s="3482"/>
      <c r="D4" s="3482"/>
      <c r="E4" s="1493"/>
    </row>
    <row r="5" spans="1:5" ht="16.2" thickTop="1">
      <c r="A5" s="1491"/>
      <c r="B5" s="3480" t="s">
        <v>909</v>
      </c>
      <c r="C5" s="1494" t="s">
        <v>910</v>
      </c>
      <c r="D5" s="850" t="e">
        <f ca="1">结果表!H101</f>
        <v>#REF!</v>
      </c>
      <c r="E5" s="1491"/>
    </row>
    <row r="6" spans="1:5" ht="15.6">
      <c r="A6" s="1491"/>
      <c r="B6" s="3480"/>
      <c r="C6" s="1494" t="s">
        <v>911</v>
      </c>
      <c r="D6" s="850" t="e">
        <f ca="1">NUMBERSTRING(INT(D5*10000),2)&amp;"元整"</f>
        <v>#REF!</v>
      </c>
      <c r="E6" s="1491"/>
    </row>
    <row r="7" spans="1:5" ht="15.6">
      <c r="A7" s="1491"/>
      <c r="B7" s="3485"/>
      <c r="C7" s="1495" t="s">
        <v>912</v>
      </c>
      <c r="D7" s="851" t="e">
        <f ca="1">结果表!H102</f>
        <v>#REF!</v>
      </c>
      <c r="E7" s="1491"/>
    </row>
    <row r="8" spans="1:5" ht="15.6">
      <c r="A8" s="1491"/>
      <c r="B8" s="3486" t="str">
        <f>结果表!E103</f>
        <v>2.估价师知悉的法定优先受偿款</v>
      </c>
      <c r="C8" s="1496" t="s">
        <v>913</v>
      </c>
      <c r="D8" s="851">
        <f>结果表!H103</f>
        <v>0</v>
      </c>
      <c r="E8" s="1491"/>
    </row>
    <row r="9" spans="1:5" ht="15.6">
      <c r="A9" s="1491"/>
      <c r="B9" s="3488"/>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79" t="str">
        <f>结果表!E107</f>
        <v>3.房地产抵押价值</v>
      </c>
      <c r="C13" s="1499" t="s">
        <v>910</v>
      </c>
      <c r="D13" s="853" t="e">
        <f ca="1">结果表!H107</f>
        <v>#REF!</v>
      </c>
      <c r="E13" s="1491"/>
    </row>
    <row r="14" spans="1:5" ht="15.6">
      <c r="A14" s="1491"/>
      <c r="B14" s="3480"/>
      <c r="C14" s="1494" t="s">
        <v>911</v>
      </c>
      <c r="D14" s="850" t="e">
        <f ca="1">NUMBERSTRING(INT(D13*10000),2)&amp;"元整"</f>
        <v>#REF!</v>
      </c>
      <c r="E14" s="1491"/>
    </row>
    <row r="15" spans="1:5" ht="15.6">
      <c r="A15" s="1491"/>
      <c r="B15" s="3485"/>
      <c r="C15" s="1495" t="s">
        <v>921</v>
      </c>
      <c r="D15" s="859" t="e">
        <f ca="1">结果表!H108</f>
        <v>#REF!</v>
      </c>
      <c r="E15" s="1491"/>
    </row>
    <row r="16" spans="1:5" ht="15.6">
      <c r="A16" s="1491"/>
      <c r="B16" s="3486" t="str">
        <f>结果表!E109</f>
        <v>——</v>
      </c>
      <c r="C16" s="1499" t="s">
        <v>922</v>
      </c>
      <c r="D16" s="1500" t="str">
        <f>结果表!H109</f>
        <v>——</v>
      </c>
      <c r="E16" s="1491"/>
    </row>
    <row r="17" spans="1:5" ht="15.6">
      <c r="A17" s="1491"/>
      <c r="B17" s="3487"/>
      <c r="C17" s="1494" t="s">
        <v>923</v>
      </c>
      <c r="D17" s="850" t="e">
        <f>NUMBERSTRING(INT(D16*10000),2)&amp;"元整"</f>
        <v>#VALUE!</v>
      </c>
      <c r="E17" s="1491"/>
    </row>
    <row r="18" spans="1:5" ht="15.6">
      <c r="A18" s="1491"/>
      <c r="B18" s="3488"/>
      <c r="C18" s="1495" t="s">
        <v>912</v>
      </c>
      <c r="D18" s="859" t="str">
        <f>结果表!H110</f>
        <v>——</v>
      </c>
      <c r="E18" s="1491"/>
    </row>
    <row r="19" spans="1:5" ht="15.6">
      <c r="A19" s="1491"/>
      <c r="B19" s="3479" t="str">
        <f>结果表!E111</f>
        <v>——</v>
      </c>
      <c r="C19" s="1499" t="s">
        <v>910</v>
      </c>
      <c r="D19" s="851" t="str">
        <f>结果表!H111</f>
        <v>——</v>
      </c>
      <c r="E19" s="1491"/>
    </row>
    <row r="20" spans="1:5" ht="15.6">
      <c r="A20" s="1491"/>
      <c r="B20" s="3480"/>
      <c r="C20" s="1494" t="s">
        <v>923</v>
      </c>
      <c r="D20" s="850" t="e">
        <f>NUMBERSTRING(INT(D19*10000),2)&amp;"元整"</f>
        <v>#VALUE!</v>
      </c>
      <c r="E20" s="1491"/>
    </row>
    <row r="21" spans="1:5" ht="16.2" thickBot="1">
      <c r="A21" s="1491"/>
      <c r="B21" s="3481"/>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30094</v>
      </c>
      <c r="C2" s="2" t="s">
        <v>106</v>
      </c>
      <c r="D2" s="199"/>
      <c r="E2" s="199"/>
      <c r="F2" s="199"/>
      <c r="G2" s="199"/>
    </row>
    <row r="3" spans="1:7" s="200" customFormat="1" ht="18" customHeight="1" thickBot="1">
      <c r="A3" s="203" t="s">
        <v>58</v>
      </c>
      <c r="B3" s="204">
        <f ca="1">ROUND(B2*10000/'数据-汇总表'!E3,0)</f>
        <v>53050</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113</v>
      </c>
      <c r="D10" s="845">
        <f>'数据-汇总表'!E6</f>
        <v>5672.8</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113</v>
      </c>
      <c r="D19" s="849">
        <f>'数据-汇总表'!E3</f>
        <v>5672.8</v>
      </c>
      <c r="E19" s="211">
        <f>'数据-取费表'!B31</f>
        <v>200</v>
      </c>
      <c r="F19" s="231"/>
      <c r="G19" s="1" t="s">
        <v>436</v>
      </c>
    </row>
    <row r="20" spans="1:7" s="214" customFormat="1" ht="13.5" customHeight="1">
      <c r="A20" s="777" t="s">
        <v>419</v>
      </c>
      <c r="B20" s="210" t="s">
        <v>77</v>
      </c>
      <c r="C20" s="232">
        <f>ROUND((C5+C19)*F20,0)</f>
        <v>414</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1330</v>
      </c>
      <c r="D22" s="235">
        <f ca="1">C26</f>
        <v>5.9999999999999995E-4</v>
      </c>
      <c r="E22" s="236" t="s">
        <v>99</v>
      </c>
      <c r="F22" s="237">
        <f ca="1">'数据-取费表'!B40</f>
        <v>3.1300000000000001E-2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1310</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7</v>
      </c>
      <c r="D24" s="238"/>
      <c r="E24" s="238"/>
      <c r="F24" s="239"/>
      <c r="G24" s="240" t="s">
        <v>82</v>
      </c>
    </row>
    <row r="25" spans="1:7" s="214" customFormat="1" ht="24">
      <c r="A25" s="780" t="s">
        <v>348</v>
      </c>
      <c r="B25" s="215" t="s">
        <v>420</v>
      </c>
      <c r="C25" s="1105">
        <f ca="1">ROUND(IF('数据-取费表'!B22&lt;=1,C20*F22*'数据-取费表'!B23/2,C20*(POWER((1+F22),'数据-取费表'!B23/2)-1)),0)</f>
        <v>13</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6.4">
      <c r="A27" s="777" t="s">
        <v>342</v>
      </c>
      <c r="B27" s="244" t="s">
        <v>85</v>
      </c>
      <c r="C27" s="245">
        <f>C28</f>
        <v>2114</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2114</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26601</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3290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2836</v>
      </c>
      <c r="D34" s="217"/>
      <c r="E34" s="220"/>
      <c r="F34" s="257">
        <f>IF('数据-取费表'!B24=0,1,'数据-取费表'!N16)</f>
        <v>1</v>
      </c>
      <c r="G34" s="219" t="s">
        <v>89</v>
      </c>
    </row>
    <row r="35" spans="1:7" ht="13.5" customHeight="1">
      <c r="A35" s="780" t="s">
        <v>351</v>
      </c>
      <c r="B35" s="215" t="s">
        <v>33</v>
      </c>
      <c r="C35" s="220">
        <f>ROUND(C34*F35,0)</f>
        <v>284</v>
      </c>
      <c r="D35" s="220"/>
      <c r="E35" s="220"/>
      <c r="F35" s="259">
        <f>'数据-取费表'!B33</f>
        <v>0.1</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113</v>
      </c>
      <c r="D37" s="217">
        <f>'数据-汇总表'!E3</f>
        <v>5672.8</v>
      </c>
      <c r="E37" s="249">
        <f>'数据-取费表'!B35</f>
        <v>200</v>
      </c>
      <c r="F37" s="259"/>
      <c r="G37" s="261" t="s">
        <v>92</v>
      </c>
    </row>
    <row r="38" spans="1:7" ht="13.5" customHeight="1">
      <c r="A38" s="780" t="s">
        <v>354</v>
      </c>
      <c r="B38" s="215" t="s">
        <v>36</v>
      </c>
      <c r="C38" s="220">
        <f>ROUND(C34*F38,0)</f>
        <v>57</v>
      </c>
      <c r="D38" s="220"/>
      <c r="E38" s="220"/>
      <c r="F38" s="259">
        <f>'数据-取费表'!B36</f>
        <v>0.02</v>
      </c>
      <c r="G38" s="219" t="s">
        <v>90</v>
      </c>
    </row>
    <row r="39" spans="1:7" s="214" customFormat="1" ht="13.5" customHeight="1">
      <c r="A39" s="777" t="s">
        <v>338</v>
      </c>
      <c r="B39" s="210" t="s">
        <v>77</v>
      </c>
      <c r="C39" s="232">
        <f>ROUND(C33*F20,0)</f>
        <v>66</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105</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103</v>
      </c>
      <c r="D42" s="238"/>
      <c r="E42" s="238"/>
      <c r="F42" s="239"/>
      <c r="G42" s="3661" t="s">
        <v>94</v>
      </c>
    </row>
    <row r="43" spans="1:7" ht="13.5" customHeight="1">
      <c r="A43" s="780" t="s">
        <v>347</v>
      </c>
      <c r="B43" s="215" t="s">
        <v>426</v>
      </c>
      <c r="C43" s="238">
        <f ca="1">ROUND(IF('数据-取费表'!B22&lt;=1,C39*F22*'数据-取费表'!B21/2,C39*(POWER((1+F22),'数据-取费表'!B21/2)-1)),0)</f>
        <v>2</v>
      </c>
      <c r="D43" s="238"/>
      <c r="E43" s="238"/>
      <c r="F43" s="239"/>
      <c r="G43" s="3662"/>
    </row>
    <row r="44" spans="1:7" ht="13.5" customHeight="1">
      <c r="A44" s="780" t="s">
        <v>348</v>
      </c>
      <c r="B44" s="215" t="s">
        <v>428</v>
      </c>
      <c r="C44" s="238">
        <f ca="1">ROUND(IF('数据-取费表'!B22&lt;=1,C40*F22*'数据-取费表'!B21/2,C40*(POWER((1+F22),'数据-取费表'!B21/2)-1)),4)</f>
        <v>5.9999999999999995E-4</v>
      </c>
      <c r="D44" s="238"/>
      <c r="E44" s="238"/>
      <c r="F44" s="239"/>
      <c r="G44" s="3663"/>
    </row>
    <row r="45" spans="1:7" s="214" customFormat="1" ht="13.5" customHeight="1">
      <c r="A45" s="777" t="s">
        <v>341</v>
      </c>
      <c r="B45" s="244" t="s">
        <v>85</v>
      </c>
      <c r="C45" s="245">
        <f>C46</f>
        <v>336</v>
      </c>
      <c r="D45" s="235">
        <f>C47</f>
        <v>2E-3</v>
      </c>
      <c r="E45" s="236" t="s">
        <v>102</v>
      </c>
      <c r="F45" s="246"/>
      <c r="G45" s="247" t="s">
        <v>434</v>
      </c>
    </row>
    <row r="46" spans="1:7" s="214" customFormat="1" ht="13.5" customHeight="1">
      <c r="A46" s="780" t="s">
        <v>349</v>
      </c>
      <c r="B46" s="248" t="s">
        <v>427</v>
      </c>
      <c r="C46" s="249">
        <f>ROUND((C33+C39)*F27,0)</f>
        <v>336</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4109</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3493</v>
      </c>
      <c r="D51" s="232"/>
      <c r="E51" s="232"/>
      <c r="F51" s="264"/>
      <c r="G51" s="234" t="s">
        <v>37</v>
      </c>
    </row>
    <row r="52" spans="1:7" s="208" customFormat="1" ht="16.8" thickBot="1">
      <c r="A52" s="265" t="s">
        <v>38</v>
      </c>
      <c r="B52" s="266"/>
      <c r="C52" s="267">
        <f ca="1">C31+C51</f>
        <v>30094</v>
      </c>
      <c r="D52" s="266"/>
      <c r="E52" s="266"/>
      <c r="F52" s="266"/>
      <c r="G52" s="268"/>
    </row>
    <row r="55" spans="1:7" ht="15">
      <c r="B55" s="270" t="s">
        <v>39</v>
      </c>
      <c r="C55" s="271"/>
    </row>
    <row r="56" spans="1:7">
      <c r="B56" s="273" t="s">
        <v>40</v>
      </c>
      <c r="C56" s="274">
        <f ca="1">ROUND(C51/C52,3)</f>
        <v>0.11600000000000001</v>
      </c>
    </row>
    <row r="57" spans="1:7">
      <c r="B57" s="273" t="s">
        <v>41</v>
      </c>
      <c r="C57" s="275">
        <f ca="1">1-C56</f>
        <v>0.88400000000000001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799" t="s">
        <v>3181</v>
      </c>
      <c r="B1" s="3799"/>
    </row>
    <row r="2" spans="1:7" ht="15" thickBot="1">
      <c r="A2" s="3255"/>
      <c r="B2" s="3255"/>
    </row>
    <row r="3" spans="1:7" ht="15" thickBot="1">
      <c r="A3" s="3255"/>
      <c r="B3" s="3255"/>
      <c r="C3" s="3256" t="s">
        <v>2811</v>
      </c>
      <c r="D3" s="3256" t="s">
        <v>2867</v>
      </c>
      <c r="E3" s="3256" t="s">
        <v>2813</v>
      </c>
      <c r="F3" s="3256" t="s">
        <v>2868</v>
      </c>
      <c r="G3" s="3256" t="s">
        <v>2631</v>
      </c>
    </row>
    <row r="4" spans="1:7" ht="1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800" t="s">
        <v>3232</v>
      </c>
      <c r="B1" s="3800"/>
      <c r="C1" s="3800"/>
      <c r="D1" s="3800"/>
      <c r="E1" s="3800"/>
      <c r="F1" s="3801"/>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H10" zoomScale="90" zoomScaleNormal="90" workbookViewId="0">
      <selection activeCell="H20" sqref="H20"/>
    </sheetView>
  </sheetViews>
  <sheetFormatPr defaultRowHeight="14.4"/>
  <cols>
    <col min="1" max="1" width="13.88671875" customWidth="1"/>
    <col min="11" max="17" width="0" hidden="1" customWidth="1"/>
    <col min="25" max="30" width="0" hidden="1" customWidth="1"/>
  </cols>
  <sheetData>
    <row r="1" spans="1:44">
      <c r="A1" s="3221">
        <f>基准地价修正!G23</f>
        <v>46022</v>
      </c>
      <c r="B1" s="3210" t="s">
        <v>3376</v>
      </c>
      <c r="C1" s="3211"/>
      <c r="D1" s="3211"/>
      <c r="E1" s="3211"/>
      <c r="F1" s="3211"/>
      <c r="G1" s="3211"/>
      <c r="H1" s="3211"/>
      <c r="I1" s="3211"/>
      <c r="J1" s="3165"/>
      <c r="K1" s="3211" t="s">
        <v>454</v>
      </c>
      <c r="L1" s="3211"/>
      <c r="M1" s="3211"/>
      <c r="N1" s="3211"/>
      <c r="O1" s="3211"/>
      <c r="P1" s="3211"/>
      <c r="Q1" s="3165"/>
      <c r="R1" s="3802" t="s">
        <v>456</v>
      </c>
      <c r="S1" s="3803"/>
      <c r="T1" s="3803"/>
      <c r="U1" s="3803"/>
      <c r="V1" s="3803"/>
      <c r="W1" s="3803"/>
      <c r="X1" s="3165"/>
      <c r="Y1" s="3802" t="s">
        <v>457</v>
      </c>
      <c r="Z1" s="3803"/>
      <c r="AA1" s="3803"/>
      <c r="AB1" s="3803"/>
      <c r="AC1" s="3803"/>
      <c r="AD1" s="3803"/>
    </row>
    <row r="2" spans="1:44" s="3143" customFormat="1" ht="1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3401</v>
      </c>
      <c r="AG2" t="s">
        <v>673</v>
      </c>
      <c r="AH2" t="s">
        <v>21</v>
      </c>
      <c r="AI2" t="s">
        <v>3402</v>
      </c>
      <c r="AJ2" t="s">
        <v>3</v>
      </c>
      <c r="AK2" t="s">
        <v>3403</v>
      </c>
      <c r="AM2" t="s">
        <v>3401</v>
      </c>
      <c r="AN2" t="s">
        <v>673</v>
      </c>
      <c r="AO2" t="s">
        <v>21</v>
      </c>
      <c r="AP2" t="s">
        <v>3402</v>
      </c>
      <c r="AQ2" t="s">
        <v>3</v>
      </c>
      <c r="AR2" t="s">
        <v>3403</v>
      </c>
    </row>
    <row r="3" spans="1:44" s="3161" customFormat="1" ht="13.2">
      <c r="A3" s="3149" t="s">
        <v>2819</v>
      </c>
      <c r="B3" s="3150"/>
      <c r="C3" s="3151"/>
      <c r="D3" s="3151">
        <f>ROUND(AVERAGEIF(D4:D24,"&lt;&gt;0"),2)</f>
        <v>0.33</v>
      </c>
      <c r="E3" s="3151">
        <f t="shared" ref="E3:H3" si="0">ROUND(AVERAGEIF(E4:E24,"&lt;&gt;0"),2)</f>
        <v>0.14000000000000001</v>
      </c>
      <c r="F3" s="3151">
        <f t="shared" si="0"/>
        <v>-0.16</v>
      </c>
      <c r="G3" s="3151">
        <f t="shared" si="0"/>
        <v>0.39</v>
      </c>
      <c r="H3" s="3151">
        <f t="shared" si="0"/>
        <v>0.47</v>
      </c>
      <c r="I3" s="3151">
        <f>F3</f>
        <v>-0.16</v>
      </c>
      <c r="J3" s="3152"/>
      <c r="K3" s="3153">
        <f>ROUND(AVERAGEIF(K4:K24,"&lt;&gt;0"),4)</f>
        <v>3.3E-3</v>
      </c>
      <c r="L3" s="3154">
        <f t="shared" ref="L3:O3" si="1">ROUND(AVERAGEIF(L4:L24,"&lt;&gt;0"),4)</f>
        <v>1.4E-3</v>
      </c>
      <c r="M3" s="3154">
        <f t="shared" si="1"/>
        <v>-1.6000000000000001E-3</v>
      </c>
      <c r="N3" s="3154">
        <f t="shared" si="1"/>
        <v>3.8999999999999998E-3</v>
      </c>
      <c r="O3" s="3154">
        <f t="shared" si="1"/>
        <v>4.7000000000000002E-3</v>
      </c>
      <c r="P3" s="3154">
        <f>M3</f>
        <v>-1.6000000000000001E-3</v>
      </c>
      <c r="Q3" s="3152"/>
      <c r="R3" s="3155">
        <f>ROUND(SUMPRODUCT(PRODUCT(1+K4:K24)),4)</f>
        <v>1.0631999999999999</v>
      </c>
      <c r="S3" s="3156">
        <f t="shared" ref="S3:V3" si="2">ROUND(SUMPRODUCT(PRODUCT(1+L4:L24)),4)</f>
        <v>1.0268999999999999</v>
      </c>
      <c r="T3" s="3156">
        <f t="shared" si="2"/>
        <v>0.97040000000000004</v>
      </c>
      <c r="U3" s="3156">
        <f t="shared" si="2"/>
        <v>1.0765</v>
      </c>
      <c r="V3" s="3156">
        <f t="shared" si="2"/>
        <v>1.0933999999999999</v>
      </c>
      <c r="W3" s="3155">
        <f>T3</f>
        <v>0.97040000000000004</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3400</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1.0529999999999999</v>
      </c>
      <c r="S5" s="3183">
        <f>ROUND(IF(项目基本情况!$B$8="出让",SUMPRODUCT(PRODUCT(1+L5:$L$24)),SUMPRODUCT(PRODUCT(1+L5:$L$23))),4)</f>
        <v>1.0251999999999999</v>
      </c>
      <c r="T5" s="3183">
        <f>ROUND(IF(项目基本情况!$B$8="出让",SUMPRODUCT(PRODUCT(1+M5:$M$24)),SUMPRODUCT(PRODUCT(1+M5:$M$23))),4)</f>
        <v>0.97289999999999999</v>
      </c>
      <c r="U5" s="3183">
        <f>ROUND(IF(项目基本情况!$B$8="出让",SUMPRODUCT(PRODUCT(1+N5:$N$24)),SUMPRODUCT(PRODUCT(1+N5:$N$23))),4)</f>
        <v>1.0647</v>
      </c>
      <c r="V5" s="3183">
        <f>ROUND(IF(项目基本情况!$B$8="出让",SUMPRODUCT(PRODUCT(1+O5:$O$24)),SUMPRODUCT(PRODUCT(1+O5:$O$23))),4)</f>
        <v>1.0894999999999999</v>
      </c>
      <c r="W5" s="3183">
        <f t="shared" ref="W5:W11" si="11">T5</f>
        <v>0.97289999999999999</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105.3</v>
      </c>
      <c r="AG5" s="3458">
        <f t="shared" ref="AG5:AK5" si="18">$AF$24*S5</f>
        <v>102.51999999999998</v>
      </c>
      <c r="AH5" s="3458">
        <f t="shared" si="18"/>
        <v>97.289999999999992</v>
      </c>
      <c r="AI5" s="3458">
        <f t="shared" si="18"/>
        <v>106.47</v>
      </c>
      <c r="AJ5" s="3458">
        <f t="shared" si="18"/>
        <v>108.94999999999999</v>
      </c>
      <c r="AK5" s="3458">
        <f t="shared" si="18"/>
        <v>97.289999999999992</v>
      </c>
      <c r="AM5" s="3464">
        <v>100</v>
      </c>
      <c r="AN5" s="3464">
        <v>100</v>
      </c>
      <c r="AO5" s="3464">
        <v>100</v>
      </c>
      <c r="AP5" s="3464">
        <v>100</v>
      </c>
      <c r="AQ5" s="3464">
        <v>100</v>
      </c>
      <c r="AR5" s="3464">
        <v>100</v>
      </c>
    </row>
    <row r="6" spans="1:44" s="3195" customFormat="1" ht="13.2">
      <c r="A6" s="3186" t="s">
        <v>3414</v>
      </c>
      <c r="B6" s="3187">
        <v>2025</v>
      </c>
      <c r="C6" s="3188">
        <v>3</v>
      </c>
      <c r="D6" s="3189">
        <v>-0.45</v>
      </c>
      <c r="E6" s="3189">
        <v>-0.22</v>
      </c>
      <c r="F6" s="3189">
        <v>-0.82</v>
      </c>
      <c r="G6" s="3189">
        <v>-0.39</v>
      </c>
      <c r="H6" s="3190">
        <v>0.04</v>
      </c>
      <c r="I6" s="3191">
        <f t="shared" ref="I6" si="19">F6</f>
        <v>-0.82</v>
      </c>
      <c r="J6" s="3192"/>
      <c r="K6" s="3193">
        <f t="shared" ref="K6" si="20">D6/100</f>
        <v>-4.5000000000000005E-3</v>
      </c>
      <c r="L6" s="3194">
        <f t="shared" ref="L6" si="21">E6/100</f>
        <v>-2.2000000000000001E-3</v>
      </c>
      <c r="M6" s="3194">
        <f t="shared" ref="M6" si="22">F6/100</f>
        <v>-8.199999999999999E-3</v>
      </c>
      <c r="N6" s="3194">
        <f t="shared" ref="N6" si="23">G6/100</f>
        <v>-3.9000000000000003E-3</v>
      </c>
      <c r="O6" s="3194">
        <f t="shared" ref="O6" si="24">H6/100</f>
        <v>4.0000000000000002E-4</v>
      </c>
      <c r="P6" s="3194">
        <f t="shared" si="10"/>
        <v>-8.199999999999999E-3</v>
      </c>
      <c r="Q6" s="3192"/>
      <c r="R6" s="3192">
        <f>ROUND(IF(项目基本情况!$B$8="出让",SUMPRODUCT(PRODUCT(1+K6:$K$24)),SUMPRODUCT(PRODUCT(1+K6:$K$23))),4)</f>
        <v>1.0529999999999999</v>
      </c>
      <c r="S6" s="3192">
        <f>ROUND(IF(项目基本情况!$B$8="出让",SUMPRODUCT(PRODUCT(1+L6:$L$24)),SUMPRODUCT(PRODUCT(1+L6:$L$23))),4)</f>
        <v>1.0251999999999999</v>
      </c>
      <c r="T6" s="3192">
        <f>ROUND(IF(项目基本情况!$B$8="出让",SUMPRODUCT(PRODUCT(1+M6:$M$24)),SUMPRODUCT(PRODUCT(1+M6:$M$23))),4)</f>
        <v>0.97289999999999999</v>
      </c>
      <c r="U6" s="3192">
        <f>ROUND(IF(项目基本情况!$B$8="出让",SUMPRODUCT(PRODUCT(1+N6:$N$24)),SUMPRODUCT(PRODUCT(1+N6:$N$23))),4)</f>
        <v>1.0647</v>
      </c>
      <c r="V6" s="3192">
        <f>ROUND(IF(项目基本情况!$B$8="出让",SUMPRODUCT(PRODUCT(1+O6:$O$24)),SUMPRODUCT(PRODUCT(1+O6:$O$23))),4)</f>
        <v>1.0894999999999999</v>
      </c>
      <c r="W6" s="3192">
        <f t="shared" si="11"/>
        <v>0.97289999999999999</v>
      </c>
      <c r="X6" s="3192"/>
      <c r="Y6" s="3194">
        <f t="shared" si="12"/>
        <v>1.4E-3</v>
      </c>
      <c r="Z6" s="3194">
        <f t="shared" ref="Z6" si="25">IF(E6=0,0,ROUND(AVERAGE(E6:E19)/100,4))</f>
        <v>5.0000000000000001E-4</v>
      </c>
      <c r="AA6" s="3194">
        <f t="shared" ref="AA6" si="26">IF(F6=0,0,ROUND(AVERAGE(F6:F19)/100,4))</f>
        <v>-2.7000000000000001E-3</v>
      </c>
      <c r="AB6" s="3194">
        <f t="shared" ref="AB6" si="27">IF(G6=0,0,ROUND(AVERAGE(G6:G19)/100,4))</f>
        <v>2E-3</v>
      </c>
      <c r="AC6" s="3194">
        <f t="shared" ref="AC6" si="28">IF(H6=0,0,ROUND(AVERAGE(H6:H19)/100,4))</f>
        <v>4.1999999999999997E-3</v>
      </c>
      <c r="AD6" s="3194">
        <f t="shared" ref="AD6" si="29">AA6</f>
        <v>-2.7000000000000001E-3</v>
      </c>
      <c r="AF6" s="3459">
        <f t="shared" ref="AF6:AF23" si="30">$AF$24*R6</f>
        <v>105.3</v>
      </c>
      <c r="AG6" s="3459">
        <f t="shared" ref="AG6:AG23" si="31">$AF$24*S6</f>
        <v>102.51999999999998</v>
      </c>
      <c r="AH6" s="3459">
        <f t="shared" ref="AH6:AH23" si="32">$AF$24*T6</f>
        <v>97.289999999999992</v>
      </c>
      <c r="AI6" s="3459">
        <f t="shared" ref="AI6:AI23" si="33">$AF$24*U6</f>
        <v>106.47</v>
      </c>
      <c r="AJ6" s="3459">
        <f t="shared" ref="AJ6:AJ23" si="34">$AF$24*V6</f>
        <v>108.94999999999999</v>
      </c>
      <c r="AK6" s="3459">
        <f t="shared" ref="AK6:AK23" si="35">$AF$24*W6</f>
        <v>97.289999999999992</v>
      </c>
      <c r="AM6" s="3459">
        <f>AM5/(1+D5/100)</f>
        <v>100</v>
      </c>
      <c r="AN6" s="3459">
        <f t="shared" ref="AN6:AR6" si="36">AN5/(1+E5/100)</f>
        <v>100</v>
      </c>
      <c r="AO6" s="3459">
        <f t="shared" si="36"/>
        <v>100</v>
      </c>
      <c r="AP6" s="3459">
        <f t="shared" si="36"/>
        <v>100</v>
      </c>
      <c r="AQ6" s="3459">
        <f t="shared" si="36"/>
        <v>100</v>
      </c>
      <c r="AR6" s="3459">
        <f t="shared" si="36"/>
        <v>100</v>
      </c>
    </row>
    <row r="7" spans="1:44" s="3185" customFormat="1" ht="13.2">
      <c r="A7" s="2205" t="s">
        <v>3415</v>
      </c>
      <c r="B7" s="3177">
        <v>2025</v>
      </c>
      <c r="C7" s="3178">
        <v>2</v>
      </c>
      <c r="D7" s="3179">
        <v>0.05</v>
      </c>
      <c r="E7" s="3179">
        <v>-0.62</v>
      </c>
      <c r="F7" s="3179">
        <v>-1.05</v>
      </c>
      <c r="G7" s="3179">
        <v>0.09</v>
      </c>
      <c r="H7" s="3179">
        <v>0.17</v>
      </c>
      <c r="I7" s="3180">
        <f t="shared" ref="I7" si="37">F7</f>
        <v>-1.05</v>
      </c>
      <c r="J7" s="3181"/>
      <c r="K7" s="3182">
        <f t="shared" ref="K7" si="38">D7/100</f>
        <v>5.0000000000000001E-4</v>
      </c>
      <c r="L7" s="3172">
        <f t="shared" ref="L7" si="39">E7/100</f>
        <v>-6.1999999999999998E-3</v>
      </c>
      <c r="M7" s="3172">
        <f t="shared" ref="M7" si="40">F7/100</f>
        <v>-1.0500000000000001E-2</v>
      </c>
      <c r="N7" s="3172">
        <f t="shared" ref="N7" si="41">G7/100</f>
        <v>8.9999999999999998E-4</v>
      </c>
      <c r="O7" s="3172">
        <f t="shared" ref="O7" si="42">H7/100</f>
        <v>1.7000000000000001E-3</v>
      </c>
      <c r="P7" s="3172">
        <f t="shared" si="10"/>
        <v>-1.0500000000000001E-2</v>
      </c>
      <c r="Q7" s="3181"/>
      <c r="R7" s="3183">
        <f>ROUND(IF(项目基本情况!$B$8="出让",SUMPRODUCT(PRODUCT(1+K7:$K$24)),SUMPRODUCT(PRODUCT(1+K7:$K$23))),4)</f>
        <v>1.0577000000000001</v>
      </c>
      <c r="S7" s="3183">
        <f>ROUND(IF(项目基本情况!$B$8="出让",SUMPRODUCT(PRODUCT(1+L7:$L$24)),SUMPRODUCT(PRODUCT(1+L7:$L$23))),4)</f>
        <v>1.0275000000000001</v>
      </c>
      <c r="T7" s="3183">
        <f>ROUND(IF(项目基本情况!$B$8="出让",SUMPRODUCT(PRODUCT(1+M7:$M$24)),SUMPRODUCT(PRODUCT(1+M7:$M$23))),4)</f>
        <v>0.98089999999999999</v>
      </c>
      <c r="U7" s="3183">
        <f>ROUND(IF(项目基本情况!$B$8="出让",SUMPRODUCT(PRODUCT(1+N7:$N$24)),SUMPRODUCT(PRODUCT(1+N7:$N$23))),4)</f>
        <v>1.0689</v>
      </c>
      <c r="V7" s="3183">
        <f>ROUND(IF(项目基本情况!$B$8="出让",SUMPRODUCT(PRODUCT(1+O7:$O$24)),SUMPRODUCT(PRODUCT(1+O7:$O$23))),4)</f>
        <v>1.0891</v>
      </c>
      <c r="W7" s="3183">
        <f t="shared" si="11"/>
        <v>0.98089999999999999</v>
      </c>
      <c r="X7" s="3181"/>
      <c r="Y7" s="3184">
        <f t="shared" si="12"/>
        <v>2.3E-3</v>
      </c>
      <c r="Z7" s="3184">
        <f t="shared" ref="Z7" si="43">IF(E7=0,0,ROUND(AVERAGE(E7:E20)/100,4))</f>
        <v>1E-3</v>
      </c>
      <c r="AA7" s="3184">
        <f t="shared" ref="AA7" si="44">IF(F7=0,0,ROUND(AVERAGE(F7:F20)/100,4))</f>
        <v>-1.9E-3</v>
      </c>
      <c r="AB7" s="3184">
        <f t="shared" ref="AB7" si="45">IF(G7=0,0,ROUND(AVERAGE(G7:G20)/100,4))</f>
        <v>2.8999999999999998E-3</v>
      </c>
      <c r="AC7" s="3184">
        <f t="shared" ref="AC7" si="46">IF(H7=0,0,ROUND(AVERAGE(H7:H20)/100,4))</f>
        <v>4.7000000000000002E-3</v>
      </c>
      <c r="AD7" s="3184">
        <f t="shared" ref="AD7" si="47">AA7</f>
        <v>-1.9E-3</v>
      </c>
      <c r="AF7" s="3458">
        <f t="shared" si="30"/>
        <v>105.77000000000001</v>
      </c>
      <c r="AG7" s="3458">
        <f t="shared" si="31"/>
        <v>102.75000000000001</v>
      </c>
      <c r="AH7" s="3458">
        <f t="shared" si="32"/>
        <v>98.09</v>
      </c>
      <c r="AI7" s="3458">
        <f t="shared" si="33"/>
        <v>106.89</v>
      </c>
      <c r="AJ7" s="3458">
        <f t="shared" si="34"/>
        <v>108.91</v>
      </c>
      <c r="AK7" s="3458">
        <f t="shared" si="35"/>
        <v>98.09</v>
      </c>
      <c r="AM7" s="3458">
        <f t="shared" ref="AM7:AM24" si="48">AM6/(1+D6/100)</f>
        <v>100.45203415369161</v>
      </c>
      <c r="AN7" s="3458">
        <f t="shared" ref="AN7:AN24" si="49">AN6/(1+E6/100)</f>
        <v>100.22048506714772</v>
      </c>
      <c r="AO7" s="3458">
        <f t="shared" ref="AO7:AO24" si="50">AO6/(1+F6/100)</f>
        <v>100.8267795926598</v>
      </c>
      <c r="AP7" s="3458">
        <f t="shared" ref="AP7:AP24" si="51">AP6/(1+G6/100)</f>
        <v>100.39152695512499</v>
      </c>
      <c r="AQ7" s="3458">
        <f t="shared" ref="AQ7:AQ24" si="52">AQ6/(1+H6/100)</f>
        <v>99.960015993602568</v>
      </c>
      <c r="AR7" s="3458">
        <f t="shared" ref="AR7:AR24" si="53">AR6/(1+I6/100)</f>
        <v>100.8267795926598</v>
      </c>
    </row>
    <row r="8" spans="1:44" s="3185" customFormat="1" ht="13.2">
      <c r="A8" s="2205" t="s">
        <v>3406</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100.40183323707308</v>
      </c>
      <c r="AN8" s="3458">
        <f t="shared" si="49"/>
        <v>100.84572858437082</v>
      </c>
      <c r="AO8" s="3458">
        <f t="shared" si="50"/>
        <v>101.89669488899423</v>
      </c>
      <c r="AP8" s="3458">
        <f t="shared" si="51"/>
        <v>100.3012558248826</v>
      </c>
      <c r="AQ8" s="3458">
        <f t="shared" si="52"/>
        <v>99.790372360589558</v>
      </c>
      <c r="AR8" s="3458">
        <f t="shared" si="53"/>
        <v>101.89669488899423</v>
      </c>
    </row>
    <row r="9" spans="1:44" s="3185" customFormat="1" ht="13.2">
      <c r="A9" s="2205" t="s">
        <v>3405</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99.832786354850427</v>
      </c>
      <c r="AN9" s="3458">
        <f t="shared" si="49"/>
        <v>101.42384449800947</v>
      </c>
      <c r="AO9" s="3458">
        <f t="shared" si="50"/>
        <v>102.82209373258752</v>
      </c>
      <c r="AP9" s="3458">
        <f t="shared" si="51"/>
        <v>99.190324193910797</v>
      </c>
      <c r="AQ9" s="3458">
        <f t="shared" si="52"/>
        <v>99.373005736496282</v>
      </c>
      <c r="AR9" s="3458">
        <f t="shared" si="53"/>
        <v>102.82209373258752</v>
      </c>
    </row>
    <row r="10" spans="1:44" s="3185" customFormat="1" ht="13.2">
      <c r="A10" s="2205" t="s">
        <v>3380</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100.86157441387192</v>
      </c>
      <c r="AN10" s="3458">
        <f t="shared" si="49"/>
        <v>101.91302702774264</v>
      </c>
      <c r="AO10" s="3458">
        <f t="shared" si="50"/>
        <v>103.59908688421916</v>
      </c>
      <c r="AP10" s="3458">
        <f t="shared" si="51"/>
        <v>100.24287437484668</v>
      </c>
      <c r="AQ10" s="3458">
        <f t="shared" si="52"/>
        <v>99.293570879792455</v>
      </c>
      <c r="AR10" s="3458">
        <f t="shared" si="53"/>
        <v>103.59908688421916</v>
      </c>
    </row>
    <row r="11" spans="1:44" s="3185" customFormat="1" ht="13.2">
      <c r="A11" s="3176" t="s">
        <v>3374</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102.07628217171533</v>
      </c>
      <c r="AN11" s="3458">
        <f t="shared" si="49"/>
        <v>102.39428014442143</v>
      </c>
      <c r="AO11" s="3458">
        <f t="shared" si="50"/>
        <v>103.90039803853091</v>
      </c>
      <c r="AP11" s="3458">
        <f t="shared" si="51"/>
        <v>100.99020186867487</v>
      </c>
      <c r="AQ11" s="3458">
        <f t="shared" si="52"/>
        <v>99.502526184780493</v>
      </c>
      <c r="AR11" s="3458">
        <f t="shared" si="53"/>
        <v>103.90039803853091</v>
      </c>
    </row>
    <row r="12" spans="1:44" s="3185" customFormat="1" ht="13.2">
      <c r="A12" s="3176" t="s">
        <v>3373</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102.68210660065922</v>
      </c>
      <c r="AN12" s="3458">
        <f t="shared" si="49"/>
        <v>102.60976064176914</v>
      </c>
      <c r="AO12" s="3458">
        <f t="shared" si="50"/>
        <v>105.35428720191737</v>
      </c>
      <c r="AP12" s="3458">
        <f t="shared" si="51"/>
        <v>102.25820359323093</v>
      </c>
      <c r="AQ12" s="3458">
        <f t="shared" si="52"/>
        <v>99.165363947359467</v>
      </c>
      <c r="AR12" s="3458">
        <f t="shared" si="53"/>
        <v>105.35428720191737</v>
      </c>
    </row>
    <row r="13" spans="1:44" s="3185" customFormat="1" ht="13.2">
      <c r="A13" s="3176" t="s">
        <v>3369</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102.60002657939572</v>
      </c>
      <c r="AN13" s="3458">
        <f t="shared" si="49"/>
        <v>102.13991702346122</v>
      </c>
      <c r="AO13" s="3458">
        <f t="shared" si="50"/>
        <v>105.52312420063839</v>
      </c>
      <c r="AP13" s="3458">
        <f t="shared" si="51"/>
        <v>101.99302173671548</v>
      </c>
      <c r="AQ13" s="3458">
        <f t="shared" si="52"/>
        <v>98.583719999363225</v>
      </c>
      <c r="AR13" s="3458">
        <f t="shared" si="53"/>
        <v>105.52312420063839</v>
      </c>
    </row>
    <row r="14" spans="1:44" s="3185" customFormat="1" ht="13.2">
      <c r="A14" s="3176" t="s">
        <v>3368</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102.40545621259179</v>
      </c>
      <c r="AN14" s="3458">
        <f t="shared" si="49"/>
        <v>101.89536813992541</v>
      </c>
      <c r="AO14" s="3458">
        <f t="shared" si="50"/>
        <v>105.69223177147275</v>
      </c>
      <c r="AP14" s="3458">
        <f t="shared" si="51"/>
        <v>101.81992785935456</v>
      </c>
      <c r="AQ14" s="3458">
        <f t="shared" si="52"/>
        <v>97.986005366626799</v>
      </c>
      <c r="AR14" s="3458">
        <f t="shared" si="53"/>
        <v>105.69223177147275</v>
      </c>
    </row>
    <row r="15" spans="1:44" s="3185" customFormat="1" ht="13.2">
      <c r="A15" s="3176" t="s">
        <v>3366</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102.15008101006663</v>
      </c>
      <c r="AN15" s="3458">
        <f t="shared" si="49"/>
        <v>101.38842600987604</v>
      </c>
      <c r="AO15" s="3458">
        <f t="shared" si="50"/>
        <v>105.36559841638196</v>
      </c>
      <c r="AP15" s="3458">
        <f t="shared" si="51"/>
        <v>101.60655409575348</v>
      </c>
      <c r="AQ15" s="3458">
        <f t="shared" si="52"/>
        <v>97.56646954757224</v>
      </c>
      <c r="AR15" s="3458">
        <f t="shared" si="53"/>
        <v>105.36559841638196</v>
      </c>
    </row>
    <row r="16" spans="1:44" s="3185" customFormat="1" ht="13.2">
      <c r="A16" s="3176" t="s">
        <v>3365</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101.22889803792152</v>
      </c>
      <c r="AN16" s="3458">
        <f t="shared" si="49"/>
        <v>100.7236499204014</v>
      </c>
      <c r="AO16" s="3458">
        <f t="shared" si="50"/>
        <v>104.87269674169599</v>
      </c>
      <c r="AP16" s="3458">
        <f t="shared" si="51"/>
        <v>100.6404061962693</v>
      </c>
      <c r="AQ16" s="3458">
        <f t="shared" si="52"/>
        <v>96.878631265586563</v>
      </c>
      <c r="AR16" s="3458">
        <f t="shared" si="53"/>
        <v>104.87269674169599</v>
      </c>
    </row>
    <row r="17" spans="1:44" s="3185" customFormat="1" ht="13.2">
      <c r="A17" s="3176" t="s">
        <v>3364</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100.33590845269256</v>
      </c>
      <c r="AN17" s="3458">
        <f t="shared" si="49"/>
        <v>99.98377002223684</v>
      </c>
      <c r="AO17" s="3458">
        <f t="shared" si="50"/>
        <v>104.27831037257232</v>
      </c>
      <c r="AP17" s="3458">
        <f t="shared" si="51"/>
        <v>99.722955010175667</v>
      </c>
      <c r="AQ17" s="3458">
        <f t="shared" si="52"/>
        <v>96.396648025459271</v>
      </c>
      <c r="AR17" s="3458">
        <f t="shared" si="53"/>
        <v>104.27831037257232</v>
      </c>
    </row>
    <row r="18" spans="1:44" s="3185" customFormat="1" ht="13.2">
      <c r="A18" s="3176" t="s">
        <v>3362</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99.717658967096568</v>
      </c>
      <c r="AN18" s="3458">
        <f t="shared" si="49"/>
        <v>99.784201618998836</v>
      </c>
      <c r="AO18" s="3458">
        <f t="shared" si="50"/>
        <v>104.1637302692761</v>
      </c>
      <c r="AP18" s="3458">
        <f t="shared" si="51"/>
        <v>99.039581895099488</v>
      </c>
      <c r="AQ18" s="3458">
        <f t="shared" si="52"/>
        <v>95.888439297184192</v>
      </c>
      <c r="AR18" s="3458">
        <f t="shared" si="53"/>
        <v>104.1637302692761</v>
      </c>
    </row>
    <row r="19" spans="1:44" s="3185" customFormat="1" ht="13.2">
      <c r="A19" s="3176" t="s">
        <v>3353</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99.063837638681278</v>
      </c>
      <c r="AN19" s="3458">
        <f t="shared" si="49"/>
        <v>99.465910704743649</v>
      </c>
      <c r="AO19" s="3458">
        <f t="shared" si="50"/>
        <v>103.92470345133803</v>
      </c>
      <c r="AP19" s="3458">
        <f t="shared" si="51"/>
        <v>98.331594415309254</v>
      </c>
      <c r="AQ19" s="3458">
        <f t="shared" si="52"/>
        <v>95.288124115258071</v>
      </c>
      <c r="AR19" s="3458">
        <f t="shared" si="53"/>
        <v>103.92470345133803</v>
      </c>
    </row>
    <row r="20" spans="1:44" s="3185" customFormat="1" ht="13.2">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98.151033031488424</v>
      </c>
      <c r="AN20" s="3458">
        <f t="shared" si="49"/>
        <v>99.316935301790963</v>
      </c>
      <c r="AO20" s="3458">
        <f t="shared" si="50"/>
        <v>103.91431202013602</v>
      </c>
      <c r="AP20" s="3458">
        <f t="shared" si="51"/>
        <v>97.309841083928021</v>
      </c>
      <c r="AQ20" s="3458">
        <f t="shared" si="52"/>
        <v>94.270008028549739</v>
      </c>
      <c r="AR20" s="3458">
        <f t="shared" si="53"/>
        <v>103.91431202013602</v>
      </c>
    </row>
    <row r="21" spans="1:44" s="3185" customFormat="1" ht="13.2">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97.285194797788122</v>
      </c>
      <c r="AN21" s="3458">
        <f t="shared" si="49"/>
        <v>98.881855139178583</v>
      </c>
      <c r="AO21" s="3458">
        <f t="shared" si="50"/>
        <v>103.53124640842485</v>
      </c>
      <c r="AP21" s="3458">
        <f t="shared" si="51"/>
        <v>96.384549409595891</v>
      </c>
      <c r="AQ21" s="3458">
        <f t="shared" si="52"/>
        <v>93.670516721531939</v>
      </c>
      <c r="AR21" s="3458">
        <f t="shared" si="53"/>
        <v>103.53124640842485</v>
      </c>
    </row>
    <row r="22" spans="1:44" s="3185" customFormat="1" ht="13.2">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96.293373055318341</v>
      </c>
      <c r="AN22" s="3458">
        <f t="shared" si="49"/>
        <v>98.645106882660201</v>
      </c>
      <c r="AO22" s="3458">
        <f t="shared" si="50"/>
        <v>103.45882523076332</v>
      </c>
      <c r="AP22" s="3458">
        <f t="shared" si="51"/>
        <v>95.269891676975277</v>
      </c>
      <c r="AQ22" s="3458">
        <f t="shared" si="52"/>
        <v>93.158146913507636</v>
      </c>
      <c r="AR22" s="3458">
        <f t="shared" si="53"/>
        <v>103.45882523076332</v>
      </c>
    </row>
    <row r="23" spans="1:44" s="3185" customFormat="1" ht="13.2">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95.842911371870557</v>
      </c>
      <c r="AN23" s="3458">
        <f t="shared" si="49"/>
        <v>98.242313397729504</v>
      </c>
      <c r="AO23" s="3458">
        <f t="shared" si="50"/>
        <v>103.21111854625232</v>
      </c>
      <c r="AP23" s="3458">
        <f t="shared" si="51"/>
        <v>94.81478072947381</v>
      </c>
      <c r="AQ23" s="3458">
        <f t="shared" si="52"/>
        <v>92.713123918697889</v>
      </c>
      <c r="AR23" s="3458">
        <f t="shared" si="53"/>
        <v>103.21111854625232</v>
      </c>
    </row>
    <row r="24" spans="1:44" s="3207" customFormat="1" ht="1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94.969194779895503</v>
      </c>
      <c r="AN24" s="3465">
        <f t="shared" si="49"/>
        <v>97.540025216173049</v>
      </c>
      <c r="AO24" s="3465">
        <f t="shared" si="50"/>
        <v>102.78968085474786</v>
      </c>
      <c r="AP24" s="3465">
        <f t="shared" si="51"/>
        <v>93.922516819686777</v>
      </c>
      <c r="AQ24" s="3465">
        <f t="shared" si="52"/>
        <v>91.78608446559538</v>
      </c>
      <c r="AR24" s="3465">
        <f t="shared" si="53"/>
        <v>102.78968085474786</v>
      </c>
    </row>
    <row r="25" spans="1:44" s="3009" customFormat="1" ht="15" thickTop="1"/>
    <row r="26" spans="1:44" s="3009" customFormat="1">
      <c r="A26" s="3448" t="s">
        <v>3379</v>
      </c>
    </row>
    <row r="27" spans="1:44" s="3009" customFormat="1">
      <c r="I27" s="3208" t="s">
        <v>2825</v>
      </c>
    </row>
    <row r="28" spans="1:44" s="3009" customFormat="1"/>
    <row r="29" spans="1:44" s="3209" customFormat="1" ht="13.2">
      <c r="B29" s="3210" t="s">
        <v>3377</v>
      </c>
      <c r="C29" s="3211"/>
      <c r="D29" s="3211"/>
      <c r="E29" s="3211"/>
      <c r="F29" s="3211"/>
      <c r="G29" s="3211"/>
      <c r="H29" s="3211"/>
      <c r="I29" s="3211"/>
      <c r="J29" s="3165"/>
      <c r="K29" s="3211" t="s">
        <v>2826</v>
      </c>
      <c r="L29" s="3211"/>
      <c r="M29" s="3211"/>
      <c r="N29" s="3211"/>
      <c r="O29" s="3211"/>
      <c r="P29" s="3211"/>
      <c r="Q29" s="3165"/>
      <c r="R29" s="3802" t="s">
        <v>2827</v>
      </c>
      <c r="S29" s="3803"/>
      <c r="T29" s="3803"/>
      <c r="U29" s="3803"/>
      <c r="V29" s="3803"/>
      <c r="W29" s="3803"/>
      <c r="X29" s="3165"/>
      <c r="Y29" s="3802" t="s">
        <v>2828</v>
      </c>
      <c r="Z29" s="3803"/>
      <c r="AA29" s="3803"/>
      <c r="AB29" s="3803"/>
      <c r="AC29" s="3803"/>
      <c r="AD29" s="3803"/>
    </row>
    <row r="30" spans="1:44" s="3143" customFormat="1" ht="1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3402</v>
      </c>
      <c r="AJ30"/>
      <c r="AK30" t="s">
        <v>3403</v>
      </c>
      <c r="AN30" t="s">
        <v>673</v>
      </c>
      <c r="AO30" t="s">
        <v>21</v>
      </c>
      <c r="AP30" t="s">
        <v>3402</v>
      </c>
      <c r="AQ30"/>
      <c r="AR30" t="s">
        <v>3403</v>
      </c>
    </row>
    <row r="31" spans="1:44" s="3161" customFormat="1" ht="13.2">
      <c r="A31" s="3149" t="s">
        <v>2834</v>
      </c>
      <c r="B31" s="3150"/>
      <c r="C31" s="3151"/>
      <c r="D31" s="3151"/>
      <c r="E31" s="3151">
        <f t="shared" ref="E31:G31" si="115">ROUND(AVERAGEIF(E32:E52,"&lt;&gt;0"),2)</f>
        <v>0.04</v>
      </c>
      <c r="F31" s="3151">
        <f t="shared" si="115"/>
        <v>-7.0000000000000007E-2</v>
      </c>
      <c r="G31" s="3151">
        <f t="shared" si="115"/>
        <v>0.2</v>
      </c>
      <c r="H31" s="3151"/>
      <c r="I31" s="3151">
        <f>F31</f>
        <v>-7.0000000000000007E-2</v>
      </c>
      <c r="J31" s="3152"/>
      <c r="K31" s="3153"/>
      <c r="L31" s="3154">
        <f t="shared" ref="L31:N31" si="116">ROUND(AVERAGEIF(L32:L52,"&lt;&gt;0"),4)</f>
        <v>4.0000000000000002E-4</v>
      </c>
      <c r="M31" s="3154">
        <f t="shared" si="116"/>
        <v>-6.9999999999999999E-4</v>
      </c>
      <c r="N31" s="3154">
        <f t="shared" si="116"/>
        <v>2E-3</v>
      </c>
      <c r="O31" s="3154"/>
      <c r="P31" s="3154">
        <f>M31</f>
        <v>-6.9999999999999999E-4</v>
      </c>
      <c r="Q31" s="3152"/>
      <c r="R31" s="3155"/>
      <c r="S31" s="3156">
        <f>ROUND(SUMPRODUCT(PRODUCT(1+L32:L52)),4)</f>
        <v>1.0072000000000001</v>
      </c>
      <c r="T31" s="3156">
        <f t="shared" ref="T31:U31" si="117">ROUND(SUMPRODUCT(PRODUCT(1+M32:M52)),4)</f>
        <v>0.98699999999999999</v>
      </c>
      <c r="U31" s="3156">
        <f t="shared" si="117"/>
        <v>1.0375000000000001</v>
      </c>
      <c r="V31" s="3156"/>
      <c r="W31" s="3155">
        <f>T31</f>
        <v>0.98699999999999999</v>
      </c>
      <c r="X31" s="3152"/>
      <c r="Y31" s="3157"/>
      <c r="Z31" s="3158">
        <f t="shared" ref="Z31:AB31" si="118">ROUND(AVERAGEIF(Z32:Z52,"&lt;&gt;0"),4)</f>
        <v>2.8999999999999998E-3</v>
      </c>
      <c r="AA31" s="3159">
        <f t="shared" si="118"/>
        <v>2.3E-3</v>
      </c>
      <c r="AB31" s="3157">
        <f t="shared" si="118"/>
        <v>6.0000000000000001E-3</v>
      </c>
      <c r="AC31" s="3160"/>
      <c r="AD31" s="3157">
        <f>AA31</f>
        <v>2.3E-3</v>
      </c>
    </row>
    <row r="32" spans="1:44" s="3162" customFormat="1" ht="13.2">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3400</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1.0037</v>
      </c>
      <c r="T33" s="3183">
        <f>ROUND(IF(项目基本情况!$B$8="出让",SUMPRODUCT(PRODUCT(1+M33:M$52)),SUMPRODUCT(PRODUCT(1+M33:M$51))),4)</f>
        <v>0.98229999999999995</v>
      </c>
      <c r="U33" s="3183">
        <f>ROUND(IF(项目基本情况!$B$8="出让",SUMPRODUCT(PRODUCT(1+N33:N$52)),SUMPRODUCT(PRODUCT(1+N33:N$51))),4)</f>
        <v>1.0274000000000001</v>
      </c>
      <c r="V33" s="3183"/>
      <c r="W33" s="3183">
        <f t="shared" ref="W33:W39" si="124">T33</f>
        <v>0.98229999999999995</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100.37</v>
      </c>
      <c r="AH33" s="3458">
        <f t="shared" ref="AH33:AH50" si="130">$AG$52*T33</f>
        <v>98.22999999999999</v>
      </c>
      <c r="AI33" s="3458">
        <f t="shared" ref="AI33:AI50" si="131">$AG$52*U33</f>
        <v>102.74000000000001</v>
      </c>
      <c r="AJ33" s="3460"/>
      <c r="AK33" s="3458">
        <f t="shared" ref="AK33:AK50" si="132">$AG$52*W33</f>
        <v>98.22999999999999</v>
      </c>
      <c r="AN33" s="3463">
        <v>100</v>
      </c>
      <c r="AO33" s="3463">
        <v>100</v>
      </c>
      <c r="AP33" s="3463">
        <v>100</v>
      </c>
      <c r="AQ33" s="3463"/>
      <c r="AR33" s="3463">
        <v>100</v>
      </c>
    </row>
    <row r="34" spans="1:44" s="3195" customFormat="1" ht="13.2">
      <c r="A34" s="3186" t="s">
        <v>3416</v>
      </c>
      <c r="B34" s="3187">
        <v>2025</v>
      </c>
      <c r="C34" s="3188">
        <v>3</v>
      </c>
      <c r="D34" s="3189"/>
      <c r="E34" s="3189">
        <v>-0.8</v>
      </c>
      <c r="F34" s="3189">
        <v>-1.45</v>
      </c>
      <c r="G34" s="3189">
        <v>-0.62</v>
      </c>
      <c r="H34" s="3190"/>
      <c r="I34" s="3191">
        <f t="shared" ref="I34" si="133">F34</f>
        <v>-1.45</v>
      </c>
      <c r="J34" s="3192"/>
      <c r="K34" s="3193"/>
      <c r="L34" s="3194">
        <f t="shared" ref="L34" si="134">E34/100</f>
        <v>-8.0000000000000002E-3</v>
      </c>
      <c r="M34" s="3194">
        <f t="shared" ref="M34" si="135">F34/100</f>
        <v>-1.4499999999999999E-2</v>
      </c>
      <c r="N34" s="3194">
        <f t="shared" ref="N34" si="136">G34/100</f>
        <v>-6.1999999999999998E-3</v>
      </c>
      <c r="O34" s="3194"/>
      <c r="P34" s="3194">
        <f t="shared" si="123"/>
        <v>-1.4499999999999999E-2</v>
      </c>
      <c r="Q34" s="3192"/>
      <c r="R34" s="3192"/>
      <c r="S34" s="3192">
        <f>ROUND(IF(项目基本情况!$B$8="出让",SUMPRODUCT(PRODUCT(1+L34:L$52)),SUMPRODUCT(PRODUCT(1+L34:L$51))),4)</f>
        <v>1.0037</v>
      </c>
      <c r="T34" s="3192">
        <f>ROUND(IF(项目基本情况!$B$8="出让",SUMPRODUCT(PRODUCT(1+M34:M$52)),SUMPRODUCT(PRODUCT(1+M34:M$51))),4)</f>
        <v>0.98229999999999995</v>
      </c>
      <c r="U34" s="3192">
        <f>ROUND(IF(项目基本情况!$B$8="出让",SUMPRODUCT(PRODUCT(1+N34:N$52)),SUMPRODUCT(PRODUCT(1+N34:N$51))),4)</f>
        <v>1.0274000000000001</v>
      </c>
      <c r="V34" s="3192"/>
      <c r="W34" s="3192">
        <f t="shared" si="124"/>
        <v>0.98229999999999995</v>
      </c>
      <c r="X34" s="3192"/>
      <c r="Y34" s="3194"/>
      <c r="Z34" s="3215">
        <f t="shared" ref="Z34" si="137">IF(E34=0,0,ROUND(AVERAGE(E34:E47)/100,4))</f>
        <v>-1.2999999999999999E-3</v>
      </c>
      <c r="AA34" s="3216">
        <f t="shared" ref="AA34" si="138">IF(F34=0,0,ROUND(AVERAGE(F34:F47)/100,4))</f>
        <v>-2.2000000000000001E-3</v>
      </c>
      <c r="AB34" s="3194">
        <f t="shared" ref="AB34" si="139">IF(G34=0,0,ROUND(AVERAGE(G34:G47)/100,4))</f>
        <v>-2.9999999999999997E-4</v>
      </c>
      <c r="AC34" s="3217"/>
      <c r="AD34" s="3194">
        <f t="shared" si="128"/>
        <v>-2.2000000000000001E-3</v>
      </c>
      <c r="AG34" s="3459">
        <f t="shared" si="129"/>
        <v>100.37</v>
      </c>
      <c r="AH34" s="3459">
        <f t="shared" si="130"/>
        <v>98.22999999999999</v>
      </c>
      <c r="AI34" s="3459">
        <f t="shared" si="131"/>
        <v>102.74000000000001</v>
      </c>
      <c r="AJ34" s="3461"/>
      <c r="AK34" s="3459">
        <f t="shared" si="132"/>
        <v>98.22999999999999</v>
      </c>
      <c r="AN34" s="3459">
        <f>AN33/(1+E33/100)</f>
        <v>100</v>
      </c>
      <c r="AO34" s="3459">
        <f t="shared" ref="AO34:AR34" si="140">AO33/(1+F33/100)</f>
        <v>100</v>
      </c>
      <c r="AP34" s="3459">
        <f t="shared" si="140"/>
        <v>100</v>
      </c>
      <c r="AQ34" s="3459"/>
      <c r="AR34" s="3459">
        <f t="shared" si="140"/>
        <v>100</v>
      </c>
    </row>
    <row r="35" spans="1:44" s="3185" customFormat="1" ht="13.2">
      <c r="A35" s="2205" t="s">
        <v>3415</v>
      </c>
      <c r="B35" s="3177">
        <v>2025</v>
      </c>
      <c r="C35" s="3178">
        <v>2</v>
      </c>
      <c r="D35" s="3179"/>
      <c r="E35" s="3179">
        <v>-0.31</v>
      </c>
      <c r="F35" s="3179">
        <v>-1.03</v>
      </c>
      <c r="G35" s="3179">
        <v>0.03</v>
      </c>
      <c r="H35" s="3179"/>
      <c r="I35" s="3180">
        <f t="shared" ref="I35" si="141">F35</f>
        <v>-1.03</v>
      </c>
      <c r="J35" s="3181"/>
      <c r="K35" s="3182"/>
      <c r="L35" s="3172">
        <f t="shared" ref="L35" si="142">E35/100</f>
        <v>-3.0999999999999999E-3</v>
      </c>
      <c r="M35" s="3172">
        <f t="shared" ref="M35" si="143">F35/100</f>
        <v>-1.03E-2</v>
      </c>
      <c r="N35" s="3172">
        <f t="shared" ref="N35" si="144">G35/100</f>
        <v>2.9999999999999997E-4</v>
      </c>
      <c r="O35" s="3172"/>
      <c r="P35" s="3172">
        <f t="shared" si="123"/>
        <v>-1.03E-2</v>
      </c>
      <c r="Q35" s="3181"/>
      <c r="R35" s="3183"/>
      <c r="S35" s="3183">
        <f>ROUND(IF(项目基本情况!$B$8="出让",SUMPRODUCT(PRODUCT(1+L35:L$52)),SUMPRODUCT(PRODUCT(1+L35:L$51))),4)</f>
        <v>1.0118</v>
      </c>
      <c r="T35" s="3183">
        <f>ROUND(IF(项目基本情况!$B$8="出让",SUMPRODUCT(PRODUCT(1+M35:M$52)),SUMPRODUCT(PRODUCT(1+M35:M$51))),4)</f>
        <v>0.99680000000000002</v>
      </c>
      <c r="U35" s="3183">
        <f>ROUND(IF(项目基本情况!$B$8="出让",SUMPRODUCT(PRODUCT(1+N35:N$52)),SUMPRODUCT(PRODUCT(1+N35:N$51))),4)</f>
        <v>1.0338000000000001</v>
      </c>
      <c r="V35" s="3183"/>
      <c r="W35" s="3183">
        <f t="shared" si="124"/>
        <v>0.99680000000000002</v>
      </c>
      <c r="X35" s="3181"/>
      <c r="Y35" s="3184"/>
      <c r="Z35" s="3212">
        <f t="shared" ref="Z35" si="145">IF(E35=0,0,ROUND(AVERAGE(E35:E48)/100,4))</f>
        <v>-2.9999999999999997E-4</v>
      </c>
      <c r="AA35" s="3212">
        <f t="shared" ref="AA35" si="146">IF(F35=0,0,ROUND(AVERAGE(F35:F48)/100,4))</f>
        <v>-8.0000000000000004E-4</v>
      </c>
      <c r="AB35" s="3212">
        <f t="shared" ref="AB35" si="147">IF(G35=0,0,ROUND(AVERAGE(G35:G48)/100,4))</f>
        <v>5.0000000000000001E-4</v>
      </c>
      <c r="AC35" s="3213"/>
      <c r="AD35" s="3184">
        <f t="shared" si="128"/>
        <v>-8.0000000000000004E-4</v>
      </c>
      <c r="AG35" s="3458">
        <f t="shared" si="129"/>
        <v>101.18</v>
      </c>
      <c r="AH35" s="3458">
        <f t="shared" si="130"/>
        <v>99.68</v>
      </c>
      <c r="AI35" s="3458">
        <f t="shared" si="131"/>
        <v>103.38000000000001</v>
      </c>
      <c r="AJ35" s="3460"/>
      <c r="AK35" s="3458">
        <f t="shared" si="132"/>
        <v>99.68</v>
      </c>
      <c r="AN35" s="3458">
        <f t="shared" ref="AN35:AN52" si="148">AN34/(1+E34/100)</f>
        <v>100.80645161290323</v>
      </c>
      <c r="AO35" s="3458">
        <f t="shared" ref="AO35" si="149">AO34/(1+F34/100)</f>
        <v>101.47133434804667</v>
      </c>
      <c r="AP35" s="3458">
        <f t="shared" ref="AP35" si="150">AP34/(1+G34/100)</f>
        <v>100.6238679814852</v>
      </c>
      <c r="AQ35" s="3458"/>
      <c r="AR35" s="3458">
        <f t="shared" ref="AR35" si="151">AR34/(1+I34/100)</f>
        <v>101.47133434804667</v>
      </c>
    </row>
    <row r="36" spans="1:44" s="3185" customFormat="1" ht="13.2">
      <c r="A36" s="2205" t="s">
        <v>3404</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101.11992337536687</v>
      </c>
      <c r="AO36" s="3458">
        <f t="shared" ref="AO36:AO52" si="159">AO35/(1+F35/100)</f>
        <v>102.52736622011383</v>
      </c>
      <c r="AP36" s="3458">
        <f t="shared" ref="AP36:AP52" si="160">AP35/(1+G35/100)</f>
        <v>100.59368987452285</v>
      </c>
      <c r="AQ36" s="3458"/>
      <c r="AR36" s="3458">
        <f t="shared" ref="AR36:AR52" si="161">AR35/(1+I35/100)</f>
        <v>102.52736622011383</v>
      </c>
    </row>
    <row r="37" spans="1:44" s="3185" customFormat="1" ht="13.2">
      <c r="A37" s="2205" t="s">
        <v>3405</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102.62856325521858</v>
      </c>
      <c r="AO37" s="3458">
        <f t="shared" si="159"/>
        <v>103.54207859029877</v>
      </c>
      <c r="AP37" s="3458">
        <f t="shared" si="160"/>
        <v>101.10934754701262</v>
      </c>
      <c r="AQ37" s="3458"/>
      <c r="AR37" s="3458">
        <f t="shared" si="161"/>
        <v>103.54207859029877</v>
      </c>
    </row>
    <row r="38" spans="1:44" s="3185" customFormat="1" ht="13.2">
      <c r="A38" s="2205" t="s">
        <v>3371</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103.25843973761805</v>
      </c>
      <c r="AO38" s="3458">
        <f t="shared" si="159"/>
        <v>104.28248422831984</v>
      </c>
      <c r="AP38" s="3458">
        <f t="shared" si="160"/>
        <v>102.00700922822097</v>
      </c>
      <c r="AQ38" s="3458"/>
      <c r="AR38" s="3458">
        <f t="shared" si="161"/>
        <v>104.28248422831984</v>
      </c>
    </row>
    <row r="39" spans="1:44" s="3185" customFormat="1" ht="13.2">
      <c r="A39" s="3176" t="s">
        <v>3375</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103.94447326114158</v>
      </c>
      <c r="AO39" s="3458">
        <f t="shared" si="159"/>
        <v>104.82758768427809</v>
      </c>
      <c r="AP39" s="3458">
        <f t="shared" si="160"/>
        <v>105.02111523547921</v>
      </c>
      <c r="AQ39" s="3458"/>
      <c r="AR39" s="3458">
        <f t="shared" si="161"/>
        <v>104.82758768427809</v>
      </c>
    </row>
    <row r="40" spans="1:44" s="3185" customFormat="1" ht="13.2">
      <c r="A40" s="3176" t="s">
        <v>3372</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104.2677031408783</v>
      </c>
      <c r="AO40" s="3458">
        <f t="shared" si="159"/>
        <v>105.23801594646932</v>
      </c>
      <c r="AP40" s="3458">
        <f t="shared" si="160"/>
        <v>103.74505110686478</v>
      </c>
      <c r="AQ40" s="3458"/>
      <c r="AR40" s="3458">
        <f t="shared" si="161"/>
        <v>105.23801594646932</v>
      </c>
    </row>
    <row r="41" spans="1:44" s="3185" customFormat="1" ht="13.2">
      <c r="A41" s="3176" t="s">
        <v>3370</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104.00768393105068</v>
      </c>
      <c r="AO41" s="3458">
        <f t="shared" si="159"/>
        <v>104.81874098253915</v>
      </c>
      <c r="AP41" s="3458">
        <f t="shared" si="160"/>
        <v>104.40278867552055</v>
      </c>
      <c r="AQ41" s="3458"/>
      <c r="AR41" s="3458">
        <f t="shared" si="161"/>
        <v>104.81874098253915</v>
      </c>
    </row>
    <row r="42" spans="1:44" s="3185" customFormat="1" ht="13.2">
      <c r="A42" s="3176" t="s">
        <v>3368</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103.9349294804144</v>
      </c>
      <c r="AO42" s="3458">
        <f t="shared" si="159"/>
        <v>104.72448894249092</v>
      </c>
      <c r="AP42" s="3458">
        <f t="shared" si="160"/>
        <v>104.37147723235086</v>
      </c>
      <c r="AQ42" s="3458"/>
      <c r="AR42" s="3458">
        <f t="shared" si="161"/>
        <v>104.72448894249092</v>
      </c>
    </row>
    <row r="43" spans="1:44" s="3185" customFormat="1" ht="13.2">
      <c r="A43" s="3176" t="s">
        <v>3367</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103.5724259894513</v>
      </c>
      <c r="AO43" s="3458">
        <f t="shared" si="159"/>
        <v>104.5467594514235</v>
      </c>
      <c r="AP43" s="3458">
        <f t="shared" si="160"/>
        <v>103.83155315593996</v>
      </c>
      <c r="AQ43" s="3458"/>
      <c r="AR43" s="3458">
        <f t="shared" si="161"/>
        <v>104.5467594514235</v>
      </c>
    </row>
    <row r="44" spans="1:44" s="3185" customFormat="1" ht="13.2">
      <c r="A44" s="3176" t="s">
        <v>3365</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103.05714028801125</v>
      </c>
      <c r="AO44" s="3458">
        <f t="shared" si="159"/>
        <v>104.07840662162619</v>
      </c>
      <c r="AP44" s="3458">
        <f t="shared" si="160"/>
        <v>102.91560427786695</v>
      </c>
      <c r="AQ44" s="3458"/>
      <c r="AR44" s="3458">
        <f t="shared" si="161"/>
        <v>104.07840662162619</v>
      </c>
    </row>
    <row r="45" spans="1:44" s="3185" customFormat="1" ht="13.2">
      <c r="A45" s="3176" t="s">
        <v>3364</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102.49342644257707</v>
      </c>
      <c r="AO45" s="3458">
        <f t="shared" si="159"/>
        <v>103.46794574174986</v>
      </c>
      <c r="AP45" s="3458">
        <f t="shared" si="160"/>
        <v>102.26113302649736</v>
      </c>
      <c r="AQ45" s="3458"/>
      <c r="AR45" s="3458">
        <f t="shared" si="161"/>
        <v>103.46794574174986</v>
      </c>
    </row>
    <row r="46" spans="1:44" s="3185" customFormat="1" ht="13.2">
      <c r="A46" s="3176" t="s">
        <v>3363</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102.03427221759789</v>
      </c>
      <c r="AO46" s="3458">
        <f t="shared" si="159"/>
        <v>103.26142289595795</v>
      </c>
      <c r="AP46" s="3458">
        <f t="shared" si="160"/>
        <v>101.87401178172679</v>
      </c>
      <c r="AQ46" s="3458"/>
      <c r="AR46" s="3458">
        <f t="shared" si="161"/>
        <v>103.26142289595795</v>
      </c>
    </row>
    <row r="47" spans="1:44" s="3185" customFormat="1" ht="13.2">
      <c r="A47" s="3176" t="s">
        <v>3353</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101.72908496270976</v>
      </c>
      <c r="AO47" s="3458">
        <f t="shared" si="159"/>
        <v>102.96283068696576</v>
      </c>
      <c r="AP47" s="3458">
        <f t="shared" si="160"/>
        <v>101.03541781387166</v>
      </c>
      <c r="AQ47" s="3458"/>
      <c r="AR47" s="3458">
        <f t="shared" si="161"/>
        <v>102.96283068696576</v>
      </c>
    </row>
    <row r="48" spans="1:44" s="3185" customFormat="1" ht="13.2">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101.84111018391206</v>
      </c>
      <c r="AO48" s="3458">
        <f t="shared" si="159"/>
        <v>103.09685660054646</v>
      </c>
      <c r="AP48" s="3458">
        <f t="shared" si="160"/>
        <v>100.50275322179613</v>
      </c>
      <c r="AQ48" s="3458"/>
      <c r="AR48" s="3458">
        <f t="shared" si="161"/>
        <v>103.09685660054646</v>
      </c>
    </row>
    <row r="49" spans="1:44" s="3185" customFormat="1" ht="13.2">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101.23370793629429</v>
      </c>
      <c r="AO49" s="3458">
        <f t="shared" si="159"/>
        <v>102.63499910457587</v>
      </c>
      <c r="AP49" s="3458">
        <f t="shared" si="160"/>
        <v>99.972896868393633</v>
      </c>
      <c r="AQ49" s="3458"/>
      <c r="AR49" s="3458">
        <f t="shared" si="161"/>
        <v>102.63499910457587</v>
      </c>
    </row>
    <row r="50" spans="1:44" s="3185" customFormat="1" ht="13.2">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100.649938294188</v>
      </c>
      <c r="AO50" s="3458">
        <f t="shared" si="159"/>
        <v>102.55295673918452</v>
      </c>
      <c r="AP50" s="3458">
        <f t="shared" si="160"/>
        <v>99.297672694073938</v>
      </c>
      <c r="AQ50" s="3458"/>
      <c r="AR50" s="3458">
        <f t="shared" si="161"/>
        <v>102.55295673918452</v>
      </c>
    </row>
    <row r="51" spans="1:44" s="3185" customFormat="1" ht="13.2">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100.1790965404479</v>
      </c>
      <c r="AO51" s="3458">
        <f t="shared" si="159"/>
        <v>102.26661023053903</v>
      </c>
      <c r="AP51" s="3458">
        <f t="shared" si="160"/>
        <v>98.402212559779926</v>
      </c>
      <c r="AQ51" s="3458"/>
      <c r="AR51" s="3458">
        <f t="shared" si="161"/>
        <v>102.26661023053903</v>
      </c>
    </row>
    <row r="52" spans="1:44" s="3207" customFormat="1" ht="1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99.631125351017303</v>
      </c>
      <c r="AO52" s="3465">
        <f t="shared" si="159"/>
        <v>101.79833787630803</v>
      </c>
      <c r="AP52" s="3465">
        <f t="shared" si="160"/>
        <v>97.331565341028622</v>
      </c>
      <c r="AQ52" s="3465"/>
      <c r="AR52" s="3465">
        <f t="shared" si="161"/>
        <v>101.79833787630803</v>
      </c>
    </row>
    <row r="53" spans="1:44" ht="15" thickTop="1"/>
    <row r="54" spans="1:44">
      <c r="A54" s="3448"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H20" sqref="H20"/>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09" t="s">
        <v>452</v>
      </c>
      <c r="C1" s="3809"/>
      <c r="D1" s="3809"/>
      <c r="E1" s="3809"/>
      <c r="F1" s="3809"/>
      <c r="G1" s="3808" t="s">
        <v>453</v>
      </c>
      <c r="H1" s="3808"/>
      <c r="I1" s="3808"/>
      <c r="J1" s="3808"/>
      <c r="K1" s="3808"/>
      <c r="L1" s="3808"/>
      <c r="N1" s="3808" t="s">
        <v>454</v>
      </c>
      <c r="O1" s="3808"/>
      <c r="P1" s="3808"/>
      <c r="Q1" s="3808"/>
      <c r="S1" s="3808" t="s">
        <v>455</v>
      </c>
      <c r="T1" s="3808"/>
      <c r="U1" s="3808"/>
      <c r="V1" s="3808"/>
      <c r="X1" s="3807" t="s">
        <v>456</v>
      </c>
      <c r="Y1" s="3808"/>
      <c r="Z1" s="3808"/>
      <c r="AA1" s="3808"/>
      <c r="AB1" s="3808"/>
      <c r="AD1" s="3807" t="s">
        <v>457</v>
      </c>
      <c r="AE1" s="3808"/>
      <c r="AF1" s="3808"/>
      <c r="AG1" s="3808"/>
      <c r="AH1" s="3808"/>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3361</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3358</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3359</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3360</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5">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5"/>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5"/>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4"/>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0">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5"/>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5"/>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4"/>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0">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5"/>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5"/>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6"/>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04">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5"/>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5"/>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6"/>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04">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5"/>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5"/>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6"/>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11">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2"/>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2"/>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3"/>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804">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5"/>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5"/>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06"/>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804">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5">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5">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6">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804">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5">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5">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6">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804">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5">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5">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6">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804">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5">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5">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6">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804">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5">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5">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6">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804">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5">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5">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6">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804">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5">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5">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6">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804">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5">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5">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6">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804">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5">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5">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06">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804">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5">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5">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06">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20" sqref="H20"/>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817" t="s">
        <v>2839</v>
      </c>
      <c r="B1" s="3817"/>
      <c r="C1" s="3817"/>
      <c r="D1" s="3817"/>
      <c r="E1" s="3817"/>
      <c r="F1" s="3817"/>
      <c r="G1" s="3818"/>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1.4"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15"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1.4" thickBot="1">
      <c r="A4" s="3816"/>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1.4"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1.4"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1.4"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1.4"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H20" sqref="H20"/>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46022</v>
      </c>
      <c r="D1" s="1302" t="s">
        <v>603</v>
      </c>
      <c r="E1" s="1297">
        <f>'数据-取费表'!B22</f>
        <v>2</v>
      </c>
      <c r="F1" s="1302" t="s">
        <v>604</v>
      </c>
      <c r="G1" s="1298">
        <f ca="1">IF(OR(C1&lt;C27,E1&lt;=1),INDIRECT("d"&amp;$K$1)/100,ROUND((D5+(E1-C5)*(D7-D5)/(C7-C5))/100,4))</f>
        <v>3.1300000000000001E-2</v>
      </c>
      <c r="H1" s="1302" t="s">
        <v>634</v>
      </c>
      <c r="I1" s="1298">
        <f ca="1">F4/100</f>
        <v>1.4999999999999999E-2</v>
      </c>
      <c r="J1" s="1303">
        <f>IF(C1&gt;C13,0,MATCH(C1,C$13:C$115,-1))+IF(SUMIF(C13:C115,C1,D13:D115)=0,13,12)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5.6">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5.6">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96" t="str">
        <f>IF(项目基本情况!B9="房地产市场价值","估价结果一览表","结果表-2")</f>
        <v>估价结果一览表</v>
      </c>
      <c r="B1" s="3496"/>
      <c r="C1" s="3496"/>
      <c r="D1" s="3496"/>
      <c r="E1" s="3496"/>
      <c r="F1" s="3496"/>
      <c r="G1" s="3496"/>
      <c r="H1" s="3496"/>
      <c r="I1" s="3496"/>
    </row>
    <row r="2" spans="1:9" ht="30" customHeight="1" thickTop="1">
      <c r="A2" s="3497" t="s">
        <v>928</v>
      </c>
      <c r="B2" s="3497" t="s">
        <v>929</v>
      </c>
      <c r="C2" s="3497" t="s">
        <v>930</v>
      </c>
      <c r="D2" s="3497" t="str">
        <f>结果表!D116</f>
        <v>出让国有建设用地使用权价值</v>
      </c>
      <c r="E2" s="3497"/>
      <c r="F2" s="3497" t="str">
        <f>结果表!F116</f>
        <v>在建建筑物价值</v>
      </c>
      <c r="G2" s="3497"/>
      <c r="H2" s="3497" t="str">
        <f>IF(项目基本情况!B9="房地产市场价值","房地产市场价值","房地产价值")</f>
        <v>房地产市场价值</v>
      </c>
      <c r="I2" s="3497"/>
    </row>
    <row r="3" spans="1:9" ht="15.6">
      <c r="A3" s="3492"/>
      <c r="B3" s="3492"/>
      <c r="C3" s="3492"/>
      <c r="D3" s="854" t="s">
        <v>925</v>
      </c>
      <c r="E3" s="854" t="s">
        <v>931</v>
      </c>
      <c r="F3" s="854" t="s">
        <v>925</v>
      </c>
      <c r="G3" s="854" t="s">
        <v>926</v>
      </c>
      <c r="H3" s="854" t="s">
        <v>925</v>
      </c>
      <c r="I3" s="854" t="s">
        <v>926</v>
      </c>
    </row>
    <row r="4" spans="1:9" ht="15">
      <c r="A4" s="1505" t="str">
        <f>项目基本情况!S2</f>
        <v>北京市北京市密云区云西三街3号院2号楼-1至6层101实验检测楼房地产</v>
      </c>
      <c r="B4" s="854">
        <f>项目基本情况!C17</f>
        <v>5672.8</v>
      </c>
      <c r="C4" s="854">
        <f>项目基本情况!C18</f>
        <v>9300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2" t="s">
        <v>927</v>
      </c>
      <c r="B5" s="3492"/>
      <c r="C5" s="3492"/>
      <c r="D5" s="3492" t="e">
        <f ca="1">结果表!D119</f>
        <v>#REF!</v>
      </c>
      <c r="E5" s="3492"/>
      <c r="F5" s="3492" t="e">
        <f ca="1">结果表!F119</f>
        <v>#REF!</v>
      </c>
      <c r="G5" s="3492"/>
      <c r="H5" s="3492" t="e">
        <f ca="1">结果表!H119</f>
        <v>#REF!</v>
      </c>
      <c r="I5" s="3492"/>
    </row>
    <row r="6" spans="1:9" ht="15.6">
      <c r="A6" s="3491" t="str">
        <f>结果表!A120</f>
        <v/>
      </c>
      <c r="B6" s="3491"/>
      <c r="C6" s="3491"/>
      <c r="D6" s="3491">
        <f>结果表!D120</f>
        <v>0</v>
      </c>
      <c r="E6" s="3491"/>
      <c r="F6" s="3491"/>
      <c r="G6" s="3491"/>
      <c r="H6" s="3491"/>
      <c r="I6" s="3491"/>
    </row>
    <row r="7" spans="1:9" ht="15">
      <c r="A7" s="3492" t="s">
        <v>927</v>
      </c>
      <c r="B7" s="3492"/>
      <c r="C7" s="3492"/>
      <c r="D7" s="3493" t="str">
        <f>结果表!D121</f>
        <v>零元整</v>
      </c>
      <c r="E7" s="3494"/>
      <c r="F7" s="3494"/>
      <c r="G7" s="3494"/>
      <c r="H7" s="3494"/>
      <c r="I7" s="3495"/>
    </row>
    <row r="8" spans="1:9" ht="15.6">
      <c r="A8" s="3491" t="str">
        <f>结果表!A122</f>
        <v/>
      </c>
      <c r="B8" s="3491"/>
      <c r="C8" s="3491"/>
      <c r="D8" s="3491" t="e">
        <f ca="1">结果表!D122</f>
        <v>#REF!</v>
      </c>
      <c r="E8" s="3491"/>
      <c r="F8" s="3491"/>
      <c r="G8" s="3491"/>
      <c r="H8" s="3491"/>
      <c r="I8" s="3491"/>
    </row>
    <row r="9" spans="1:9" ht="15">
      <c r="A9" s="3492" t="s">
        <v>927</v>
      </c>
      <c r="B9" s="3492"/>
      <c r="C9" s="3492"/>
      <c r="D9" s="3492" t="e">
        <f ca="1">结果表!D123</f>
        <v>#REF!</v>
      </c>
      <c r="E9" s="3492"/>
      <c r="F9" s="3492"/>
      <c r="G9" s="3492"/>
      <c r="H9" s="3492"/>
      <c r="I9" s="3492"/>
    </row>
    <row r="10" spans="1:9" ht="15.6">
      <c r="A10" s="3491" t="str">
        <f>结果表!A124</f>
        <v/>
      </c>
      <c r="B10" s="3491"/>
      <c r="C10" s="3491"/>
      <c r="D10" s="3491" t="str">
        <f>结果表!D124</f>
        <v>——</v>
      </c>
      <c r="E10" s="3491"/>
      <c r="F10" s="3491"/>
      <c r="G10" s="3491"/>
      <c r="H10" s="3491"/>
      <c r="I10" s="3491"/>
    </row>
    <row r="11" spans="1:9" ht="15">
      <c r="A11" s="3492" t="s">
        <v>927</v>
      </c>
      <c r="B11" s="3492"/>
      <c r="C11" s="3492"/>
      <c r="D11" s="3492" t="e">
        <f>结果表!D125</f>
        <v>#VALUE!</v>
      </c>
      <c r="E11" s="3492"/>
      <c r="F11" s="3492"/>
      <c r="G11" s="3492"/>
      <c r="H11" s="3492"/>
      <c r="I11" s="3492"/>
    </row>
    <row r="12" spans="1:9" ht="15.6">
      <c r="A12" s="3491" t="str">
        <f>结果表!A126</f>
        <v/>
      </c>
      <c r="B12" s="3491"/>
      <c r="C12" s="3491"/>
      <c r="D12" s="3491" t="str">
        <f>结果表!D126</f>
        <v>——</v>
      </c>
      <c r="E12" s="3491"/>
      <c r="F12" s="3491"/>
      <c r="G12" s="3491"/>
      <c r="H12" s="3491"/>
      <c r="I12" s="3491"/>
    </row>
    <row r="13" spans="1:9" ht="15.6" thickBot="1">
      <c r="A13" s="3489" t="s">
        <v>927</v>
      </c>
      <c r="B13" s="3489"/>
      <c r="C13" s="3489"/>
      <c r="D13" s="3489" t="e">
        <f>结果表!D127</f>
        <v>#VALUE!</v>
      </c>
      <c r="E13" s="3489"/>
      <c r="F13" s="3489"/>
      <c r="G13" s="3489"/>
      <c r="H13" s="3489"/>
      <c r="I13" s="3489"/>
    </row>
    <row r="14" spans="1:9" ht="14.4" thickTop="1">
      <c r="A14" s="3490" t="s">
        <v>932</v>
      </c>
      <c r="B14" s="3490"/>
      <c r="C14" s="3490"/>
      <c r="D14" s="3490"/>
      <c r="E14" s="3490"/>
      <c r="F14" s="3490"/>
      <c r="G14" s="3490"/>
      <c r="H14" s="3490"/>
      <c r="I14" s="3490"/>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04" t="s">
        <v>949</v>
      </c>
      <c r="B1" s="3504"/>
      <c r="C1" s="3504"/>
      <c r="D1" s="3504"/>
    </row>
    <row r="2" spans="1:4" ht="17.399999999999999">
      <c r="A2" s="3505" t="s">
        <v>933</v>
      </c>
      <c r="B2" s="3505"/>
      <c r="C2" s="3505"/>
      <c r="D2" s="3505"/>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505" t="s">
        <v>939</v>
      </c>
      <c r="B6" s="3505"/>
      <c r="C6" s="3505"/>
      <c r="D6" s="3505"/>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06" t="s">
        <v>942</v>
      </c>
      <c r="B11" s="3498"/>
      <c r="C11" s="3498"/>
      <c r="D11" s="3498"/>
    </row>
    <row r="12" spans="1:4" ht="15.6">
      <c r="A12" s="34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3"/>
      <c r="C12" s="3503"/>
      <c r="D12" s="3503"/>
    </row>
    <row r="13" spans="1:4" ht="30" customHeight="1">
      <c r="A13" s="3498" t="str">
        <f>IF(项目基本情况!B8="抵押","3.抵押双方在办理抵押登记手续时，应使用本公司出具的正式《房地产评估报告》，特提醒报告使用者注意。","——")</f>
        <v>——</v>
      </c>
      <c r="B13" s="3503"/>
      <c r="C13" s="3503"/>
      <c r="D13" s="3503"/>
    </row>
    <row r="14" spans="1:4" ht="15.75" customHeight="1">
      <c r="A14" s="3498" t="str">
        <f>IF(项目基本情况!B8="抵押","4.本次评估估价师所知悉的法定优先受偿款情况说明如下：","——")</f>
        <v>——</v>
      </c>
      <c r="B14" s="3503"/>
      <c r="C14" s="3503"/>
      <c r="D14" s="3503"/>
    </row>
    <row r="15" spans="1:4" ht="42" customHeight="1">
      <c r="A15" s="3498" t="str">
        <f>IF(项目基本情况!B8="抵押","（1）"&amp;CONCATENATE(项目基本情况!L20,项目基本情况!L21,项目基本情况!L22),"——")</f>
        <v>——</v>
      </c>
      <c r="B15" s="3498"/>
      <c r="C15" s="3498"/>
      <c r="D15" s="3498"/>
    </row>
    <row r="16" spans="1:4" ht="30" customHeight="1">
      <c r="A16" s="3500" t="s">
        <v>943</v>
      </c>
      <c r="B16" s="3500"/>
      <c r="C16" s="3500"/>
      <c r="D16" s="3500"/>
    </row>
    <row r="17" spans="1:4" ht="144" customHeight="1">
      <c r="A17" s="3500" t="s">
        <v>944</v>
      </c>
      <c r="B17" s="3500"/>
      <c r="C17" s="3500"/>
      <c r="D17" s="3500"/>
    </row>
    <row r="18" spans="1:4" ht="15.75" customHeight="1">
      <c r="A18" s="3498" t="str">
        <f>IF(项目基本情况!B8="抵押",结果表!K120,"——")</f>
        <v>——</v>
      </c>
      <c r="B18" s="3498"/>
      <c r="C18" s="3498"/>
      <c r="D18" s="3498"/>
    </row>
    <row r="19" spans="1:4" ht="46.5" customHeight="1">
      <c r="A19" s="34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8"/>
      <c r="C19" s="3498"/>
      <c r="D19" s="3498"/>
    </row>
    <row r="20" spans="1:4" ht="57.75" customHeight="1">
      <c r="A20" s="34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8"/>
      <c r="C20" s="3498"/>
      <c r="D20" s="3498"/>
    </row>
    <row r="21" spans="1:4" ht="57.75" customHeight="1">
      <c r="A21" s="35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1"/>
      <c r="C21" s="3501"/>
      <c r="D21" s="3501"/>
    </row>
    <row r="22" spans="1:4" ht="18.75" customHeight="1">
      <c r="A22" s="3502" t="s">
        <v>945</v>
      </c>
      <c r="B22" s="3502"/>
      <c r="C22" s="3502"/>
      <c r="D22" s="3502"/>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499">
        <v>42551</v>
      </c>
      <c r="D31" s="349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12" t="s">
        <v>956</v>
      </c>
      <c r="B15" s="3507" t="s">
        <v>109</v>
      </c>
      <c r="C15" s="3508"/>
    </row>
    <row r="16" spans="1:7" ht="14.4">
      <c r="A16" s="3513"/>
      <c r="B16" s="3507" t="s">
        <v>42</v>
      </c>
      <c r="C16" s="3508"/>
    </row>
    <row r="17" spans="1:3" ht="14.4">
      <c r="A17" s="3513"/>
      <c r="B17" s="3510" t="s">
        <v>957</v>
      </c>
      <c r="C17" s="1532" t="s">
        <v>956</v>
      </c>
    </row>
    <row r="18" spans="1:3" ht="14.4">
      <c r="A18" s="3513"/>
      <c r="B18" s="3510"/>
      <c r="C18" s="1532" t="s">
        <v>958</v>
      </c>
    </row>
    <row r="19" spans="1:3" ht="14.4">
      <c r="A19" s="3513"/>
      <c r="B19" s="3510"/>
      <c r="C19" s="1532" t="s">
        <v>959</v>
      </c>
    </row>
    <row r="20" spans="1:3" ht="14.4">
      <c r="A20" s="3514"/>
      <c r="B20" s="3509" t="s">
        <v>960</v>
      </c>
      <c r="C20" s="3508"/>
    </row>
    <row r="21" spans="1:3" ht="14.4">
      <c r="A21" s="1533" t="s">
        <v>961</v>
      </c>
      <c r="B21" s="1534"/>
      <c r="C21" s="1535"/>
    </row>
    <row r="22" spans="1:3" ht="14.4">
      <c r="A22" s="3511" t="s">
        <v>962</v>
      </c>
      <c r="B22" s="3509" t="s">
        <v>963</v>
      </c>
      <c r="C22" s="3508"/>
    </row>
    <row r="23" spans="1:3" ht="14.4">
      <c r="A23" s="3511"/>
      <c r="B23" s="3509" t="s">
        <v>964</v>
      </c>
      <c r="C23" s="3508"/>
    </row>
    <row r="24" spans="1:3" ht="14.4">
      <c r="A24" s="3511"/>
      <c r="B24" s="3509" t="s">
        <v>965</v>
      </c>
      <c r="C24" s="3508"/>
    </row>
    <row r="25" spans="1:3" ht="14.4">
      <c r="A25" s="3511"/>
      <c r="B25" s="3510" t="s">
        <v>966</v>
      </c>
      <c r="C25" s="1532" t="s">
        <v>967</v>
      </c>
    </row>
    <row r="26" spans="1:3" ht="14.4">
      <c r="A26" s="3511"/>
      <c r="B26" s="3510"/>
      <c r="C26" s="1532" t="s">
        <v>968</v>
      </c>
    </row>
    <row r="27" spans="1:3" ht="14.4">
      <c r="A27" s="3511"/>
      <c r="B27" s="3510"/>
      <c r="C27" s="1532" t="s">
        <v>969</v>
      </c>
    </row>
    <row r="28" spans="1:3" ht="14.4">
      <c r="A28" s="3511"/>
      <c r="B28" s="3510"/>
      <c r="C28" s="1532" t="s">
        <v>970</v>
      </c>
    </row>
    <row r="29" spans="1:3" ht="14.4">
      <c r="A29" s="3511"/>
      <c r="B29" s="3510"/>
      <c r="C29" s="1532" t="s">
        <v>971</v>
      </c>
    </row>
    <row r="30" spans="1:3" ht="14.4">
      <c r="A30" s="3511"/>
      <c r="B30" s="3510"/>
      <c r="C30" s="1532" t="s">
        <v>972</v>
      </c>
    </row>
    <row r="31" spans="1:3" ht="14.4">
      <c r="A31" s="3511"/>
      <c r="B31" s="3510"/>
      <c r="C31" s="1532" t="s">
        <v>973</v>
      </c>
    </row>
    <row r="32" spans="1:3" ht="14.4">
      <c r="A32" s="3511"/>
      <c r="B32" s="3510"/>
      <c r="C32" s="1532" t="s">
        <v>974</v>
      </c>
    </row>
    <row r="33" spans="1:3" ht="14.4">
      <c r="A33" s="3511"/>
      <c r="B33" s="3510"/>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46017</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t="str">
        <f ca="1">IF(C4&lt;B2,"已过期",1119970066)</f>
        <v>已过期</v>
      </c>
      <c r="C4" s="2345">
        <v>45937</v>
      </c>
      <c r="D4" s="2346" t="str">
        <f ca="1">A4&amp;"（注册号："&amp;B4&amp;"）"</f>
        <v>梁津（注册号：已过期）</v>
      </c>
      <c r="E4" s="2347" t="s">
        <v>2148</v>
      </c>
      <c r="F4" s="1304">
        <f ca="1">IF(G4&lt;B2,"已过期",96010014)</f>
        <v>96010014</v>
      </c>
      <c r="G4" s="2348">
        <v>47118</v>
      </c>
      <c r="H4" s="2349" t="str">
        <f ca="1">E4&amp;"（注册号："&amp;F4&amp;"）"</f>
        <v>梁津（注册号：96010014）</v>
      </c>
    </row>
    <row r="5" spans="1:8" ht="24" customHeight="1">
      <c r="A5" s="1304" t="s">
        <v>2149</v>
      </c>
      <c r="B5" s="1304" t="str">
        <f ca="1">IF(C5&lt;B2,"已过期",1119970111)</f>
        <v>已过期</v>
      </c>
      <c r="C5" s="2345">
        <v>45937</v>
      </c>
      <c r="D5" s="2346" t="str">
        <f t="shared" ref="D5:D15" ca="1" si="0">A5&amp;"（注册号："&amp;B5&amp;"）"</f>
        <v>叶凌（注册号：已过期）</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t="str">
        <f ca="1">IF(C7&lt;B2,"已过期",1120000080)</f>
        <v>已过期</v>
      </c>
      <c r="C7" s="2345">
        <v>45937</v>
      </c>
      <c r="D7" s="2346" t="str">
        <f t="shared" ca="1" si="0"/>
        <v>欧红伟（注册号：已过期）</v>
      </c>
      <c r="E7" s="2347" t="s">
        <v>2151</v>
      </c>
      <c r="F7" s="1304">
        <f ca="1">IF(G7&lt;B2,"已过期",2000110082)</f>
        <v>2000110082</v>
      </c>
      <c r="G7" s="2348">
        <v>46387</v>
      </c>
      <c r="H7" s="2349" t="str">
        <f t="shared" ca="1" si="1"/>
        <v>欧红伟（注册号：2000110082）</v>
      </c>
    </row>
    <row r="8" spans="1:8" ht="24" customHeight="1">
      <c r="A8" s="1304" t="s">
        <v>2152</v>
      </c>
      <c r="B8" s="1304" t="str">
        <f ca="1">IF(C8&lt;B2,"已过期",1419970001)</f>
        <v>已过期</v>
      </c>
      <c r="C8" s="2345">
        <v>45937</v>
      </c>
      <c r="D8" s="2346" t="str">
        <f t="shared" ca="1" si="0"/>
        <v>吴薇（注册号：已过期）</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t="str">
        <f ca="1">IF(C11&lt;B2,"已过期",1120070131)</f>
        <v>已过期</v>
      </c>
      <c r="C11" s="2345">
        <v>45937</v>
      </c>
      <c r="D11" s="2346" t="str">
        <f t="shared" ca="1" si="0"/>
        <v>郑燚（注册号：已过期）</v>
      </c>
      <c r="E11" s="2347" t="s">
        <v>2155</v>
      </c>
      <c r="F11" s="1304">
        <f ca="1">IF(G11&lt;B2,"已过期",2014110011)</f>
        <v>2014110011</v>
      </c>
      <c r="G11" s="2348">
        <v>49302</v>
      </c>
      <c r="H11" s="2349" t="str">
        <f t="shared" ca="1" si="1"/>
        <v>郑燚（注册号：2014110011）</v>
      </c>
    </row>
    <row r="12" spans="1:8" ht="24" customHeight="1">
      <c r="A12" s="1304" t="s">
        <v>2156</v>
      </c>
      <c r="B12" s="1304" t="str">
        <f ca="1">IF(C12&lt;B2,"已过期",1120040230)</f>
        <v>已过期</v>
      </c>
      <c r="C12" s="2350">
        <v>45937</v>
      </c>
      <c r="D12" s="2346" t="str">
        <f t="shared" ca="1" si="0"/>
        <v>苏海（注册号：已过期）</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5" t="s">
        <v>2160</v>
      </c>
      <c r="B17" s="3515"/>
      <c r="C17" s="3515"/>
      <c r="D17" s="3515"/>
      <c r="E17" s="3515"/>
      <c r="F17" s="3515"/>
      <c r="G17" s="3515"/>
      <c r="H17" s="3515"/>
    </row>
    <row r="18" spans="1:8" ht="24" customHeight="1">
      <c r="A18" s="3516" t="s">
        <v>2161</v>
      </c>
      <c r="B18" s="3516"/>
      <c r="C18" s="3516"/>
      <c r="D18" s="2343"/>
      <c r="E18" s="3517" t="s">
        <v>2162</v>
      </c>
      <c r="F18" s="3516"/>
      <c r="G18" s="3516"/>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Sheet1</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2025-12-26T08:04:08Z</dcterms:modified>
</cp:coreProperties>
</file>